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8_{92C9C666-BAA4-48CC-8301-756AC6D3766E}" xr6:coauthVersionLast="47" xr6:coauthVersionMax="47" xr10:uidLastSave="{00000000-0000-0000-0000-000000000000}"/>
  <bookViews>
    <workbookView xWindow="-120" yWindow="-120" windowWidth="51840" windowHeight="21240" tabRatio="846"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continental!$L$394</definedName>
    <definedName name="AEROresist.s1R">regional!$L$388</definedName>
    <definedName name="AEROresist.s2C">continental!$L$405</definedName>
    <definedName name="AEROresist.s2R">regional!$L$399</definedName>
    <definedName name="AEROresist.s3C">continental!$L$416</definedName>
    <definedName name="AEROresist.s3R">regional!$L$410</definedName>
    <definedName name="AEROresist.sA">global!$L$585</definedName>
    <definedName name="AEROresist.sM">global!$L$264</definedName>
    <definedName name="AEROresist.sT">global!$L$907</definedName>
    <definedName name="AEROresist.w0C">continental!$L$448</definedName>
    <definedName name="AEROresist.w0R">regional!$L$442</definedName>
    <definedName name="AEROresist.w1C">continental!$L$455</definedName>
    <definedName name="AEROresist.w1R">regional!$L$449</definedName>
    <definedName name="AEROresist.w2A">global!$L$603</definedName>
    <definedName name="AEROresist.w2C">continental!$L$458</definedName>
    <definedName name="AEROresist.w2M">global!$L$282</definedName>
    <definedName name="AEROresist.w2R">regional!$L$452</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continental!$L$401</definedName>
    <definedName name="AREAFRACveg.s1R">regional!$L$395</definedName>
    <definedName name="AREAFRACveg.s2C">continental!$L$412</definedName>
    <definedName name="AREAFRACveg.s2R">regional!$L$406</definedName>
    <definedName name="AREAFRACveg.s3C">continental!$L$423</definedName>
    <definedName name="AREAFRACveg.s3R">regional!$L$417</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continental!$L$319</definedName>
    <definedName name="ASPDF.s1C">continental!$L$319</definedName>
    <definedName name="ASPDF.s1R">regional!$L$313</definedName>
    <definedName name="ASPDF.s2C">continental!$L$333</definedName>
    <definedName name="ASPDF.s2R">regional!$L$327</definedName>
    <definedName name="ASPDF.s3C">continental!$L$347</definedName>
    <definedName name="ASPDF.s3R">regional!$L$341</definedName>
    <definedName name="ASPDF.sA">global!$L$537</definedName>
    <definedName name="ASPDF.sdA">global!$L$517</definedName>
    <definedName name="ASPDF.sdC">continental!$L$297</definedName>
    <definedName name="ASPDF.sdM">global!$L$196</definedName>
    <definedName name="ASPDF.sdT">global!$L$839</definedName>
    <definedName name="ASPDF.sM">global!$L$216</definedName>
    <definedName name="ASPDF.sT">global!$L$859</definedName>
    <definedName name="aspectratioSFP.s1C">continental!$L$325</definedName>
    <definedName name="aspectratioSFP.s1R">regional!$L$319</definedName>
    <definedName name="aspectratioSFP.s2C">continental!$L$338</definedName>
    <definedName name="aspectratioSFP.s2R">regional!$L$332</definedName>
    <definedName name="aspectratioSFP.s3C">continental!$L$352</definedName>
    <definedName name="aspectratioSFP.s3R">regional!$L$346</definedName>
    <definedName name="aspectratioSFP.sA">global!$L$542</definedName>
    <definedName name="aspectratioSFP.sM">global!$L$221</definedName>
    <definedName name="aspectratioSFP.sT">global!$L$864</definedName>
    <definedName name="aspectratioSP.sdA">global!$L$523</definedName>
    <definedName name="aspectratioSP.sdC">continental!$L$303</definedName>
    <definedName name="aspectratioSP.sdM">global!$L$202</definedName>
    <definedName name="aspectratioSP.sdR">regional!$L$297</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continental!$L$214</definedName>
    <definedName name="BACT.w0R">regional!$L$208</definedName>
    <definedName name="BACT.w1C">continental!$L$215</definedName>
    <definedName name="BACT.w1R">regional!$L$209</definedName>
    <definedName name="BACT.w2A">global!$L$458</definedName>
    <definedName name="BACT.w2C">continental!$L$216</definedName>
    <definedName name="BACT.w2M">global!$L$136</definedName>
    <definedName name="BACT.w2R">regional!$L$210</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continental!$L$209</definedName>
    <definedName name="C.OHrad.aM">global!$L$132</definedName>
    <definedName name="C.OHrad.aR">regional!$L$203</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cases!$J$4:$X$2458</definedName>
    <definedName name="CaseName">input!$L$10</definedName>
    <definedName name="CaseNames">cases!$J$4:$X$4</definedName>
    <definedName name="ChemClass">input!$L$159</definedName>
    <definedName name="ChemClasses">input!$F$193:$F$369</definedName>
    <definedName name="ChemData">substances!$B$7:$CO$2377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continental!$L$227</definedName>
    <definedName name="CORRleach.s1C">continental!$L$227</definedName>
    <definedName name="CORRleach.s1R">regional!$L$221</definedName>
    <definedName name="CORRleach.s2C">continental!$L$228</definedName>
    <definedName name="CORRleach.s2R">regional!$L$222</definedName>
    <definedName name="CORRleach.s3C">continental!$L$229</definedName>
    <definedName name="CORRleach.s3R">regional!$L$223</definedName>
    <definedName name="CORRleach.sA">global!$L$464</definedName>
    <definedName name="CORRleach.sM">global!$L$142</definedName>
    <definedName name="CORRleach.sT">global!$L$786</definedName>
    <definedName name="CORRrunoff.s1C">continental!$L$191</definedName>
    <definedName name="CORRrunoff.s1R">regional!$L$185</definedName>
    <definedName name="CORRrunoff.s2C">continental!$L$192</definedName>
    <definedName name="CORRrunoff.s2R">regional!$L$186</definedName>
    <definedName name="CORRrunoff.s3C">continental!$L$193</definedName>
    <definedName name="CORRrunoff.s3R">regional!$L$187</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continental!$L$364</definedName>
    <definedName name="CritStokesNumb.cwM">global!$L$233</definedName>
    <definedName name="CritStokesNumb.cwR">regional!$L$358</definedName>
    <definedName name="CritStokesNumb.cwT">global!$L$876</definedName>
    <definedName name="CunninghaA.cwA">global!$L$553</definedName>
    <definedName name="CunninghaAA.aA">global!$L$572</definedName>
    <definedName name="Cunningham.cwA">global!$L$553</definedName>
    <definedName name="Cunningham.cwC">continental!$L$363</definedName>
    <definedName name="Cunningham.cwM">global!$L$232</definedName>
    <definedName name="Cunningham.cwR">regional!$L$357</definedName>
    <definedName name="Cunningham.cwT">global!$L$875</definedName>
    <definedName name="CunninghamA.aA">global!$L$572</definedName>
    <definedName name="CunninghamA.aC">continental!$L$381</definedName>
    <definedName name="CunninghamA.aM">global!$L$251</definedName>
    <definedName name="CunninghamA.aR">regional!$L$375</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continental!$L$426</definedName>
    <definedName name="DEPvelocity.aCA.s2CA">continental!$L$432</definedName>
    <definedName name="DEPvelocity.aCA.s3CA">continental!$L$438</definedName>
    <definedName name="DEPvelocity.aCA.w0CA">continental!$L$460</definedName>
    <definedName name="DEPvelocity.aCA.w1CA">continental!$L$465</definedName>
    <definedName name="DEPvelocity.aCA.w2CA">continental!$L$467</definedName>
    <definedName name="DEPvelocity.aCS.s1CS">continental!$L$393</definedName>
    <definedName name="DEPvelocity.aCS.s2CS">continental!$L$404</definedName>
    <definedName name="DEPvelocity.aCS.s3CS">continental!$L$415</definedName>
    <definedName name="DEPvelocity.aCS.w0CS">continental!$L$447</definedName>
    <definedName name="DEPvelocity.aCS.w1CS">continental!$L$454</definedName>
    <definedName name="DEPvelocity.aCS.w2CS">continental!$L$457</definedName>
    <definedName name="DEPvelocity.aMA.sMA">global!$L$274</definedName>
    <definedName name="DEPvelocity.aMA.w2MA">global!$L$288</definedName>
    <definedName name="DEPvelocity.aMS.sMS">global!$L$263</definedName>
    <definedName name="DEPvelocity.aMS.w2MS">global!$L$281</definedName>
    <definedName name="DEPvelocity.aRA.s1RA">regional!$L$420</definedName>
    <definedName name="DEPvelocity.aRA.s2RA">regional!$L$426</definedName>
    <definedName name="DEPvelocity.aRA.s3RA">regional!$L$432</definedName>
    <definedName name="DEPvelocity.aRA.w0RA">regional!$L$454</definedName>
    <definedName name="DEPvelocity.aRA.w1RA">regional!$L$459</definedName>
    <definedName name="DEPvelocity.aRA.w2RA">regional!$L$461</definedName>
    <definedName name="DEPvelocity.aRS.s1RS">regional!$L$387</definedName>
    <definedName name="DEPvelocity.aRS.s2RS">regional!$L$398</definedName>
    <definedName name="DEPvelocity.aRS.s3RS">regional!$L$409</definedName>
    <definedName name="DEPvelocity.aRS.w0RS">regional!$L$441</definedName>
    <definedName name="DEPvelocity.aRS.w1RS">regional!$L$448</definedName>
    <definedName name="DEPvelocity.aRS.w2RS">regional!$L$451</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continental!$L$382</definedName>
    <definedName name="DiffA.aM">global!$L$252</definedName>
    <definedName name="DiffA.aR">regional!$L$376</definedName>
    <definedName name="DiffA.aT">global!$L$895</definedName>
    <definedName name="DiffAcc.aA">global!$L$477</definedName>
    <definedName name="DiffAcc.aC">continental!$L$241</definedName>
    <definedName name="DiffAcc.aM">global!$L$156</definedName>
    <definedName name="DiffAcc.aR">regional!$L$235</definedName>
    <definedName name="DiffAcc.aT">global!$L$799</definedName>
    <definedName name="DiffCP.aA">global!$L$482</definedName>
    <definedName name="DiffCP.aC">continental!$L$245</definedName>
    <definedName name="DiffCP.aM">global!$L$161</definedName>
    <definedName name="DiffCP.aR">regional!$L$239</definedName>
    <definedName name="DiffCP.aT">global!$L$804</definedName>
    <definedName name="DIFFgas">input!$L$324</definedName>
    <definedName name="DiffNuc.aA">global!$L$472</definedName>
    <definedName name="DiffNuc.aC">continental!$L$237</definedName>
    <definedName name="DiffNuc.aM">global!$L$151</definedName>
    <definedName name="DiffNuc.aR">regional!$L$231</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continental!$L$185</definedName>
    <definedName name="EROSION.s1R">regional!$L$179</definedName>
    <definedName name="EROSION.s2C">continental!$L$186</definedName>
    <definedName name="EROSION.s2R">regional!$L$180</definedName>
    <definedName name="EROSION.s3C">continental!$L$187</definedName>
    <definedName name="EROSION.s3R">regional!$L$181</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continental!$L$387</definedName>
    <definedName name="fBrown.aCA.s1CA">continental!$L$428</definedName>
    <definedName name="fBrown.aCA.s2CA">continental!$L$434</definedName>
    <definedName name="fBrown.aCA.s3CA">continental!$L$440</definedName>
    <definedName name="fBrown.aCA.w">continental!$L$462</definedName>
    <definedName name="fBrown.aCS.cwCS">continental!$L$376</definedName>
    <definedName name="fBrown.aCS.s1CS">continental!$L$397</definedName>
    <definedName name="fBrown.aCS.s2CS">continental!$L$408</definedName>
    <definedName name="fBrown.aCS.s3CS">continental!$L$419</definedName>
    <definedName name="fBrown.aCS.w">continental!$L$451</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regional!$L$381</definedName>
    <definedName name="fBrown.aRA.s1RA">regional!$L$422</definedName>
    <definedName name="fBrown.aRA.s2RA">regional!$L$428</definedName>
    <definedName name="fBrown.aRA.s3RA">regional!$L$434</definedName>
    <definedName name="fBrown.aRA.w">regional!$L$456</definedName>
    <definedName name="fBrown.aRS.cwRS">regional!$L$370</definedName>
    <definedName name="fBrown.aRS.s1RS">regional!$L$391</definedName>
    <definedName name="fBrown.aRS.s2RS">regional!$L$402</definedName>
    <definedName name="fBrown.aRS.s3RS">regional!$L$413</definedName>
    <definedName name="fBrown.aRS.w">regional!$L$445</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continental!$L$318</definedName>
    <definedName name="fBrownSFP.s1R">regional!$L$312</definedName>
    <definedName name="fBrownSFP.s2C">continental!$L$332</definedName>
    <definedName name="fBrownSFP.s2R">regional!$L$326</definedName>
    <definedName name="fBrownSFP.s3C">continental!$L$346</definedName>
    <definedName name="fBrownSFP.s3R">regional!$L$340</definedName>
    <definedName name="fBrownSFP.sA">global!$L$536</definedName>
    <definedName name="fBrownSFP.sM">global!$L$215</definedName>
    <definedName name="fBrownSFP.sT">global!$L$858</definedName>
    <definedName name="fBrownSNC.sA">global!$L$530</definedName>
    <definedName name="fBrownSNC.sC">continental!$L$311</definedName>
    <definedName name="fBrownSNC.sdA">global!$L$510</definedName>
    <definedName name="fBrownSNC.sdC">continental!$L$287</definedName>
    <definedName name="fBrownSNC.sdM">global!$L$189</definedName>
    <definedName name="fBrownSNC.sdR">regional!$L$281</definedName>
    <definedName name="fBrownSNC.sdT">global!$L$832</definedName>
    <definedName name="fBrownSNC.sM">global!$L$209</definedName>
    <definedName name="fBrownSNC.sR">regional!$L$305</definedName>
    <definedName name="fBrownSNC.sT">global!$L$852</definedName>
    <definedName name="fBrownSNC.wA">global!$L$495</definedName>
    <definedName name="fBrownSNC.wC">continental!$L$263</definedName>
    <definedName name="fBrownSNC.wM">global!$L$174</definedName>
    <definedName name="fBrownSNC.wR">regional!$L$257</definedName>
    <definedName name="fBrownSNC.wT">global!$L$817</definedName>
    <definedName name="fBrownSP.sdA">global!$L$516</definedName>
    <definedName name="fBrownSP.sdC">continental!$L$296</definedName>
    <definedName name="fBrownSP.sdM">global!$L$195</definedName>
    <definedName name="fBrownSP.sdR">regional!$L$290</definedName>
    <definedName name="fBrownSP.sdT">global!$L$838</definedName>
    <definedName name="fBrownSSPM.wA">global!$L$505</definedName>
    <definedName name="fBrownSSPM.wC">continental!$L$278</definedName>
    <definedName name="fBrownSSPM.wM">global!$L$184</definedName>
    <definedName name="fBrownSSPM.wR">regional!$L$272</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continental!$L$389</definedName>
    <definedName name="fGrav.aCA.w">continental!$L$463</definedName>
    <definedName name="fGrav.aCAs1CA">continental!$L$430</definedName>
    <definedName name="fGrav.aCAs2CA">continental!$L$436</definedName>
    <definedName name="fGrav.aCAs3CA">continental!$L$442</definedName>
    <definedName name="fGrav.aCS.cwCS">continental!$L$378</definedName>
    <definedName name="fGrav.aCS.s1CS">continental!$L$402</definedName>
    <definedName name="fGrav.aCS.s2CS">continental!$L$413</definedName>
    <definedName name="fGrav.aCS.s3CS">continental!$L$424</definedName>
    <definedName name="fGrav.aCS.w">continental!$L$452</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regional!$L$383</definedName>
    <definedName name="fGrav.aRA.w">regional!$L$457</definedName>
    <definedName name="fGrav.aRAs1RA">regional!$L$424</definedName>
    <definedName name="fGrav.aRAs2RA">regional!$L$430</definedName>
    <definedName name="fGrav.aRAs3RA">regional!$L$436</definedName>
    <definedName name="fGrav.aRS.cwRS">regional!$L$372</definedName>
    <definedName name="fGrav.aRS.s1RS">regional!$L$396</definedName>
    <definedName name="fGrav.aRS.s2RS">regional!$L$407</definedName>
    <definedName name="fGrav.aRS.s3RS">regional!$L$418</definedName>
    <definedName name="fGrav.aRS.w">regional!$L$446</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continental!$L$323</definedName>
    <definedName name="fGravSFP.s1R">regional!$L$317</definedName>
    <definedName name="fGravSFP.s2C">continental!$L$337</definedName>
    <definedName name="fGravSFP.s2R">regional!$L$331</definedName>
    <definedName name="fGravSFP.s3C">continental!$L$351</definedName>
    <definedName name="fGravSFP.s3R">regional!$L$345</definedName>
    <definedName name="fGravSFP.sA">global!$L$541</definedName>
    <definedName name="fGravSFP.sM">global!$L$220</definedName>
    <definedName name="fGravSFP.sT">global!$L$863</definedName>
    <definedName name="fGravSNC.sA">global!$L$531</definedName>
    <definedName name="fGravSNC.sC">continental!$L$312</definedName>
    <definedName name="fGravSNC.sdA">global!$L$511</definedName>
    <definedName name="fGravSNC.sdC">continental!$L$288</definedName>
    <definedName name="fGravSNC.sdM">global!$L$190</definedName>
    <definedName name="fGravSNC.sdR">regional!$L$282</definedName>
    <definedName name="fGravSNC.sdT">global!$L$833</definedName>
    <definedName name="fGravSNC.sM">global!$L$210</definedName>
    <definedName name="fGravSNC.sR">regional!$L$306</definedName>
    <definedName name="fGravSNC.sT">global!$L$853</definedName>
    <definedName name="fGravSNC.wA">global!$L$496</definedName>
    <definedName name="fGravSNC.wC">continental!$L$264</definedName>
    <definedName name="fGravSNC.wM">global!$L$175</definedName>
    <definedName name="fGravSNC.wR">regional!$L$258</definedName>
    <definedName name="fGravSNC.wT">global!$L$818</definedName>
    <definedName name="fGravSP.sdA">global!$L$521</definedName>
    <definedName name="fGravSP.sdC">continental!$L$301</definedName>
    <definedName name="fGravSP.sdM">global!$L$200</definedName>
    <definedName name="fGravSP.sdR">regional!$L$295</definedName>
    <definedName name="fGravSP.sdT">global!$L$843</definedName>
    <definedName name="fGravSSPM.wA">global!$L$506</definedName>
    <definedName name="fGravSSPM.wC">continental!$L$279</definedName>
    <definedName name="fGravSSPM.wM">global!$L$185</definedName>
    <definedName name="fGravSSPM.wR">regional!$L$273</definedName>
    <definedName name="fGravSSPM.wT">global!$L$828</definedName>
    <definedName name="Filter.s1C">continental!$L$315</definedName>
    <definedName name="Filter.s1R">regional!$L$309</definedName>
    <definedName name="Filter.s2C">continental!$L$329</definedName>
    <definedName name="Filter.s2R">regional!$L$323</definedName>
    <definedName name="Filter.s3C">continental!$L$343</definedName>
    <definedName name="Filter.s3R">regional!$L$337</definedName>
    <definedName name="Filter.sA">global!$L$533</definedName>
    <definedName name="Filter.sdA">global!$L$513</definedName>
    <definedName name="Filter.sdC">continental!$L$293</definedName>
    <definedName name="Filter.sdM">global!$L$192</definedName>
    <definedName name="Filter.sdR">regional!$L$287</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continental!$L$388</definedName>
    <definedName name="fIntercept.aCA.s1CA">continental!$L$429</definedName>
    <definedName name="fIntercept.aCA.s2CA">continental!$L$435</definedName>
    <definedName name="fIntercept.aCA.s3CA">continental!$L$441</definedName>
    <definedName name="fIntercept.aCS.cwCS">continental!$L$377</definedName>
    <definedName name="fIntercept.aCS.s1CS">continental!$L$398</definedName>
    <definedName name="fIntercept.aCS.s2CS">continental!$L$409</definedName>
    <definedName name="fIntercept.aCS.s3CS">continental!$L$420</definedName>
    <definedName name="fIntercept.aMA.cwMA">global!$L$258</definedName>
    <definedName name="fIntercept.aMA.sMA">global!$L$277</definedName>
    <definedName name="fIntercept.aMS.cwMS">global!$L$247</definedName>
    <definedName name="fIntercept.aMS.sMS">global!$L$268</definedName>
    <definedName name="fIntercept.aRA.cwRA">regional!$L$382</definedName>
    <definedName name="fIntercept.aRA.s1RA">regional!$L$423</definedName>
    <definedName name="fIntercept.aRA.s2RA">regional!$L$429</definedName>
    <definedName name="fIntercept.aRA.s3RA">regional!$L$435</definedName>
    <definedName name="fIntercept.aRS.cwRS">regional!$L$371</definedName>
    <definedName name="fIntercept.aRS.s1RS">regional!$L$392</definedName>
    <definedName name="fIntercept.aRS.s2RS">regional!$L$403</definedName>
    <definedName name="fIntercept.aRS.s3RS">regional!$L$414</definedName>
    <definedName name="fIntercept.aTA.cwTA">global!$L$901</definedName>
    <definedName name="fIntercept.aTA.sTA">global!$L$920</definedName>
    <definedName name="fIntercept.aTS.cwTS">global!$L$890</definedName>
    <definedName name="fIntercept.aTS.sTS">global!$L$911</definedName>
    <definedName name="fInterceptSFP.s1C">continental!$L$322</definedName>
    <definedName name="fInterceptSFP.s1R">regional!$L$316</definedName>
    <definedName name="fInterceptSFP.s2C">continental!$L$336</definedName>
    <definedName name="fInterceptSFP.s2R">regional!$L$330</definedName>
    <definedName name="fInterceptSFP.s3C">continental!$L$350</definedName>
    <definedName name="fInterceptSFP.s3R">regional!$L$344</definedName>
    <definedName name="fInterceptSFP.sA">global!$L$540</definedName>
    <definedName name="fInterceptSFP.sM">global!$L$219</definedName>
    <definedName name="fInterceptSFP.sT">global!$L$862</definedName>
    <definedName name="fInterceptSNC.w0C">continental!$L$251</definedName>
    <definedName name="fInterceptSNC.w0R">regional!$L$245</definedName>
    <definedName name="fInterceptSNC.w1C">continental!$L$256</definedName>
    <definedName name="fInterceptSNC.w1R">regional!$L$250</definedName>
    <definedName name="fInterceptSNC.w2A">global!$L$488</definedName>
    <definedName name="fInterceptSNC.w2C">continental!$L$261</definedName>
    <definedName name="fInterceptSNC.w2M">global!$L$167</definedName>
    <definedName name="fInterceptSNC.w2R">regional!$L$255</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continental!$L$300</definedName>
    <definedName name="fInterceptSP.sdM">global!$L$199</definedName>
    <definedName name="fInterceptSP.sdR">regional!$L$294</definedName>
    <definedName name="fInterceptSP.sdT">global!$L$842</definedName>
    <definedName name="fInterceptSSPM.w0C">continental!$L$269</definedName>
    <definedName name="fInterceptSSPM.w0R">regional!$L$263</definedName>
    <definedName name="fInterceptSSPM.w1C">continental!$L$273</definedName>
    <definedName name="fInterceptSSPM.w1R">regional!$L$267</definedName>
    <definedName name="fInterceptSSPM.w2A">global!$L$500</definedName>
    <definedName name="fInterceptSSPM.w2C">continental!$L$277</definedName>
    <definedName name="fInterceptSSPM.w2M">global!$L$179</definedName>
    <definedName name="fInterceptSSPM.w2R">regional!$L$271</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continental!$L$224</definedName>
    <definedName name="FRACinf.s1R">regional!$L$218</definedName>
    <definedName name="FRACinf.s2C">continental!$L$225</definedName>
    <definedName name="FRACinf.s2R">regional!$L$219</definedName>
    <definedName name="FRACinf.s3C">continental!$L$226</definedName>
    <definedName name="FRACinf.s3R">regional!$L$220</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continental!$L$188</definedName>
    <definedName name="FRACrun.s1R">regional!$L$182</definedName>
    <definedName name="FRACrun.s2C">continental!$L$189</definedName>
    <definedName name="FRACrun.s2R">regional!$L$183</definedName>
    <definedName name="FRACrun.s3C">continental!$L$190</definedName>
    <definedName name="FRACrun.s3R">regional!$L$184</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regional!$L$354</definedName>
    <definedName name="FRACtwet.A">global!$L$550</definedName>
    <definedName name="FRACtwet.C">continental!$L$360</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continental!$L$396</definedName>
    <definedName name="FRICvelocity.s1R">regional!$L$390</definedName>
    <definedName name="FRICvelocity.s2C">continental!$L$407</definedName>
    <definedName name="FRICvelocity.s2R">regional!$L$401</definedName>
    <definedName name="FRICvelocity.s3C">continental!$L$418</definedName>
    <definedName name="FRICvelocity.s3R">regional!$L$412</definedName>
    <definedName name="FRICvelocity.sA">global!$L$587</definedName>
    <definedName name="FRICvelocity.sM">global!$L$266</definedName>
    <definedName name="FRICvelocity.sT">global!$L$909</definedName>
    <definedName name="FRICvelocity.wA">global!$L$605</definedName>
    <definedName name="FRICvelocity.wC">continental!$L$450</definedName>
    <definedName name="FRICvelocity.wM">global!$L$284</definedName>
    <definedName name="FRICvelocity.wR">regional!$L$444</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continental!$L$390</definedName>
    <definedName name="fTotal.aCS.cwCS">continental!$L$379</definedName>
    <definedName name="fTotal.aMA.cwMA">global!$L$260</definedName>
    <definedName name="fTotal.aMS.cwMS">global!$L$249</definedName>
    <definedName name="fTotal.aRA.cwRA">regional!$L$384</definedName>
    <definedName name="fTotal.aRS.cwRS">regional!$L$373</definedName>
    <definedName name="fTotal.aTA.cwTA">global!$L$903</definedName>
    <definedName name="fTotal.aTS.cwTS">global!$L$892</definedName>
    <definedName name="fTotalSA.w1R">regional!$L$249</definedName>
    <definedName name="fTotalSFP.s1C">continental!$L$317</definedName>
    <definedName name="fTotalSFP.s1R">regional!$L$311</definedName>
    <definedName name="fTotalSFP.s2C">continental!$L$331</definedName>
    <definedName name="fTotalSFP.s2R">regional!$L$325</definedName>
    <definedName name="fTotalSFP.s3C">continental!$L$345</definedName>
    <definedName name="fTotalSFP.s3R">regional!$L$339</definedName>
    <definedName name="fTotalSFP.sA">global!$L$535</definedName>
    <definedName name="fTotalSFP.sM">global!$L$214</definedName>
    <definedName name="fTotalSFP.sT">global!$L$857</definedName>
    <definedName name="fTotalSNC.w0C">continental!$L$250</definedName>
    <definedName name="fTotalSNC.w0R">regional!$L$244</definedName>
    <definedName name="fTotalSNC.w1C">continental!$L$255</definedName>
    <definedName name="fTotalSNC.w1R">regional!$L$249</definedName>
    <definedName name="fTotalSNC.w2A">global!$L$487</definedName>
    <definedName name="fTotalSNC.w2C">continental!$L$260</definedName>
    <definedName name="fTotalSNC.w2M">global!$L$166</definedName>
    <definedName name="fTotalSNC.w2R">regional!$L$254</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continental!$L$295</definedName>
    <definedName name="fTotalSP.sdM">global!$L$194</definedName>
    <definedName name="fTotalSP.sdR">regional!$L$289</definedName>
    <definedName name="fTotalSP.sdT">global!$L$837</definedName>
    <definedName name="fTotalSSPM.w0C">continental!$L$268</definedName>
    <definedName name="fTotalSSPM.w0R">regional!$L$262</definedName>
    <definedName name="fTotalSSPM.w1C">continental!$L$272</definedName>
    <definedName name="fTotalSSPM.w1R">regional!$L$266</definedName>
    <definedName name="fTotalSSPM.w2A">global!$L$499</definedName>
    <definedName name="fTotalSSPM.w2C">continental!$L$276</definedName>
    <definedName name="fTotalSSPM.w2M">global!$L$178</definedName>
    <definedName name="fTotalSSPM.w2R">regional!$L$270</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continental!$L$242</definedName>
    <definedName name="Fuchs.aCS.aCCP">continental!$L$246</definedName>
    <definedName name="Fuchs.aCS.aCNuc">continental!$L$238</definedName>
    <definedName name="Fuchs.aMS.aMAcc">global!$L$157</definedName>
    <definedName name="Fuchs.aMS.aMCP">global!$L$162</definedName>
    <definedName name="Fuchs.aMS.aMNuc">global!$L$152</definedName>
    <definedName name="Fuchs.aRS.aRAcc">regional!$L$236</definedName>
    <definedName name="Fuchs.aRS.aRCP">regional!$L$240</definedName>
    <definedName name="Fuchs.aRS.aRNuc">regional!$L$230</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continental!$L$320</definedName>
    <definedName name="GammPDF.s1R">regional!$L$314</definedName>
    <definedName name="GammPDF.s2C">continental!$L$334</definedName>
    <definedName name="GammPDF.s2R">regional!$L$328</definedName>
    <definedName name="GammPDF.s3C">continental!$L$348</definedName>
    <definedName name="GammPDF.s3R">regional!$L$342</definedName>
    <definedName name="GammPDF.sA">global!$L$538</definedName>
    <definedName name="GammPDF.sdA">global!$L$518</definedName>
    <definedName name="GammPDF.sdC">continental!$L$298</definedName>
    <definedName name="GammPDF.sdM">global!$L$197</definedName>
    <definedName name="GammPDF.sdR">regional!$L$292</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continental!$L$327</definedName>
    <definedName name="GravNumberS.s1R">regional!$L$321</definedName>
    <definedName name="GravNumberS.s2C">continental!$L$341</definedName>
    <definedName name="GravNumberS.s2R">regional!$L$335</definedName>
    <definedName name="GravNumberS.s3C">continental!$L$355</definedName>
    <definedName name="GravNumberS.s3R">regional!$L$349</definedName>
    <definedName name="GravNumberS.sA">global!$L$545</definedName>
    <definedName name="GravNumberS.sM">global!$L$224</definedName>
    <definedName name="GravNumberS.sT">global!$L$867</definedName>
    <definedName name="GravNumberSP.sdA">global!$L$525</definedName>
    <definedName name="GravNumberSP.sdC">continental!$L$305</definedName>
    <definedName name="GravNumberSP.sdM">global!$L$204</definedName>
    <definedName name="GravNumberSP.sdR">regional!$L$299</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continental!$L$197</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continental!$L$519</definedName>
    <definedName name="k.aCA.cwCA">continental!$L$380</definedName>
    <definedName name="k.aCA.s1CA">continental!$L$425</definedName>
    <definedName name="k.aCA.s2CA">continental!$L$431</definedName>
    <definedName name="k.aCA.s3CA">continental!$L$437</definedName>
    <definedName name="k.aCA.w0CA">continental!$L$459</definedName>
    <definedName name="k.aCA.w1CA">continental!$L$464</definedName>
    <definedName name="k.aCA.w2CA">continental!$L$466</definedName>
    <definedName name="k.aCG">continental!$L$197</definedName>
    <definedName name="k.aCP">continental!$L$520</definedName>
    <definedName name="k.aCP.cwCP">continental!$L$391</definedName>
    <definedName name="k.aCP.s1CP">continental!$L$443</definedName>
    <definedName name="k.aCP.s2CP">continental!$L$444</definedName>
    <definedName name="k.aCP.s3CP">continental!$L$445</definedName>
    <definedName name="k.aCP.w0CP">continental!$L$468</definedName>
    <definedName name="k.aCP.w1CP">continental!$L$469</definedName>
    <definedName name="k.aCP.w2CP">continental!$L$470</definedName>
    <definedName name="k.aCS">continental!$L$518</definedName>
    <definedName name="k.aCS.aCA">continental!$L$234</definedName>
    <definedName name="k.aCS.aCP">continental!$L$243</definedName>
    <definedName name="k.aCS.cwCS">continental!$L$371</definedName>
    <definedName name="k.aCS.s1CS">continental!$L$392</definedName>
    <definedName name="k.aCS.s2CS">continental!$L$403</definedName>
    <definedName name="k.aCS.s3CS">continental!$L$414</definedName>
    <definedName name="k.aCS.w0CS">continental!$L$446</definedName>
    <definedName name="k.aCS.w1CS">continental!$L$453</definedName>
    <definedName name="k.aCS.w2CS">continental!$L$456</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regional!$L$513</definedName>
    <definedName name="k.aRA.cwRA">regional!$L$374</definedName>
    <definedName name="k.aRA.s1RA">regional!$L$419</definedName>
    <definedName name="k.aRA.s2RA">regional!$L$425</definedName>
    <definedName name="k.aRA.s3RA">regional!$L$431</definedName>
    <definedName name="k.aRA.w0RA">regional!$L$453</definedName>
    <definedName name="k.aRA.w1RA">regional!$L$458</definedName>
    <definedName name="k.aRA.w2RA">regional!$L$460</definedName>
    <definedName name="k.aRG">regional!$L$191</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regional!$L$514</definedName>
    <definedName name="k.aRP.cwRP">regional!$L$385</definedName>
    <definedName name="k.aRP.s1RP">regional!$L$437</definedName>
    <definedName name="k.aRP.s2RP">regional!$L$438</definedName>
    <definedName name="k.aRP.s3RP">regional!$L$439</definedName>
    <definedName name="k.aRP.w0RP">regional!$L$462</definedName>
    <definedName name="k.aRP.w1RP">regional!$L$463</definedName>
    <definedName name="k.aRP.w2RP">regional!$L$464</definedName>
    <definedName name="k.aRS">regional!$L$512</definedName>
    <definedName name="k.aRS.aRA">regional!$L$228</definedName>
    <definedName name="k.aRS.aRP">regional!$L$237</definedName>
    <definedName name="k.aRS.cwRS">regional!$L$365</definedName>
    <definedName name="k.aRS.s1RS">regional!$L$386</definedName>
    <definedName name="k.aRS.s2RS">regional!$L$397</definedName>
    <definedName name="k.aRS.s3RS">regional!$L$408</definedName>
    <definedName name="k.aRS.w0RS">regional!$L$440</definedName>
    <definedName name="k.aRS.w1RS">regional!$L$447</definedName>
    <definedName name="k.aRS.w2RS">regional!$L$450</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continental!$L$474</definedName>
    <definedName name="k.cwCA.s2CA">continental!$L$475</definedName>
    <definedName name="k.cwCA.s3CA">continental!$L$476</definedName>
    <definedName name="k.cwCA.w0CA">continental!$L$483</definedName>
    <definedName name="k.cwCA.w1CA">continental!$L$484</definedName>
    <definedName name="k.cwCA.w2CA">continental!$L$485</definedName>
    <definedName name="k.cwCP.s1CP">continental!$L$477</definedName>
    <definedName name="k.cwCP.s2CP">continental!$L$478</definedName>
    <definedName name="k.cwCP.s3CP">continental!$L$479</definedName>
    <definedName name="k.cwCP.w0CP">continental!$L$486</definedName>
    <definedName name="k.cwCP.w1CP">continental!$L$487</definedName>
    <definedName name="k.cwCP.w2CP">continental!$L$488</definedName>
    <definedName name="k.cwCS.s1CS">continental!$L$471</definedName>
    <definedName name="k.cwCS.s2CS">continental!$L$472</definedName>
    <definedName name="k.cwCS.s3CS">continental!$L$473</definedName>
    <definedName name="k.cwCS.w0CS">continental!$L$480</definedName>
    <definedName name="k.cwCS.w1CS">continental!$L$481</definedName>
    <definedName name="k.cwCS.w2CS">continental!$L$482</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regional!$L$468</definedName>
    <definedName name="k.cwRA.s2RA">regional!$L$469</definedName>
    <definedName name="k.cwRA.s3RA">regional!$L$470</definedName>
    <definedName name="k.cwRA.w0RA">regional!$L$477</definedName>
    <definedName name="k.cwRA.w1RA">regional!$L$478</definedName>
    <definedName name="k.cwRA.w2RA">regional!$L$479</definedName>
    <definedName name="k.cwRP.s1RP">regional!$L$471</definedName>
    <definedName name="k.cwRP.s2RP">regional!$L$472</definedName>
    <definedName name="k.cwRP.s3RP">regional!$L$473</definedName>
    <definedName name="k.cwRP.w0RP">regional!$L$480</definedName>
    <definedName name="k.cwRP.w1RP">regional!$L$481</definedName>
    <definedName name="k.cwRP.w2RP">regional!$L$482</definedName>
    <definedName name="k.cwRS.s1RS">regional!$L$465</definedName>
    <definedName name="k.cwRS.s2RS">regional!$L$466</definedName>
    <definedName name="k.cwRS.s3RS">regional!$L$467</definedName>
    <definedName name="k.cwRS.w0RS">regional!$L$474</definedName>
    <definedName name="k.cwRS.w1RS">regional!$L$475</definedName>
    <definedName name="k.cwRS.w2RS">regional!$L$476</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continental!$L$204</definedName>
    <definedName name="k.s1C.aC">continental!$L$124</definedName>
    <definedName name="k.s1C.w1C">continental!$L$182</definedName>
    <definedName name="k.s1CA">continental!$L$540</definedName>
    <definedName name="k.s1CA.w1CA">continental!$L$510</definedName>
    <definedName name="k.s1CD">continental!$L$204</definedName>
    <definedName name="k.s1CD.w1CD">continental!$L$182</definedName>
    <definedName name="k.s1CP">continental!$L$541</definedName>
    <definedName name="k.s1CP.w1CP">continental!$L$513</definedName>
    <definedName name="k.s1CS">continental!$L$539</definedName>
    <definedName name="k.s1CS.s1CA">continental!$L$307</definedName>
    <definedName name="k.s1CS.s1CP">continental!$L$314</definedName>
    <definedName name="k.s1CS.w1CS">continental!$L$507</definedName>
    <definedName name="k.s1RA">regional!$L$534</definedName>
    <definedName name="k.s1RA.w1RA">regional!$L$504</definedName>
    <definedName name="k.s1RD">regional!$L$198</definedName>
    <definedName name="k.s1RD.aRG">regional!$L$118</definedName>
    <definedName name="k.s1RD.w1RD">regional!$L$176</definedName>
    <definedName name="k.s1RP">regional!$L$535</definedName>
    <definedName name="k.s1RP.w1RP">regional!$L$507</definedName>
    <definedName name="k.s1RS">regional!$L$533</definedName>
    <definedName name="k.s1RS.s1RA">regional!$L$301</definedName>
    <definedName name="k.s1RS.s1RP">regional!$L$308</definedName>
    <definedName name="k.s1RS.w1RS">regional!$L$501</definedName>
    <definedName name="k.s2C">continental!$L$205</definedName>
    <definedName name="k.s2C.aC">continental!$L$125</definedName>
    <definedName name="k.s2C.w1C">continental!$L$183</definedName>
    <definedName name="k.s2CA">continental!$L$543</definedName>
    <definedName name="k.s2CA.w1CA">continental!$L$511</definedName>
    <definedName name="k.s2CD">continental!$L$205</definedName>
    <definedName name="k.s2CD.w1CD">continental!$L$183</definedName>
    <definedName name="k.s2CP">continental!$L$544</definedName>
    <definedName name="k.s2CP.w1CP">continental!$L$514</definedName>
    <definedName name="k.s2CS">continental!$L$542</definedName>
    <definedName name="k.s2CS.s2CA">continental!$L$308</definedName>
    <definedName name="k.s2CS.s2CP">continental!$L$328</definedName>
    <definedName name="k.s2CS.w1CS">continental!$L$508</definedName>
    <definedName name="k.s2RA">regional!$L$537</definedName>
    <definedName name="k.s2RA.w1RA">regional!$L$505</definedName>
    <definedName name="k.s2RD">regional!$L$199</definedName>
    <definedName name="k.s2RD.aRG">regional!$L$119</definedName>
    <definedName name="k.s2RD.w1RD">regional!$L$177</definedName>
    <definedName name="k.s2RP">regional!$L$538</definedName>
    <definedName name="k.s2RP.w1RP">regional!$L$508</definedName>
    <definedName name="k.s2RS">regional!$L$536</definedName>
    <definedName name="k.s2RS.s2RA">regional!$L$302</definedName>
    <definedName name="k.s2RS.s2RP">regional!$L$322</definedName>
    <definedName name="k.s2RS.w1RS">regional!$L$502</definedName>
    <definedName name="k.s3C">continental!$L$206</definedName>
    <definedName name="k.s3C.aC">continental!$L$126</definedName>
    <definedName name="k.s3C.w1C">continental!$L$184</definedName>
    <definedName name="k.s3CA">continental!$L$546</definedName>
    <definedName name="k.s3CA.w1CA">continental!$L$512</definedName>
    <definedName name="k.s3CD">continental!$L$206</definedName>
    <definedName name="k.s3CD.w1CD">continental!$L$184</definedName>
    <definedName name="k.s3CP">continental!$L$547</definedName>
    <definedName name="k.s3CP.w1CP">continental!$L$515</definedName>
    <definedName name="k.s3CS">continental!$L$545</definedName>
    <definedName name="k.s3CS.s3CA">continental!$L$309</definedName>
    <definedName name="k.s3CS.s3CP">continental!$L$342</definedName>
    <definedName name="k.s3CS.w1CS">continental!$L$509</definedName>
    <definedName name="k.s3RA">regional!$L$540</definedName>
    <definedName name="k.s3RA.w1RA">regional!$L$506</definedName>
    <definedName name="k.s3RD">regional!$L$200</definedName>
    <definedName name="k.s3RD.aRG">regional!$L$120</definedName>
    <definedName name="k.s3RD.w1RD">regional!$L$178</definedName>
    <definedName name="k.s3RP">regional!$L$541</definedName>
    <definedName name="k.s3RP.w1RP">regional!$L$509</definedName>
    <definedName name="k.s3RS">regional!$L$539</definedName>
    <definedName name="k.s3RS.s3RA">regional!$L$303</definedName>
    <definedName name="k.s3RS.s3RP">regional!$L$336</definedName>
    <definedName name="k.s3RS.w1RS">regional!$L$503</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continental!$L$531</definedName>
    <definedName name="k.sd0CA.w0CA">continental!$L$501</definedName>
    <definedName name="k.sd0CD">continental!$L$201</definedName>
    <definedName name="k.sd0CD.w0CD">continental!$L$157</definedName>
    <definedName name="k.sd0CP">continental!$L$532</definedName>
    <definedName name="k.sd0CP.w0CP">continental!$L$504</definedName>
    <definedName name="k.sd0CS">continental!$L$530</definedName>
    <definedName name="k.sd0CS.sd0CA">continental!$L$281</definedName>
    <definedName name="k.sd0CS.sd0CP">continental!$L$290</definedName>
    <definedName name="k.sd0CS.w0CS">continental!$L$498</definedName>
    <definedName name="k.sd0RA">regional!$L$525</definedName>
    <definedName name="k.sd0RA.w0RA">regional!$L$495</definedName>
    <definedName name="k.sd0RD">regional!$L$195</definedName>
    <definedName name="k.sd0RD.w0RD">regional!$L$151</definedName>
    <definedName name="k.sd0RP">regional!$L$526</definedName>
    <definedName name="k.sd0RP.w0RP">regional!$L$498</definedName>
    <definedName name="k.sd0RS">regional!$L$524</definedName>
    <definedName name="k.sd0RS.sd0RA">regional!$L$275</definedName>
    <definedName name="k.sd0RS.sd0RP">regional!$L$284</definedName>
    <definedName name="k.sd0RS.w0RS">regional!$L$492</definedName>
    <definedName name="k.sd1C">continental!$L$202</definedName>
    <definedName name="k.sd1C.w1C">continental!$L$158</definedName>
    <definedName name="k.sd1CA">continental!$L$534</definedName>
    <definedName name="k.sd1CA.w1CA">continental!$L$502</definedName>
    <definedName name="k.sd1CD">continental!$L$202</definedName>
    <definedName name="k.sd1CD.w1CD">continental!$L$158</definedName>
    <definedName name="k.sd1CP">continental!$L$535</definedName>
    <definedName name="k.sd1CP.w1CP">continental!$L$505</definedName>
    <definedName name="k.sd1CS">continental!$L$533</definedName>
    <definedName name="k.sd1CS.sd1CA">continental!$L$283</definedName>
    <definedName name="k.sd1CS.sd1CP">continental!$L$291</definedName>
    <definedName name="k.sd1CS.w1CS">continental!$L$499</definedName>
    <definedName name="k.sd1RA">regional!$L$528</definedName>
    <definedName name="k.sd1RA.w1RA">regional!$L$496</definedName>
    <definedName name="k.sd1RD">regional!$L$196</definedName>
    <definedName name="k.sd1RD.w1RD">regional!$L$152</definedName>
    <definedName name="k.sd1RP">regional!$L$529</definedName>
    <definedName name="k.sd1RP.w1RP">regional!$L$499</definedName>
    <definedName name="k.sd1RS">regional!$L$527</definedName>
    <definedName name="k.sd1RS.sd1RA">regional!$L$277</definedName>
    <definedName name="k.sd1RS.sd1RP">regional!$L$285</definedName>
    <definedName name="k.sd1RS.w1RS">regional!$L$493</definedName>
    <definedName name="k.sd2C">continental!$L$203</definedName>
    <definedName name="k.sd2C.w2C">continental!$L$159</definedName>
    <definedName name="k.sd2CA">continental!$L$537</definedName>
    <definedName name="k.sd2CA.w2CA">continental!$L$503</definedName>
    <definedName name="k.sd2CD">continental!$L$203</definedName>
    <definedName name="k.sd2CD.w2CD">continental!$L$159</definedName>
    <definedName name="k.sd2CP">continental!$L$538</definedName>
    <definedName name="k.sd2CP.w2CP">continental!$L$506</definedName>
    <definedName name="k.sd2CS">continental!$L$536</definedName>
    <definedName name="k.sd2CS.sd2CA">continental!$L$285</definedName>
    <definedName name="k.sd2CS.sd2CP">continental!$L$292</definedName>
    <definedName name="k.sd2CS.w2CS">continental!$L$500</definedName>
    <definedName name="k.sd2RA">regional!$L$531</definedName>
    <definedName name="k.sd2RA.w2RA">regional!$L$497</definedName>
    <definedName name="k.sd2RD">regional!$L$197</definedName>
    <definedName name="k.sd2RD.w2RD">regional!$L$153</definedName>
    <definedName name="k.sd2RP">regional!$L$532</definedName>
    <definedName name="k.sd2RP.w2RP">regional!$L$500</definedName>
    <definedName name="k.sd2RS">regional!$L$530</definedName>
    <definedName name="k.sd2RS.sd2RA">regional!$L$279</definedName>
    <definedName name="k.sd2RS.sd2RP">regional!$L$286</definedName>
    <definedName name="k.sd2RS.w2RS">regional!$L$494</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continental!$L$198</definedName>
    <definedName name="k.w0C.aC">continental!$L$121</definedName>
    <definedName name="k.w0C.sd0C">continental!$L$154</definedName>
    <definedName name="k.w0C.w1C">continental!$L$52</definedName>
    <definedName name="k.w0C.w2C">continental!$L$53</definedName>
    <definedName name="k.w0CA">continental!$L$522</definedName>
    <definedName name="k.w0CA.sd0CA">continental!$L$492</definedName>
    <definedName name="k.w0CD">continental!$L$198</definedName>
    <definedName name="k.w0CD.sd0CD">continental!$L$154</definedName>
    <definedName name="k.w0CP">continental!$L$523</definedName>
    <definedName name="k.w0CP.sd0CP">continental!$L$495</definedName>
    <definedName name="k.w0CS">continental!$L$521</definedName>
    <definedName name="k.w0CS.sd0CS">continental!$L$489</definedName>
    <definedName name="k.w0CS.w0CA">continental!$L$248</definedName>
    <definedName name="k.w0CS.w0CP">continental!$L$266</definedName>
    <definedName name="k.w0R.w1R">regional!$L$51</definedName>
    <definedName name="k.w0R.w2R">regional!$L$52</definedName>
    <definedName name="k.w0RA">regional!$L$516</definedName>
    <definedName name="k.w0RA.sd0RA">regional!$L$486</definedName>
    <definedName name="k.w0RD">regional!$L$192</definedName>
    <definedName name="k.w0RD.aRG">regional!$L$115</definedName>
    <definedName name="k.w0RD.sd0RD">regional!$L$148</definedName>
    <definedName name="k.w0RP">regional!$L$517</definedName>
    <definedName name="k.w0RP.sd0RP">regional!$L$489</definedName>
    <definedName name="k.w0RS">regional!$L$515</definedName>
    <definedName name="k.w0RS.sd0RS">regional!$L$483</definedName>
    <definedName name="k.w0RS.w0RA">regional!$L$242</definedName>
    <definedName name="k.w0RS.w0RP">regional!$L$260</definedName>
    <definedName name="k.w1C">continental!$L$199</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continental!$L$525</definedName>
    <definedName name="k.w1CA.sd1CA">continental!$L$493</definedName>
    <definedName name="k.w1CD">continental!$L$199</definedName>
    <definedName name="k.w1CD.sd1CD">continental!$L$155</definedName>
    <definedName name="k.w1CP">continental!$L$526</definedName>
    <definedName name="k.w1CP.sd1CP">continental!$L$496</definedName>
    <definedName name="k.w1CS">continental!$L$524</definedName>
    <definedName name="k.w1CS.sd1CS">continental!$L$490</definedName>
    <definedName name="k.w1CS.w1CA">continental!$L$253</definedName>
    <definedName name="k.w1CS.w1CP">continental!$L$270</definedName>
    <definedName name="k.w1R.w0R">regional!$L$53</definedName>
    <definedName name="k.w1R.w2R">regional!$L$54</definedName>
    <definedName name="k.w1RA">regional!$L$519</definedName>
    <definedName name="k.w1RA.sd1RA">regional!$L$487</definedName>
    <definedName name="k.w1RD">regional!$L$193</definedName>
    <definedName name="k.w1RD.aRG">regional!$L$116</definedName>
    <definedName name="k.w1RD.sd1RD">regional!$L$149</definedName>
    <definedName name="k.w1RP">regional!$L$520</definedName>
    <definedName name="k.w1RP.sd1RP">regional!$L$490</definedName>
    <definedName name="k.w1RS">regional!$L$518</definedName>
    <definedName name="k.w1RS.sd1RS">regional!$L$484</definedName>
    <definedName name="k.w1RS.w1RA">regional!$L$247</definedName>
    <definedName name="k.w1RS.w1RP">regional!$L$264</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continental!$L$200</definedName>
    <definedName name="k.w2C.aC">continental!$L$123</definedName>
    <definedName name="k.w2C.sd2C">continental!$L$156</definedName>
    <definedName name="k.w2C.w2M">continental!$L$63</definedName>
    <definedName name="k.w2C.w2R">continental!$L$62</definedName>
    <definedName name="k.w2CA">continental!$L$528</definedName>
    <definedName name="k.w2CA.sd2CA">continental!$L$494</definedName>
    <definedName name="k.w2CD">continental!$L$200</definedName>
    <definedName name="k.w2CD.sd2CD">continental!$L$156</definedName>
    <definedName name="k.w2CP">continental!$L$529</definedName>
    <definedName name="k.w2CP.sd2CP">continental!$L$497</definedName>
    <definedName name="k.w2CS">continental!$L$527</definedName>
    <definedName name="k.w2CS.sd2CS">continental!$L$491</definedName>
    <definedName name="k.w2CS.w2CA">continental!$L$258</definedName>
    <definedName name="k.w2CS.w2CP">continental!$L$274</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regional!$L$522</definedName>
    <definedName name="k.w2RA.sd2RA">regional!$L$488</definedName>
    <definedName name="k.w2RD">regional!$L$194</definedName>
    <definedName name="k.w2RD.aRG">regional!$L$117</definedName>
    <definedName name="k.w2RD.sd2RD">regional!$L$150</definedName>
    <definedName name="k.w2RP">regional!$L$523</definedName>
    <definedName name="k.w2RP.sd2RP">regional!$L$491</definedName>
    <definedName name="k.w2RS">regional!$L$521</definedName>
    <definedName name="k.w2RS.sd2RS">regional!$L$485</definedName>
    <definedName name="k.w2RS.w2RA">regional!$L$252</definedName>
    <definedName name="k.w2RS.w2RP">regional!$L$268</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continental!$L$551</definedName>
    <definedName name="kbur.sd0R">regional!$L$545</definedName>
    <definedName name="kbur.sd1C">continental!$L$552</definedName>
    <definedName name="kbur.sd1R">regional!$L$546</definedName>
    <definedName name="kbur.sd2C">continental!$L$553</definedName>
    <definedName name="kbur.sd2R">regional!$L$547</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continental!$L$239</definedName>
    <definedName name="kcoag.aCS.aCNuc">continental!$L$235</definedName>
    <definedName name="kcoag.aMS.aMAcc">global!$L$153</definedName>
    <definedName name="kcoag.aMS.aMNuc">global!$L$148</definedName>
    <definedName name="kcoag.aRS.AccR">regional!$L$233</definedName>
    <definedName name="kcoag.aRS.aRNuc">regional!$L$229</definedName>
    <definedName name="kcoag.aTS.aTAcc">global!$L$796</definedName>
    <definedName name="kcoag.aTS.aTNuc">global!$L$791</definedName>
    <definedName name="KDEG.aA">global!$L$453</definedName>
    <definedName name="KDEG.aC">continental!$L$208</definedName>
    <definedName name="KDEG.aM">global!$L$131</definedName>
    <definedName name="KDEG.aR">regional!$L$202</definedName>
    <definedName name="KDEG.aT">global!$L$775</definedName>
    <definedName name="KDEG.s1C">continental!$L$221</definedName>
    <definedName name="KDEG.s1R">regional!$L$215</definedName>
    <definedName name="KDEG.s2C">continental!$L$222</definedName>
    <definedName name="KDEG.s2R">regional!$L$216</definedName>
    <definedName name="KDEG.s3C">continental!$L$223</definedName>
    <definedName name="KDEG.s3R">regional!$L$217</definedName>
    <definedName name="KDEG.sA">global!$L$462</definedName>
    <definedName name="KDEG.sd0C">continental!$L$218</definedName>
    <definedName name="KDEG.sd0R">regional!$L$212</definedName>
    <definedName name="KDEG.sd1C">continental!$L$219</definedName>
    <definedName name="KDEG.sd1R">regional!$L$213</definedName>
    <definedName name="KDEG.sd2C">continental!$L$220</definedName>
    <definedName name="KDEG.sd2R">regional!$L$214</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continental!$L$211</definedName>
    <definedName name="KDEG.w0R">regional!$L$205</definedName>
    <definedName name="KDEG.w1C">continental!$L$212</definedName>
    <definedName name="KDEG.w1R">regional!$L$206</definedName>
    <definedName name="KDEG.w2A">global!$L$456</definedName>
    <definedName name="KDEG.w2C">continental!$L$213</definedName>
    <definedName name="KDEG.w2M">global!$L$134</definedName>
    <definedName name="KDEG.w2R">regional!$L$207</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continental!$L$207</definedName>
    <definedName name="kesc.aM">global!$L$130</definedName>
    <definedName name="kesc.aR">regional!$L$201</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continental!$L$548</definedName>
    <definedName name="kleach.s1R">regional!$L$542</definedName>
    <definedName name="kleach.s2C">continental!$L$549</definedName>
    <definedName name="kleach.s2R">regional!$L$543</definedName>
    <definedName name="kleach.s3C">continental!$L$550</definedName>
    <definedName name="kleach.s3R">regional!$L$544</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continental!$L$400</definedName>
    <definedName name="largevegradius.s1R">regional!$L$394</definedName>
    <definedName name="largevegradius.s2C">continental!$L$411</definedName>
    <definedName name="largevegradius.s2R">regional!$L$405</definedName>
    <definedName name="largevegradius.s3C">continental!$L$422</definedName>
    <definedName name="largevegradius.s3R">regional!$L$416</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regional!$L$248</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continental!$L$310</definedName>
    <definedName name="NumConcNC.sd0C">continental!$L$282</definedName>
    <definedName name="NumConcNC.sd0R">regional!$L$276</definedName>
    <definedName name="NumConcNC.sd1C">continental!$L$284</definedName>
    <definedName name="NumConcNC.sd1R">regional!$L$278</definedName>
    <definedName name="NumConcNC.sd2C">continental!$L$286</definedName>
    <definedName name="NumConcNC.sd2R">regional!$L$280</definedName>
    <definedName name="NumConcNC.sdA">global!$L$509</definedName>
    <definedName name="NumConcNC.sdM">global!$L$188</definedName>
    <definedName name="NumConcNC.sdT">global!$L$831</definedName>
    <definedName name="NumConcNC.sM">global!$L$207</definedName>
    <definedName name="NumConcNC.sR">regional!$L$304</definedName>
    <definedName name="NumConcNC.sT">global!$L$850</definedName>
    <definedName name="NumConcNC.w0C">continental!$L$249</definedName>
    <definedName name="NumConcNC.w0R">regional!$L$243</definedName>
    <definedName name="NumConcNC.w1C">continental!$L$254</definedName>
    <definedName name="NumConcNC.w1R">regional!$L$248</definedName>
    <definedName name="NumConcNC.w2A">global!$L$486</definedName>
    <definedName name="NumConcNC.w2C">continental!$L$259</definedName>
    <definedName name="NumConcNC.w2M">global!$L$165</definedName>
    <definedName name="NumConcNC.w2R">regional!$L$253</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continental!$L$267</definedName>
    <definedName name="NumConcSPM.w0R">regional!$L$261</definedName>
    <definedName name="NumConcSPM.w1C">continental!$L$271</definedName>
    <definedName name="NumConcSPM.w1R">regional!$L$265</definedName>
    <definedName name="NumConcSPM.w2A">global!$L$498</definedName>
    <definedName name="NumConcSPM.w2C">continental!$L$275</definedName>
    <definedName name="NumConcSPM.w2M">global!$L$177</definedName>
    <definedName name="NumConcSPM.w2R">regional!$L$269</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continental!$L$326</definedName>
    <definedName name="PecletNumberFP.s1R">regional!$L$320</definedName>
    <definedName name="PecletNumberFP.s2C">continental!$L$339</definedName>
    <definedName name="PecletNumberFP.s2R">regional!$L$333</definedName>
    <definedName name="PecletNumberFP.s3C">continental!$L$353</definedName>
    <definedName name="PecletNumberFP.s3R">regional!$L$347</definedName>
    <definedName name="PecletNumberFP.sA">global!$L$543</definedName>
    <definedName name="PecletNumberFP.sM">global!$L$222</definedName>
    <definedName name="PecletNumberFP.sT">global!$L$865</definedName>
    <definedName name="PecletNumberSP.sdA">global!$L$524</definedName>
    <definedName name="PecletNumberSP.sdC">continental!$L$304</definedName>
    <definedName name="PecletNumberSP.sdM">global!$L$203</definedName>
    <definedName name="PecletNumberSP.sdR">regional!$L$298</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continental!$L$321</definedName>
    <definedName name="Por.s1R">regional!$L$315</definedName>
    <definedName name="Por.s2C">continental!$L$335</definedName>
    <definedName name="Por.s2R">regional!$L$329</definedName>
    <definedName name="Por.s3C">continental!$L$349</definedName>
    <definedName name="Por.s3R">regional!$L$343</definedName>
    <definedName name="Por.sA">global!$L$539</definedName>
    <definedName name="Por.sdA">global!$L$519</definedName>
    <definedName name="Por.sdC">continental!$L$299</definedName>
    <definedName name="Por.sdM">global!$L$198</definedName>
    <definedName name="Por.sdR">regional!$L$293</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continental!$L$359</definedName>
    <definedName name="Rad.cwM">global!$L$228</definedName>
    <definedName name="Rad.cwR">regional!$L$353</definedName>
    <definedName name="Rad.cwT">global!$L$871</definedName>
    <definedName name="RadA.aA">global!$L$557</definedName>
    <definedName name="RadA.aC">continental!$L$367</definedName>
    <definedName name="RadA.aM">global!$L$236</definedName>
    <definedName name="RadA.aR">regional!$L$361</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continental!$L$361</definedName>
    <definedName name="RAINrate.wet.M">global!$L$230</definedName>
    <definedName name="RAINrate.wet.R">regional!$L$355</definedName>
    <definedName name="RAINrate.wet.T">global!$L$873</definedName>
    <definedName name="Rdyn_Mt">dynamicR!$I$20:$FH$119</definedName>
    <definedName name="regiodata">scenarios!$K$1:$AC$126</definedName>
    <definedName name="Relax.aCS">continental!$L$372</definedName>
    <definedName name="RelaxA.aA">global!$L$574</definedName>
    <definedName name="RelaxA.aC">continental!$L$383</definedName>
    <definedName name="RelaxA.aM">global!$L$253</definedName>
    <definedName name="RelaxA.aR">regional!$L$377</definedName>
    <definedName name="RelaxA.aT">global!$L$896</definedName>
    <definedName name="RelaxS.aA">global!$L$563</definedName>
    <definedName name="RelaxS.aC">continental!$L$372</definedName>
    <definedName name="RelaxS.aM">global!$L$242</definedName>
    <definedName name="RelaxS.ar">regional!$L$366</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continental!$L$365</definedName>
    <definedName name="ReyNumber.cwM">global!$L$234</definedName>
    <definedName name="ReyNumber.cwR">regional!$L$359</definedName>
    <definedName name="ReyNumber.cwT">global!$L$877</definedName>
    <definedName name="Rho.a">input!$L$331</definedName>
    <definedName name="Rho.w">input!$L$333</definedName>
    <definedName name="RhoA.aA">global!$L$558</definedName>
    <definedName name="RhoA.aC">continental!$L$368</definedName>
    <definedName name="RhoA.aM">global!$L$237</definedName>
    <definedName name="RhoA.aR">regional!$L$362</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continental!$L$375</definedName>
    <definedName name="SchmidtNumberA.aA">global!$L$577</definedName>
    <definedName name="SchmidtNumberA.aC">continental!$L$386</definedName>
    <definedName name="SchmidtNumberA.aM">global!$L$256</definedName>
    <definedName name="SchmidtNumberA.aR">regional!$L$380</definedName>
    <definedName name="SchmidtNumberA.aT">global!$L$899</definedName>
    <definedName name="SchmidtNumberS.aA">global!$L$566</definedName>
    <definedName name="SchmidtNumberS.aC">continental!$L$375</definedName>
    <definedName name="SchmidtNumberS.aM">global!$L$245</definedName>
    <definedName name="SchmidtNumberS.aR">regional!$L$369</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continental!$L$374</definedName>
    <definedName name="SettvelA.aA">global!$L$576</definedName>
    <definedName name="SettvelA.aC">continental!$L$385</definedName>
    <definedName name="SettvelA.aM">global!$L$255</definedName>
    <definedName name="SettvelA.aR">regional!$L$379</definedName>
    <definedName name="SettvelA.aT">global!$L$898</definedName>
    <definedName name="SettvelS.aA">global!$L$565</definedName>
    <definedName name="SettvelS.aC">continental!$L$374</definedName>
    <definedName name="SettvelS.aM">global!$L$244</definedName>
    <definedName name="SettvelS.aR">regional!$L$368</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continental!$L$252</definedName>
    <definedName name="Shear.w0R">regional!$L$246</definedName>
    <definedName name="Shear.w1C">continental!$L$257</definedName>
    <definedName name="Shear.w1R">regional!$L$251</definedName>
    <definedName name="Shear.w2A">global!$L$489</definedName>
    <definedName name="Shear.w2C">continental!$L$262</definedName>
    <definedName name="Shear.w2M">global!$L$168</definedName>
    <definedName name="Shear.w2R">regional!$L$256</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continental!$L$370</definedName>
    <definedName name="SingleMassA.aM">global!$L$239</definedName>
    <definedName name="SingleMassA.aR">regional!$L$364</definedName>
    <definedName name="SingleMassA.AT">global!$L$882</definedName>
    <definedName name="SingleMassS">input!$L$374</definedName>
    <definedName name="SingleVolA.aA">global!$L$559</definedName>
    <definedName name="SingleVolA.aC">continental!$L$369</definedName>
    <definedName name="SingleVolA.aM">global!$L$238</definedName>
    <definedName name="SingleVolA.aR">regional!$L$363</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continental!$L$373</definedName>
    <definedName name="StokesNumberA.aA">global!$L$575</definedName>
    <definedName name="StokesNumberA.aC">continental!$L$384</definedName>
    <definedName name="StokesNumberA.aM">global!$L$254</definedName>
    <definedName name="StokesNumberA.aR">regional!$L$378</definedName>
    <definedName name="StokesNumberA.aT">global!$L$897</definedName>
    <definedName name="StokesNumberS.aA">global!$L$564</definedName>
    <definedName name="StokesNumberS.aC">continental!$L$373</definedName>
    <definedName name="StokesNumberS.aM">global!$L$243</definedName>
    <definedName name="StokesNumberS.aR">regional!$L$367</definedName>
    <definedName name="StokesNumberS.aT">global!$L$886</definedName>
    <definedName name="SURFresist.s1CA">continental!$L$427</definedName>
    <definedName name="SURFresist.s1CS">continental!$L$395</definedName>
    <definedName name="SURFresist.s1RA">regional!$L$421</definedName>
    <definedName name="SURFresist.s1RS">regional!$L$389</definedName>
    <definedName name="SURFresist.s2CA">continental!$L$433</definedName>
    <definedName name="SURFresist.s2CS">continental!$L$406</definedName>
    <definedName name="SURFresist.s2RA">regional!$L$427</definedName>
    <definedName name="SURFresist.s2RS">regional!$L$400</definedName>
    <definedName name="SURFresist.s3CA">continental!$L$439</definedName>
    <definedName name="SURFresist.s3CS">continental!$L$417</definedName>
    <definedName name="SURFresist.s3RA">regional!$L$433</definedName>
    <definedName name="SURFresist.s3RS">regional!$L$411</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continental!$L$461</definedName>
    <definedName name="SURFresist.wCS">continental!$L$449</definedName>
    <definedName name="SURFresist.wMA">global!$L$289</definedName>
    <definedName name="SURFresist.wRA">regional!$L$455</definedName>
    <definedName name="SURFresist.wRS">regional!$L$443</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continental!$L$210</definedName>
    <definedName name="Tempfactor.aM">global!$L$133</definedName>
    <definedName name="Tempfactor.aR">regional!$L$204</definedName>
    <definedName name="Tempfactor.aT">global!$L$777</definedName>
    <definedName name="Tempfactor.wsdsA">global!$L$460</definedName>
    <definedName name="Tempfactor.wsdsC">continental!$L$217</definedName>
    <definedName name="Tempfactor.wsdsM">global!$L$138</definedName>
    <definedName name="Tempfactor.wsdsR">regional!$L$211</definedName>
    <definedName name="Tempfactor.wsdsT">global!$L$782</definedName>
    <definedName name="tend.I">dynamicR!$G$11</definedName>
    <definedName name="tend.II">dynamicR!$H$11</definedName>
    <definedName name="TerminalVel.cwA">global!$L$552</definedName>
    <definedName name="TerminalVel.cwC">continental!$L$362</definedName>
    <definedName name="TerminalVel.cwM">global!$L$231</definedName>
    <definedName name="TerminalVel.cwR">regional!$L$356</definedName>
    <definedName name="TerminalVel.cwT">global!$L$874</definedName>
    <definedName name="ThermvelAcc.aA">global!$L$476</definedName>
    <definedName name="ThermvelAcc.aC">continental!$L$240</definedName>
    <definedName name="ThermvelAcc.aM">global!$L$155</definedName>
    <definedName name="ThermvelAcc.aR">regional!$L$234</definedName>
    <definedName name="ThermvelAcc.aT">global!$L$798</definedName>
    <definedName name="ThermvelCP.aA">global!$L$481</definedName>
    <definedName name="ThermvelCP.aC">continental!$L$244</definedName>
    <definedName name="ThermvelCP.aM">global!$L$160</definedName>
    <definedName name="ThermvelCP.aR">regional!$L$238</definedName>
    <definedName name="ThermvelCP.aT">global!$L$803</definedName>
    <definedName name="ThermvelNuc.aA">global!$L$471</definedName>
    <definedName name="ThermvelNuc.aC">continental!$L$236</definedName>
    <definedName name="ThermvelNuc.aM">global!$L$150</definedName>
    <definedName name="ThermvelNuc.aR">regional!$L$232</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continental!$L$316</definedName>
    <definedName name="Udarcy.s1R">regional!$L$310</definedName>
    <definedName name="Udarcy.s2C">continental!$L$330</definedName>
    <definedName name="Udarcy.s2R">regional!$L$324</definedName>
    <definedName name="Udarcy.s3C">continental!$L$344</definedName>
    <definedName name="Udarcy.s3R">regional!$L$338</definedName>
    <definedName name="Udarcy.sA">global!$L$534</definedName>
    <definedName name="Udarcy.sdA">global!$L$514</definedName>
    <definedName name="Udarcy.sdC">continental!$L$294</definedName>
    <definedName name="Udarcy.sdM">global!$L$193</definedName>
    <definedName name="Udarcy.sdR">regional!$L$288</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continental!$L$324</definedName>
    <definedName name="vdWaalsNumberSFP.s1R">regional!$L$318</definedName>
    <definedName name="vdWaalsNumberSFP.s2C">continental!$L$340</definedName>
    <definedName name="vdWaalsNumberSFP.s2R">regional!$L$334</definedName>
    <definedName name="vdWaalsNumberSFP.s3C">continental!$L$354</definedName>
    <definedName name="vdWaalsNumberSFP.s3R">regional!$L$348</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continental!$L$302</definedName>
    <definedName name="vdWaalsNumberSP.sdM">global!$L$201</definedName>
    <definedName name="vdWaalsNumberSP.sdR">regional!$L$296</definedName>
    <definedName name="vdWaalsNumberSP.sdT">global!$L$844</definedName>
    <definedName name="veghair.s1C">continental!$L$399</definedName>
    <definedName name="veghair.s1R">regional!$L$393</definedName>
    <definedName name="veghair.s2C">continental!$L$410</definedName>
    <definedName name="veghair.s2R">regional!$L$404</definedName>
    <definedName name="veghair.s3C">continental!$L$421</definedName>
    <definedName name="veghair.s3R">regional!$L$415</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6" i="9" l="1"/>
  <c r="I100" i="6"/>
  <c r="I99" i="6"/>
  <c r="K288" i="2"/>
  <c r="K287" i="2"/>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D13" i="5"/>
  <c r="CE13" i="5"/>
  <c r="CF13" i="5"/>
  <c r="CG13" i="5"/>
  <c r="CH13" i="5"/>
  <c r="CI13" i="5"/>
  <c r="CJ13" i="5"/>
  <c r="CK13" i="5"/>
  <c r="CL13" i="5"/>
  <c r="CM13" i="5"/>
  <c r="CN13" i="5"/>
  <c r="CO13" i="5"/>
  <c r="AD13" i="5"/>
  <c r="N259" i="2" l="1"/>
  <c r="P85" i="6"/>
  <c r="N85" i="6"/>
  <c r="L85" i="6"/>
  <c r="L10" i="2"/>
  <c r="AB56" i="3" s="1"/>
  <c r="L8" i="2"/>
  <c r="AB55" i="3" s="1"/>
  <c r="Z18" i="5"/>
  <c r="Y18" i="5"/>
  <c r="X18" i="5"/>
  <c r="J100" i="2" l="1"/>
  <c r="L100" i="2" s="1"/>
  <c r="J99" i="2"/>
  <c r="L99" i="2" s="1"/>
  <c r="J97" i="2"/>
  <c r="L97" i="2" s="1"/>
  <c r="J96" i="2"/>
  <c r="L96" i="2" s="1"/>
  <c r="J79" i="2"/>
  <c r="L79" i="2" s="1"/>
  <c r="J80" i="2"/>
  <c r="L80" i="2" s="1"/>
  <c r="J83" i="2"/>
  <c r="L83" i="2" s="1"/>
  <c r="J84" i="2"/>
  <c r="L84" i="2" s="1"/>
  <c r="J86" i="2"/>
  <c r="L86" i="2" s="1"/>
  <c r="J87" i="2"/>
  <c r="L87" i="2" s="1"/>
  <c r="J91" i="2"/>
  <c r="L91" i="2" s="1"/>
  <c r="J92" i="2"/>
  <c r="L92" i="2" s="1"/>
  <c r="J10" i="2"/>
  <c r="N27" i="2"/>
  <c r="J216" i="2"/>
  <c r="J145" i="2"/>
  <c r="J8" i="2"/>
  <c r="J5" i="2"/>
  <c r="L5" i="2" s="1"/>
  <c r="I9" i="7"/>
  <c r="K94" i="2" l="1"/>
  <c r="K93" i="2"/>
  <c r="K95" i="2"/>
  <c r="K98" i="2"/>
  <c r="K6" i="2"/>
  <c r="AB54" i="3"/>
  <c r="K90" i="2"/>
  <c r="K88" i="2"/>
  <c r="K89" i="2"/>
  <c r="K85" i="2"/>
  <c r="K82" i="2"/>
  <c r="K81" i="2"/>
  <c r="K78" i="2"/>
  <c r="J82" i="2"/>
  <c r="J85" i="2"/>
  <c r="J81" i="2"/>
  <c r="J44" i="2"/>
  <c r="I341" i="7"/>
  <c r="I342" i="7"/>
  <c r="I343" i="7"/>
  <c r="I344" i="7"/>
  <c r="I345" i="7"/>
  <c r="I346" i="7"/>
  <c r="I347" i="7"/>
  <c r="I348" i="7"/>
  <c r="I349" i="7"/>
  <c r="I350" i="7"/>
  <c r="I351" i="7"/>
  <c r="I352" i="7"/>
  <c r="I353" i="7"/>
  <c r="I354" i="7"/>
  <c r="I355" i="7"/>
  <c r="I356" i="7"/>
  <c r="I357" i="7"/>
  <c r="I358" i="7"/>
  <c r="I359" i="7"/>
  <c r="I360" i="7"/>
  <c r="I361" i="7"/>
  <c r="I362" i="7"/>
  <c r="I363"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176"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23" i="7"/>
  <c r="I24" i="7"/>
  <c r="I25" i="7"/>
  <c r="I26" i="7"/>
  <c r="I27" i="7"/>
  <c r="I28" i="7"/>
  <c r="I29" i="7"/>
  <c r="I30" i="7"/>
  <c r="I31" i="7"/>
  <c r="I32" i="7"/>
  <c r="I33" i="7"/>
  <c r="I34" i="7"/>
  <c r="I35" i="7"/>
  <c r="I36" i="7"/>
  <c r="I37" i="7"/>
  <c r="I38" i="7"/>
  <c r="I39" i="7"/>
  <c r="I40" i="7"/>
  <c r="I41" i="7"/>
  <c r="I22" i="7"/>
  <c r="I16" i="7"/>
  <c r="I17" i="7"/>
  <c r="I15" i="7"/>
  <c r="I369" i="7"/>
  <c r="L81" i="2" l="1"/>
  <c r="K105" i="2" s="1"/>
  <c r="L82" i="2"/>
  <c r="L85" i="2"/>
  <c r="Z19" i="5"/>
  <c r="Y19" i="5"/>
  <c r="X19" i="5"/>
  <c r="X17" i="5"/>
  <c r="Y17" i="5"/>
  <c r="Z17" i="5"/>
  <c r="K104" i="2" l="1"/>
  <c r="K108" i="2"/>
  <c r="K109" i="2"/>
  <c r="K107" i="2"/>
  <c r="K106" i="2"/>
  <c r="J102" i="6"/>
  <c r="AE102" i="6"/>
  <c r="AF102" i="6"/>
  <c r="AG102" i="6"/>
  <c r="K307" i="2" l="1"/>
  <c r="K306" i="2"/>
  <c r="K305" i="2"/>
  <c r="K277" i="2"/>
  <c r="K276" i="2"/>
  <c r="K275" i="2"/>
  <c r="I574" i="7" l="1"/>
  <c r="BX3" i="3" l="1"/>
  <c r="BW65" i="3"/>
  <c r="BT164" i="3"/>
  <c r="K422" i="9"/>
  <c r="K421" i="9"/>
  <c r="K411" i="9"/>
  <c r="K410" i="9"/>
  <c r="K400" i="9"/>
  <c r="K399" i="9"/>
  <c r="K344" i="9"/>
  <c r="K330" i="9"/>
  <c r="K316" i="9"/>
  <c r="K294" i="9"/>
  <c r="K207" i="9"/>
  <c r="K169" i="9"/>
  <c r="K148" i="9"/>
  <c r="K132" i="9"/>
  <c r="K131" i="9"/>
  <c r="K913" i="10" l="1"/>
  <c r="K912" i="10"/>
  <c r="K856" i="10"/>
  <c r="K836" i="10"/>
  <c r="K802" i="10"/>
  <c r="K797" i="10"/>
  <c r="K792" i="10"/>
  <c r="K774" i="10"/>
  <c r="K754" i="10"/>
  <c r="K745" i="10"/>
  <c r="K731" i="10"/>
  <c r="K730" i="10"/>
  <c r="K591" i="10"/>
  <c r="K590" i="10"/>
  <c r="K534" i="10"/>
  <c r="K514" i="10"/>
  <c r="K480" i="10"/>
  <c r="K475" i="10"/>
  <c r="K470" i="10"/>
  <c r="K452" i="10"/>
  <c r="K432" i="10"/>
  <c r="K423" i="10"/>
  <c r="K409" i="10"/>
  <c r="K408" i="10"/>
  <c r="K362" i="10"/>
  <c r="K270" i="10"/>
  <c r="K269" i="10"/>
  <c r="K213" i="10"/>
  <c r="K193" i="10"/>
  <c r="K159" i="10"/>
  <c r="K154" i="10"/>
  <c r="K149" i="10"/>
  <c r="K130" i="10"/>
  <c r="K110" i="10"/>
  <c r="K101" i="10"/>
  <c r="K87" i="10"/>
  <c r="K86" i="10"/>
  <c r="K39" i="10"/>
  <c r="K416" i="8"/>
  <c r="K415" i="8"/>
  <c r="K405" i="8"/>
  <c r="K404" i="8"/>
  <c r="K394" i="8"/>
  <c r="K393" i="8"/>
  <c r="K338" i="8"/>
  <c r="K324" i="8"/>
  <c r="K310" i="8"/>
  <c r="K288" i="8"/>
  <c r="K201" i="8"/>
  <c r="K142" i="8"/>
  <c r="K126" i="8"/>
  <c r="K125" i="8"/>
  <c r="AB53" i="3" l="1"/>
  <c r="C4" i="3" l="1"/>
  <c r="BT163" i="3"/>
  <c r="AB4" i="3"/>
  <c r="BX2" i="3"/>
  <c r="BW64" i="3"/>
  <c r="O14" i="2"/>
  <c r="Z24" i="5"/>
  <c r="Y24" i="5"/>
  <c r="X24" i="5"/>
  <c r="I1514" i="7" l="1"/>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1493" i="7"/>
  <c r="I1494" i="7"/>
  <c r="I1495" i="7"/>
  <c r="I1496" i="7"/>
  <c r="I1497" i="7"/>
  <c r="I1498" i="7"/>
  <c r="I1499" i="7"/>
  <c r="I1500" i="7"/>
  <c r="I1501" i="7"/>
  <c r="I1502" i="7"/>
  <c r="I1503" i="7"/>
  <c r="I1504" i="7"/>
  <c r="I1505" i="7"/>
  <c r="I1506" i="7"/>
  <c r="I1507" i="7"/>
  <c r="I1508" i="7"/>
  <c r="I1509" i="7"/>
  <c r="I1510" i="7"/>
  <c r="I1511" i="7"/>
  <c r="I1512" i="7"/>
  <c r="I1513" i="7"/>
  <c r="I1492"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928"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175" i="7"/>
  <c r="I11" i="7"/>
  <c r="I7" i="7"/>
  <c r="Q259" i="2" l="1"/>
  <c r="Z22" i="5"/>
  <c r="Y22" i="5"/>
  <c r="X22" i="5"/>
  <c r="Z23" i="5" l="1"/>
  <c r="Y23" i="5"/>
  <c r="X23" i="5"/>
  <c r="K185" i="2"/>
  <c r="K181" i="2"/>
  <c r="K165" i="2"/>
  <c r="K160" i="2"/>
  <c r="AA13" i="5"/>
  <c r="Z13" i="5"/>
  <c r="Y13" i="5"/>
  <c r="X13" i="5"/>
  <c r="H331" i="12" l="1"/>
  <c r="I331" i="12"/>
  <c r="J331" i="12"/>
  <c r="I6" i="7" l="1"/>
  <c r="I924" i="7"/>
  <c r="I925"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82" i="10"/>
  <c r="J490" i="10"/>
  <c r="J498" i="10"/>
  <c r="J506" i="10"/>
  <c r="J514" i="10"/>
  <c r="J522" i="10"/>
  <c r="J530" i="10"/>
  <c r="J538" i="10"/>
  <c r="J468" i="10"/>
  <c r="J408" i="10"/>
  <c r="J416" i="10"/>
  <c r="J424" i="10"/>
  <c r="J432" i="10"/>
  <c r="J440" i="10"/>
  <c r="J451" i="10"/>
  <c r="J459" i="10"/>
  <c r="J372" i="10"/>
  <c r="J380" i="10"/>
  <c r="J388" i="10"/>
  <c r="J396" i="10"/>
  <c r="L396" i="10" s="1"/>
  <c r="J341" i="10"/>
  <c r="J349" i="10"/>
  <c r="J357" i="10"/>
  <c r="J365" i="10"/>
  <c r="J258" i="10"/>
  <c r="J958" i="10"/>
  <c r="J966" i="10"/>
  <c r="J694" i="10"/>
  <c r="J702" i="10"/>
  <c r="J710" i="10"/>
  <c r="L710" i="10" s="1"/>
  <c r="J718" i="10"/>
  <c r="J729" i="10"/>
  <c r="J737" i="10"/>
  <c r="J745" i="10"/>
  <c r="J753" i="10"/>
  <c r="J761" i="10"/>
  <c r="J772" i="10"/>
  <c r="J780" i="10"/>
  <c r="L780" i="10" s="1"/>
  <c r="J796" i="10"/>
  <c r="J804"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J417" i="10"/>
  <c r="J425" i="10"/>
  <c r="J433" i="10"/>
  <c r="L433" i="10" s="1"/>
  <c r="J441" i="10"/>
  <c r="J452" i="10"/>
  <c r="L452" i="10" s="1"/>
  <c r="J460" i="10"/>
  <c r="J373" i="10"/>
  <c r="J381" i="10"/>
  <c r="J389" i="10"/>
  <c r="J370" i="10"/>
  <c r="J959" i="10"/>
  <c r="J967" i="10"/>
  <c r="J695" i="10"/>
  <c r="J703" i="10"/>
  <c r="L703" i="10" s="1"/>
  <c r="J711" i="10"/>
  <c r="J722" i="10"/>
  <c r="J730" i="10"/>
  <c r="L730" i="10" s="1"/>
  <c r="J738" i="10"/>
  <c r="J746" i="10"/>
  <c r="J754" i="10"/>
  <c r="J762" i="10"/>
  <c r="J773" i="10"/>
  <c r="J781" i="10"/>
  <c r="J789" i="10"/>
  <c r="J797" i="10"/>
  <c r="L797" i="10" s="1"/>
  <c r="J805" i="10"/>
  <c r="J813" i="10"/>
  <c r="J821" i="10"/>
  <c r="J829" i="10"/>
  <c r="J837" i="10"/>
  <c r="J845" i="10"/>
  <c r="J853" i="10"/>
  <c r="J861" i="10"/>
  <c r="J872" i="10"/>
  <c r="J880" i="10"/>
  <c r="J888" i="10"/>
  <c r="J896" i="10"/>
  <c r="J904" i="10"/>
  <c r="J912" i="10"/>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J390" i="10"/>
  <c r="J335" i="10"/>
  <c r="J343" i="10"/>
  <c r="J351" i="10"/>
  <c r="J359" i="10"/>
  <c r="J334" i="10"/>
  <c r="J960" i="10"/>
  <c r="J968" i="10"/>
  <c r="J696" i="10"/>
  <c r="J704" i="10"/>
  <c r="J712" i="10"/>
  <c r="J723" i="10"/>
  <c r="J731" i="10"/>
  <c r="J739" i="10"/>
  <c r="J747" i="10"/>
  <c r="J755" i="10"/>
  <c r="J763" i="10"/>
  <c r="J774" i="10"/>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J336" i="10"/>
  <c r="J344" i="10"/>
  <c r="L344" i="10" s="1"/>
  <c r="J352" i="10"/>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20" i="9"/>
  <c r="J528" i="9"/>
  <c r="J536" i="9"/>
  <c r="J544" i="9"/>
  <c r="J552" i="9"/>
  <c r="J373" i="9"/>
  <c r="J381" i="9"/>
  <c r="J389" i="9"/>
  <c r="J397" i="9"/>
  <c r="J405" i="9"/>
  <c r="L405" i="9" s="1"/>
  <c r="J413" i="9"/>
  <c r="J421" i="9"/>
  <c r="L421" i="9" s="1"/>
  <c r="J429" i="9"/>
  <c r="J437" i="9"/>
  <c r="J445" i="9"/>
  <c r="J453" i="9"/>
  <c r="J461" i="9"/>
  <c r="J469" i="9"/>
  <c r="J477" i="9"/>
  <c r="J485" i="9"/>
  <c r="J493" i="9"/>
  <c r="J501" i="9"/>
  <c r="J509" i="9"/>
  <c r="J360" i="9"/>
  <c r="L360" i="9" s="1"/>
  <c r="J316" i="9"/>
  <c r="L316" i="9" s="1"/>
  <c r="J324" i="9"/>
  <c r="J332" i="9"/>
  <c r="J340" i="9"/>
  <c r="J348" i="9"/>
  <c r="J314" i="9"/>
  <c r="J291" i="9"/>
  <c r="J299" i="9"/>
  <c r="J282" i="9"/>
  <c r="J267" i="9"/>
  <c r="J275" i="9"/>
  <c r="J251" i="9"/>
  <c r="J259" i="9"/>
  <c r="J971" i="10"/>
  <c r="J758" i="10"/>
  <c r="J825" i="10"/>
  <c r="J892" i="10"/>
  <c r="J658" i="10"/>
  <c r="J582" i="10"/>
  <c r="J646" i="10"/>
  <c r="J528" i="10"/>
  <c r="J429" i="10"/>
  <c r="J464" i="10"/>
  <c r="J338" i="10"/>
  <c r="J358" i="10"/>
  <c r="J261" i="10"/>
  <c r="J271" i="10"/>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21" i="9"/>
  <c r="J529" i="9"/>
  <c r="J537" i="9"/>
  <c r="J545" i="9"/>
  <c r="J553" i="9"/>
  <c r="J374" i="9"/>
  <c r="J382" i="9"/>
  <c r="J390" i="9"/>
  <c r="J398" i="9"/>
  <c r="J406" i="9"/>
  <c r="J414" i="9"/>
  <c r="J422" i="9"/>
  <c r="L422" i="9" s="1"/>
  <c r="J430" i="9"/>
  <c r="J438" i="9"/>
  <c r="J446" i="9"/>
  <c r="J454" i="9"/>
  <c r="J462" i="9"/>
  <c r="J470" i="9"/>
  <c r="J478" i="9"/>
  <c r="J486" i="9"/>
  <c r="J494" i="9"/>
  <c r="J502" i="9"/>
  <c r="J510" i="9"/>
  <c r="J361" i="9"/>
  <c r="J317" i="9"/>
  <c r="J325" i="9"/>
  <c r="J333" i="9"/>
  <c r="J341" i="9"/>
  <c r="J349" i="9"/>
  <c r="J308" i="9"/>
  <c r="J292" i="9"/>
  <c r="J300" i="9"/>
  <c r="J283" i="9"/>
  <c r="J268" i="9"/>
  <c r="J276" i="9"/>
  <c r="J252" i="9"/>
  <c r="L252" i="9" s="1"/>
  <c r="J260" i="9"/>
  <c r="J699" i="10"/>
  <c r="J769" i="10"/>
  <c r="J833" i="10"/>
  <c r="J900" i="10"/>
  <c r="J666" i="10"/>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22" i="9"/>
  <c r="J530" i="9"/>
  <c r="J538" i="9"/>
  <c r="J546" i="9"/>
  <c r="J518" i="9"/>
  <c r="J375" i="9"/>
  <c r="J383" i="9"/>
  <c r="J391" i="9"/>
  <c r="J399" i="9"/>
  <c r="L399" i="9" s="1"/>
  <c r="J407" i="9"/>
  <c r="L407" i="9" s="1"/>
  <c r="J415" i="9"/>
  <c r="J423" i="9"/>
  <c r="L423" i="9" s="1"/>
  <c r="J431" i="9"/>
  <c r="J439" i="9"/>
  <c r="J447" i="9"/>
  <c r="J455" i="9"/>
  <c r="L455" i="9" s="1"/>
  <c r="J463" i="9"/>
  <c r="J471" i="9"/>
  <c r="J479" i="9"/>
  <c r="J487" i="9"/>
  <c r="J495" i="9"/>
  <c r="J503" i="9"/>
  <c r="J511" i="9"/>
  <c r="J362" i="9"/>
  <c r="J318" i="9"/>
  <c r="J326" i="9"/>
  <c r="J334" i="9"/>
  <c r="J342" i="9"/>
  <c r="J350"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23" i="9"/>
  <c r="J531" i="9"/>
  <c r="J539" i="9"/>
  <c r="J547" i="9"/>
  <c r="J368" i="9"/>
  <c r="J376" i="9"/>
  <c r="J384" i="9"/>
  <c r="J392" i="9"/>
  <c r="J400" i="9"/>
  <c r="L400" i="9" s="1"/>
  <c r="J408" i="9"/>
  <c r="J416" i="9"/>
  <c r="L416" i="9" s="1"/>
  <c r="J424" i="9"/>
  <c r="J432" i="9"/>
  <c r="J440" i="9"/>
  <c r="J448" i="9"/>
  <c r="L448" i="9" s="1"/>
  <c r="J456" i="9"/>
  <c r="J464" i="9"/>
  <c r="J472" i="9"/>
  <c r="J480" i="9"/>
  <c r="J488" i="9"/>
  <c r="J496" i="9"/>
  <c r="J504" i="9"/>
  <c r="J512" i="9"/>
  <c r="J363" i="9"/>
  <c r="L363" i="9" s="1"/>
  <c r="J319" i="9"/>
  <c r="J327" i="9"/>
  <c r="J335" i="9"/>
  <c r="J343" i="9"/>
  <c r="J351" i="9"/>
  <c r="J310" i="9"/>
  <c r="J294" i="9"/>
  <c r="L294" i="9" s="1"/>
  <c r="J302" i="9"/>
  <c r="J285"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24" i="9"/>
  <c r="J532" i="9"/>
  <c r="J540" i="9"/>
  <c r="J548" i="9"/>
  <c r="J369" i="9"/>
  <c r="J377" i="9"/>
  <c r="J385" i="9"/>
  <c r="J393" i="9"/>
  <c r="J401" i="9"/>
  <c r="L401" i="9" s="1"/>
  <c r="J409" i="9"/>
  <c r="J417" i="9"/>
  <c r="J425" i="9"/>
  <c r="J433" i="9"/>
  <c r="J441" i="9"/>
  <c r="J449" i="9"/>
  <c r="J457" i="9"/>
  <c r="J465" i="9"/>
  <c r="J473" i="9"/>
  <c r="J481" i="9"/>
  <c r="J489" i="9"/>
  <c r="J497" i="9"/>
  <c r="J505" i="9"/>
  <c r="J513" i="9"/>
  <c r="J364" i="9"/>
  <c r="J320" i="9"/>
  <c r="J328" i="9"/>
  <c r="J336" i="9"/>
  <c r="J344" i="9"/>
  <c r="L344" i="9" s="1"/>
  <c r="J352" i="9"/>
  <c r="J295" i="9"/>
  <c r="J303" i="9"/>
  <c r="J286" i="9"/>
  <c r="J271" i="9"/>
  <c r="J279" i="9"/>
  <c r="J255" i="9"/>
  <c r="J263"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25" i="9"/>
  <c r="J533" i="9"/>
  <c r="J541" i="9"/>
  <c r="J549" i="9"/>
  <c r="J370" i="9"/>
  <c r="J378" i="9"/>
  <c r="J386" i="9"/>
  <c r="J394" i="9"/>
  <c r="L394" i="9" s="1"/>
  <c r="J402" i="9"/>
  <c r="J410" i="9"/>
  <c r="L410" i="9" s="1"/>
  <c r="J418" i="9"/>
  <c r="L418" i="9" s="1"/>
  <c r="J426" i="9"/>
  <c r="J434" i="9"/>
  <c r="J442" i="9"/>
  <c r="J450" i="9"/>
  <c r="L450" i="9" s="1"/>
  <c r="J458" i="9"/>
  <c r="L458" i="9" s="1"/>
  <c r="J466" i="9"/>
  <c r="J474" i="9"/>
  <c r="J482" i="9"/>
  <c r="J490" i="9"/>
  <c r="J498" i="9"/>
  <c r="J506" i="9"/>
  <c r="J514" i="9"/>
  <c r="J365" i="9"/>
  <c r="J321" i="9"/>
  <c r="J329" i="9"/>
  <c r="J337" i="9"/>
  <c r="J345" i="9"/>
  <c r="J353" i="9"/>
  <c r="J311" i="9"/>
  <c r="J296" i="9"/>
  <c r="J304" i="9"/>
  <c r="J287" i="9"/>
  <c r="J272"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61" i="10"/>
  <c r="J131" i="10"/>
  <c r="J139" i="10"/>
  <c r="J118" i="10"/>
  <c r="J113" i="10"/>
  <c r="J82" i="10"/>
  <c r="J90" i="10"/>
  <c r="J98" i="10"/>
  <c r="J50" i="10"/>
  <c r="J58" i="10"/>
  <c r="J66" i="10"/>
  <c r="L66" i="10" s="1"/>
  <c r="J74" i="10"/>
  <c r="L74" i="10" s="1"/>
  <c r="J39" i="10"/>
  <c r="L39" i="10" s="1"/>
  <c r="J30" i="10"/>
  <c r="J12" i="10"/>
  <c r="L12" i="10" s="1"/>
  <c r="J20" i="10"/>
  <c r="L20" i="10" s="1"/>
  <c r="J519" i="9"/>
  <c r="J527" i="9"/>
  <c r="J535" i="9"/>
  <c r="J543" i="9"/>
  <c r="J551" i="9"/>
  <c r="J372" i="9"/>
  <c r="J380" i="9"/>
  <c r="J388" i="9"/>
  <c r="J396" i="9"/>
  <c r="L396" i="9" s="1"/>
  <c r="J404" i="9"/>
  <c r="J412" i="9"/>
  <c r="L412" i="9" s="1"/>
  <c r="J420" i="9"/>
  <c r="J428" i="9"/>
  <c r="J436" i="9"/>
  <c r="J444" i="9"/>
  <c r="J452" i="9"/>
  <c r="J460" i="9"/>
  <c r="J468" i="9"/>
  <c r="J476" i="9"/>
  <c r="J484" i="9"/>
  <c r="J492" i="9"/>
  <c r="J500" i="9"/>
  <c r="J508" i="9"/>
  <c r="J367" i="9"/>
  <c r="J315" i="9"/>
  <c r="J323" i="9"/>
  <c r="J331" i="9"/>
  <c r="J339" i="9"/>
  <c r="J734" i="10"/>
  <c r="J449" i="10"/>
  <c r="J304" i="10"/>
  <c r="J203" i="10"/>
  <c r="J130" i="10"/>
  <c r="L130" i="10" s="1"/>
  <c r="J57" i="10"/>
  <c r="J526" i="9"/>
  <c r="J403" i="9"/>
  <c r="J467" i="9"/>
  <c r="J322" i="9"/>
  <c r="J312" i="9"/>
  <c r="J284" i="9"/>
  <c r="J278" i="9"/>
  <c r="J258" i="9"/>
  <c r="J238" i="9"/>
  <c r="J244" i="9"/>
  <c r="J202" i="9"/>
  <c r="J210" i="9"/>
  <c r="J218" i="9"/>
  <c r="J226" i="9"/>
  <c r="J186" i="9"/>
  <c r="J182" i="9"/>
  <c r="J162" i="9"/>
  <c r="J170" i="9"/>
  <c r="L170" i="9" s="1"/>
  <c r="J178" i="9"/>
  <c r="J307" i="9"/>
  <c r="J266" i="9"/>
  <c r="J261" i="9"/>
  <c r="J245" i="9"/>
  <c r="J203" i="9"/>
  <c r="J211" i="9"/>
  <c r="J219" i="9"/>
  <c r="J227" i="9"/>
  <c r="J155" i="9"/>
  <c r="J163" i="9"/>
  <c r="J171" i="9"/>
  <c r="L171" i="9" s="1"/>
  <c r="J179" i="9"/>
  <c r="L179" i="9" s="1"/>
  <c r="J234" i="9"/>
  <c r="J213" i="9"/>
  <c r="J229" i="9"/>
  <c r="J173" i="9"/>
  <c r="J499" i="9"/>
  <c r="J253" i="9"/>
  <c r="J214" i="9"/>
  <c r="L214" i="9" s="1"/>
  <c r="J166" i="9"/>
  <c r="J183" i="10"/>
  <c r="J354" i="9"/>
  <c r="J199" i="9"/>
  <c r="J159" i="9"/>
  <c r="J286" i="10"/>
  <c r="J451" i="9"/>
  <c r="J243" i="9"/>
  <c r="J192" i="9"/>
  <c r="J801" i="10"/>
  <c r="J386" i="10"/>
  <c r="J314" i="10"/>
  <c r="J211" i="10"/>
  <c r="J138" i="10"/>
  <c r="J65" i="10"/>
  <c r="L65" i="10" s="1"/>
  <c r="J534" i="9"/>
  <c r="J411" i="9"/>
  <c r="L411" i="9" s="1"/>
  <c r="J475" i="9"/>
  <c r="J330" i="9"/>
  <c r="L330" i="9" s="1"/>
  <c r="J288" i="9"/>
  <c r="J239" i="9"/>
  <c r="J187" i="9"/>
  <c r="J157" i="9"/>
  <c r="J435" i="9"/>
  <c r="J206" i="9"/>
  <c r="J89" i="10"/>
  <c r="J242" i="9"/>
  <c r="J175" i="9"/>
  <c r="J19" i="10"/>
  <c r="L19" i="10" s="1"/>
  <c r="J236" i="9"/>
  <c r="J160" i="9"/>
  <c r="J865" i="10"/>
  <c r="J350" i="10"/>
  <c r="L350" i="10" s="1"/>
  <c r="J323" i="10"/>
  <c r="J219" i="10"/>
  <c r="J121" i="10"/>
  <c r="J73" i="10"/>
  <c r="J542" i="9"/>
  <c r="J419" i="9"/>
  <c r="J483" i="9"/>
  <c r="J338" i="9"/>
  <c r="J293" i="9"/>
  <c r="J281" i="9"/>
  <c r="J249" i="9"/>
  <c r="J262" i="9"/>
  <c r="L262" i="9" s="1"/>
  <c r="J246" i="9"/>
  <c r="J204" i="9"/>
  <c r="J212" i="9"/>
  <c r="J220" i="9"/>
  <c r="J228" i="9"/>
  <c r="J188" i="9"/>
  <c r="J156" i="9"/>
  <c r="J164" i="9"/>
  <c r="J172" i="9"/>
  <c r="L172" i="9" s="1"/>
  <c r="J180" i="9"/>
  <c r="L180" i="9" s="1"/>
  <c r="J167" i="10"/>
  <c r="J550" i="9"/>
  <c r="J491" i="9"/>
  <c r="J346" i="9"/>
  <c r="J269" i="9"/>
  <c r="J250" i="9"/>
  <c r="J264" i="9"/>
  <c r="J205" i="9"/>
  <c r="J221" i="9"/>
  <c r="J189" i="9"/>
  <c r="J154" i="9"/>
  <c r="J347" i="9"/>
  <c r="J248" i="9"/>
  <c r="J222" i="9"/>
  <c r="J247" i="10"/>
  <c r="J301" i="9"/>
  <c r="J207" i="9"/>
  <c r="L207" i="9" s="1"/>
  <c r="J167" i="9"/>
  <c r="J504" i="10"/>
  <c r="J305" i="9"/>
  <c r="J208" i="9"/>
  <c r="J932" i="10"/>
  <c r="J256" i="10"/>
  <c r="J231" i="10"/>
  <c r="J112" i="10"/>
  <c r="J38" i="10"/>
  <c r="J427" i="9"/>
  <c r="J297" i="9"/>
  <c r="J240" i="9"/>
  <c r="J165" i="9"/>
  <c r="J270" i="9"/>
  <c r="J198" i="9"/>
  <c r="J197" i="9"/>
  <c r="J190" i="9"/>
  <c r="J158" i="9"/>
  <c r="J277" i="10"/>
  <c r="J443" i="9"/>
  <c r="J273" i="9"/>
  <c r="J223" i="9"/>
  <c r="J152" i="10"/>
  <c r="J355" i="9"/>
  <c r="J256" i="9"/>
  <c r="J216" i="9"/>
  <c r="L216" i="9" s="1"/>
  <c r="J168" i="9"/>
  <c r="J558" i="10"/>
  <c r="J268" i="10"/>
  <c r="J239" i="10"/>
  <c r="J175" i="10"/>
  <c r="J81" i="10"/>
  <c r="J29" i="10"/>
  <c r="J371" i="9"/>
  <c r="J298" i="9"/>
  <c r="J241" i="9"/>
  <c r="J174" i="9"/>
  <c r="J11" i="10"/>
  <c r="J254" i="9"/>
  <c r="J191" i="9"/>
  <c r="J387" i="9"/>
  <c r="J184" i="9"/>
  <c r="J379" i="9"/>
  <c r="J215" i="9"/>
  <c r="L215" i="9" s="1"/>
  <c r="J187" i="10"/>
  <c r="J200" i="9"/>
  <c r="J414" i="10"/>
  <c r="L414" i="10" s="1"/>
  <c r="J295" i="10"/>
  <c r="J195" i="10"/>
  <c r="J160" i="10"/>
  <c r="J49" i="10"/>
  <c r="J5" i="10"/>
  <c r="J395" i="9"/>
  <c r="J459" i="9"/>
  <c r="J359" i="9"/>
  <c r="J309" i="9"/>
  <c r="J290" i="9"/>
  <c r="J277" i="9"/>
  <c r="J257" i="9"/>
  <c r="L257" i="9" s="1"/>
  <c r="J237" i="9"/>
  <c r="J201" i="9"/>
  <c r="J209" i="9"/>
  <c r="L209" i="9" s="1"/>
  <c r="J217" i="9"/>
  <c r="J225" i="9"/>
  <c r="J185" i="9"/>
  <c r="J193" i="9"/>
  <c r="J161" i="9"/>
  <c r="J169" i="9"/>
  <c r="L169" i="9" s="1"/>
  <c r="J177" i="9"/>
  <c r="J622" i="10"/>
  <c r="J507" i="9"/>
  <c r="J235" i="9"/>
  <c r="J183" i="9"/>
  <c r="J97" i="10"/>
  <c r="J515" i="9"/>
  <c r="J274" i="9"/>
  <c r="J224" i="9"/>
  <c r="J176" i="9"/>
  <c r="J116" i="9"/>
  <c r="J124" i="9"/>
  <c r="J132" i="9"/>
  <c r="L132" i="9" s="1"/>
  <c r="J140" i="9"/>
  <c r="J148" i="9"/>
  <c r="L148" i="9" s="1"/>
  <c r="J73" i="9"/>
  <c r="J85" i="9"/>
  <c r="J91" i="9"/>
  <c r="J99" i="9"/>
  <c r="J107" i="9"/>
  <c r="J55" i="9"/>
  <c r="J63" i="9"/>
  <c r="J6" i="9"/>
  <c r="J14" i="9"/>
  <c r="J22" i="9"/>
  <c r="J30" i="9"/>
  <c r="L30" i="9" s="1"/>
  <c r="J38" i="9"/>
  <c r="J46" i="9"/>
  <c r="J519" i="8"/>
  <c r="J527" i="8"/>
  <c r="J535" i="8"/>
  <c r="J543" i="8"/>
  <c r="J364" i="8"/>
  <c r="J372" i="8"/>
  <c r="J380" i="8"/>
  <c r="J388" i="8"/>
  <c r="L388" i="8" s="1"/>
  <c r="J396" i="8"/>
  <c r="J404" i="8"/>
  <c r="L404" i="8" s="1"/>
  <c r="J412" i="8"/>
  <c r="L412" i="8" s="1"/>
  <c r="J420" i="8"/>
  <c r="J428" i="8"/>
  <c r="J436" i="8"/>
  <c r="J444" i="8"/>
  <c r="L444" i="8" s="1"/>
  <c r="J452" i="8"/>
  <c r="L452" i="8" s="1"/>
  <c r="J460" i="8"/>
  <c r="J468" i="8"/>
  <c r="J476" i="8"/>
  <c r="J484" i="8"/>
  <c r="J492" i="8"/>
  <c r="J500" i="8"/>
  <c r="J508" i="8"/>
  <c r="J358" i="8"/>
  <c r="J314" i="8"/>
  <c r="J322" i="8"/>
  <c r="J330" i="8"/>
  <c r="J338" i="8"/>
  <c r="L338" i="8" s="1"/>
  <c r="J346" i="8"/>
  <c r="J289" i="8"/>
  <c r="J297" i="8"/>
  <c r="J280" i="8"/>
  <c r="J265" i="8"/>
  <c r="J273" i="8"/>
  <c r="J249" i="8"/>
  <c r="J257" i="8"/>
  <c r="J233" i="8"/>
  <c r="J239" i="8"/>
  <c r="J197" i="8"/>
  <c r="J205" i="8"/>
  <c r="J213" i="8"/>
  <c r="J221" i="8"/>
  <c r="J181"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 i="9"/>
  <c r="J520" i="8"/>
  <c r="J528" i="8"/>
  <c r="J536" i="8"/>
  <c r="J544" i="8"/>
  <c r="J365" i="8"/>
  <c r="J373" i="8"/>
  <c r="J381" i="8"/>
  <c r="J389" i="8"/>
  <c r="J397" i="8"/>
  <c r="J405" i="8"/>
  <c r="L405" i="8" s="1"/>
  <c r="J413" i="8"/>
  <c r="J421" i="8"/>
  <c r="J429" i="8"/>
  <c r="J437" i="8"/>
  <c r="J445" i="8"/>
  <c r="J453" i="8"/>
  <c r="J461" i="8"/>
  <c r="J469" i="8"/>
  <c r="J477" i="8"/>
  <c r="J485" i="8"/>
  <c r="J493" i="8"/>
  <c r="J501" i="8"/>
  <c r="J509" i="8"/>
  <c r="J359" i="8"/>
  <c r="J315" i="8"/>
  <c r="J323" i="8"/>
  <c r="J331" i="8"/>
  <c r="J339" i="8"/>
  <c r="J347" i="8"/>
  <c r="J305" i="8"/>
  <c r="J290" i="8"/>
  <c r="J298" i="8"/>
  <c r="J281" i="8"/>
  <c r="J266" i="8"/>
  <c r="J260" i="8"/>
  <c r="J250" i="8"/>
  <c r="J258" i="8"/>
  <c r="J240" i="8"/>
  <c r="J198" i="8"/>
  <c r="J206" i="8"/>
  <c r="J214" i="8"/>
  <c r="J222" i="8"/>
  <c r="J182" i="8"/>
  <c r="J118" i="9"/>
  <c r="J126" i="9"/>
  <c r="J134" i="9"/>
  <c r="J142" i="9"/>
  <c r="J150" i="9"/>
  <c r="J75" i="9"/>
  <c r="J81" i="9"/>
  <c r="J93" i="9"/>
  <c r="L93" i="9" s="1"/>
  <c r="J101" i="9"/>
  <c r="L101" i="9" s="1"/>
  <c r="J109" i="9"/>
  <c r="J57" i="9"/>
  <c r="J65" i="9"/>
  <c r="J8" i="9"/>
  <c r="J16" i="9"/>
  <c r="J24" i="9"/>
  <c r="J32" i="9"/>
  <c r="L32" i="9" s="1"/>
  <c r="J40" i="9"/>
  <c r="L40" i="9" s="1"/>
  <c r="J513" i="8"/>
  <c r="J521" i="8"/>
  <c r="J529" i="8"/>
  <c r="J537" i="8"/>
  <c r="J545" i="8"/>
  <c r="J366" i="8"/>
  <c r="J374" i="8"/>
  <c r="J382" i="8"/>
  <c r="J390" i="8"/>
  <c r="L390" i="8" s="1"/>
  <c r="J398" i="8"/>
  <c r="J406" i="8"/>
  <c r="L406" i="8" s="1"/>
  <c r="J414" i="8"/>
  <c r="J422" i="8"/>
  <c r="J430" i="8"/>
  <c r="J438" i="8"/>
  <c r="J446" i="8"/>
  <c r="J454" i="8"/>
  <c r="J462" i="8"/>
  <c r="J470" i="8"/>
  <c r="J478" i="8"/>
  <c r="J486" i="8"/>
  <c r="J494" i="8"/>
  <c r="J502" i="8"/>
  <c r="J361" i="8"/>
  <c r="J353" i="8"/>
  <c r="J316" i="8"/>
  <c r="J324" i="8"/>
  <c r="L324" i="8" s="1"/>
  <c r="J332" i="8"/>
  <c r="J340" i="8"/>
  <c r="J348" i="8"/>
  <c r="J306" i="8"/>
  <c r="J291" i="8"/>
  <c r="J299" i="8"/>
  <c r="J282" i="8"/>
  <c r="J267" i="8"/>
  <c r="J243" i="8"/>
  <c r="J251" i="8"/>
  <c r="L251" i="8" s="1"/>
  <c r="J242" i="8"/>
  <c r="J234" i="8"/>
  <c r="J228" i="8"/>
  <c r="J199" i="8"/>
  <c r="J207" i="8"/>
  <c r="J215" i="8"/>
  <c r="J223" i="8"/>
  <c r="J183"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2" i="8"/>
  <c r="J119" i="9"/>
  <c r="J127" i="9"/>
  <c r="J135" i="9"/>
  <c r="J143" i="9"/>
  <c r="J151" i="9"/>
  <c r="J76" i="9"/>
  <c r="J82" i="9"/>
  <c r="L82" i="9" s="1"/>
  <c r="J87" i="9"/>
  <c r="J94" i="9"/>
  <c r="J102" i="9"/>
  <c r="J110" i="9"/>
  <c r="J58" i="9"/>
  <c r="L58" i="9" s="1"/>
  <c r="J66" i="9"/>
  <c r="L66" i="9" s="1"/>
  <c r="J9" i="9"/>
  <c r="J17" i="9"/>
  <c r="J25" i="9"/>
  <c r="J33" i="9"/>
  <c r="L33" i="9" s="1"/>
  <c r="J41" i="9"/>
  <c r="J514" i="8"/>
  <c r="J522" i="8"/>
  <c r="J530" i="8"/>
  <c r="J538" i="8"/>
  <c r="J546" i="8"/>
  <c r="J367" i="8"/>
  <c r="J375" i="8"/>
  <c r="J383" i="8"/>
  <c r="J391" i="8"/>
  <c r="J399" i="8"/>
  <c r="L399" i="8" s="1"/>
  <c r="J407" i="8"/>
  <c r="J415" i="8"/>
  <c r="L415" i="8" s="1"/>
  <c r="J423" i="8"/>
  <c r="J431" i="8"/>
  <c r="J439" i="8"/>
  <c r="J447" i="8"/>
  <c r="J455" i="8"/>
  <c r="J463" i="8"/>
  <c r="J471" i="8"/>
  <c r="J479" i="8"/>
  <c r="J487" i="8"/>
  <c r="J495" i="8"/>
  <c r="J503" i="8"/>
  <c r="J354" i="8"/>
  <c r="L354" i="8" s="1"/>
  <c r="J309" i="8"/>
  <c r="J317" i="8"/>
  <c r="J325" i="8"/>
  <c r="J333" i="8"/>
  <c r="J341" i="8"/>
  <c r="J349" i="8"/>
  <c r="J301" i="8"/>
  <c r="J292" i="8"/>
  <c r="J284" i="8"/>
  <c r="J275" i="8"/>
  <c r="J268" i="8"/>
  <c r="J244" i="8"/>
  <c r="J252" i="8"/>
  <c r="J229" i="8"/>
  <c r="J235" i="8"/>
  <c r="J200" i="8"/>
  <c r="J208" i="8"/>
  <c r="L208" i="8" s="1"/>
  <c r="J216" i="8"/>
  <c r="J191" i="8"/>
  <c r="J152" i="8"/>
  <c r="J160" i="8"/>
  <c r="J120" i="9"/>
  <c r="J128" i="9"/>
  <c r="J136" i="9"/>
  <c r="L136" i="9" s="1"/>
  <c r="J144" i="9"/>
  <c r="J152" i="9"/>
  <c r="J77" i="9"/>
  <c r="J95" i="9"/>
  <c r="J103" i="9"/>
  <c r="J111" i="9"/>
  <c r="L111" i="9" s="1"/>
  <c r="J59" i="9"/>
  <c r="L59" i="9" s="1"/>
  <c r="J52" i="9"/>
  <c r="J10" i="9"/>
  <c r="J18" i="9"/>
  <c r="J26" i="9"/>
  <c r="L26" i="9" s="1"/>
  <c r="J34" i="9"/>
  <c r="L34" i="9" s="1"/>
  <c r="J42" i="9"/>
  <c r="L42" i="9" s="1"/>
  <c r="J515" i="8"/>
  <c r="J523" i="8"/>
  <c r="J531" i="8"/>
  <c r="J539" i="8"/>
  <c r="J547" i="8"/>
  <c r="J368" i="8"/>
  <c r="J376" i="8"/>
  <c r="J384" i="8"/>
  <c r="J392" i="8"/>
  <c r="J400" i="8"/>
  <c r="J408" i="8"/>
  <c r="J416" i="8"/>
  <c r="L416" i="8" s="1"/>
  <c r="J424" i="8"/>
  <c r="J432" i="8"/>
  <c r="J440" i="8"/>
  <c r="J448" i="8"/>
  <c r="J456" i="8"/>
  <c r="J464" i="8"/>
  <c r="J472" i="8"/>
  <c r="J480" i="8"/>
  <c r="J488" i="8"/>
  <c r="J496" i="8"/>
  <c r="J504" i="8"/>
  <c r="J355" i="8"/>
  <c r="J310" i="8"/>
  <c r="L310" i="8" s="1"/>
  <c r="J318" i="8"/>
  <c r="J326" i="8"/>
  <c r="J334" i="8"/>
  <c r="J342" i="8"/>
  <c r="J308" i="8"/>
  <c r="J285" i="8"/>
  <c r="J293" i="8"/>
  <c r="J276" i="8"/>
  <c r="J261" i="8"/>
  <c r="J269" i="8"/>
  <c r="J245" i="8"/>
  <c r="J253" i="8"/>
  <c r="J236" i="8"/>
  <c r="J193" i="8"/>
  <c r="J201" i="8"/>
  <c r="L201" i="8" s="1"/>
  <c r="J209" i="8"/>
  <c r="L209" i="8" s="1"/>
  <c r="J217" i="8"/>
  <c r="J177" i="8"/>
  <c r="J185"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16" i="8"/>
  <c r="J524" i="8"/>
  <c r="J532" i="8"/>
  <c r="J540" i="8"/>
  <c r="J512" i="8"/>
  <c r="J369" i="8"/>
  <c r="J377" i="8"/>
  <c r="J385" i="8"/>
  <c r="J393" i="8"/>
  <c r="L393" i="8" s="1"/>
  <c r="J401" i="8"/>
  <c r="L401" i="8" s="1"/>
  <c r="J409" i="8"/>
  <c r="J417" i="8"/>
  <c r="L417" i="8" s="1"/>
  <c r="J425" i="8"/>
  <c r="J433" i="8"/>
  <c r="J441" i="8"/>
  <c r="J449" i="8"/>
  <c r="L449" i="8" s="1"/>
  <c r="J457" i="8"/>
  <c r="J465" i="8"/>
  <c r="J473" i="8"/>
  <c r="J481" i="8"/>
  <c r="J489" i="8"/>
  <c r="J497" i="8"/>
  <c r="J505" i="8"/>
  <c r="J311" i="8"/>
  <c r="J319" i="8"/>
  <c r="J327" i="8"/>
  <c r="J335" i="8"/>
  <c r="J343" i="8"/>
  <c r="J302" i="8"/>
  <c r="J286" i="8"/>
  <c r="J294" i="8"/>
  <c r="J277" i="8"/>
  <c r="J262" i="8"/>
  <c r="J270" i="8"/>
  <c r="J246" i="8"/>
  <c r="L246" i="8" s="1"/>
  <c r="J254" i="8"/>
  <c r="J230" i="8"/>
  <c r="J237" i="8"/>
  <c r="J194" i="8"/>
  <c r="J202" i="8"/>
  <c r="J210" i="8"/>
  <c r="L210" i="8" s="1"/>
  <c r="J218" i="8"/>
  <c r="J178" i="8"/>
  <c r="J186"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18" i="8"/>
  <c r="J526" i="8"/>
  <c r="J534" i="8"/>
  <c r="J542" i="8"/>
  <c r="J363" i="8"/>
  <c r="J371" i="8"/>
  <c r="J379" i="8"/>
  <c r="J387" i="8"/>
  <c r="J395" i="8"/>
  <c r="L395" i="8" s="1"/>
  <c r="J403" i="8"/>
  <c r="J411" i="8"/>
  <c r="J419" i="8"/>
  <c r="J427" i="8"/>
  <c r="J435" i="8"/>
  <c r="J443" i="8"/>
  <c r="J451" i="8"/>
  <c r="J459" i="8"/>
  <c r="J467" i="8"/>
  <c r="J475" i="8"/>
  <c r="J483" i="8"/>
  <c r="J491" i="8"/>
  <c r="J499" i="8"/>
  <c r="J507" i="8"/>
  <c r="J357" i="8"/>
  <c r="L357" i="8" s="1"/>
  <c r="J313" i="8"/>
  <c r="J321" i="8"/>
  <c r="J329" i="8"/>
  <c r="J337" i="8"/>
  <c r="J345" i="8"/>
  <c r="J304" i="8"/>
  <c r="J288" i="8"/>
  <c r="L288" i="8" s="1"/>
  <c r="J296" i="8"/>
  <c r="J279" i="8"/>
  <c r="J264" i="8"/>
  <c r="J272" i="8"/>
  <c r="J248" i="8"/>
  <c r="J256" i="8"/>
  <c r="L256" i="8" s="1"/>
  <c r="J232" i="8"/>
  <c r="J238" i="8"/>
  <c r="J196" i="8"/>
  <c r="J204" i="8"/>
  <c r="J212" i="8"/>
  <c r="J220" i="8"/>
  <c r="J180" i="8"/>
  <c r="J176" i="8"/>
  <c r="J156" i="8"/>
  <c r="J122" i="9"/>
  <c r="J97" i="9"/>
  <c r="J36" i="9"/>
  <c r="L36" i="9" s="1"/>
  <c r="J378" i="8"/>
  <c r="J442" i="8"/>
  <c r="L442" i="8" s="1"/>
  <c r="J506" i="8"/>
  <c r="J287"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4" i="8"/>
  <c r="J114" i="8"/>
  <c r="J136" i="8"/>
  <c r="J89" i="8"/>
  <c r="J8" i="8"/>
  <c r="J30" i="8"/>
  <c r="L30" i="8" s="1"/>
  <c r="J130" i="9"/>
  <c r="J105" i="9"/>
  <c r="J44" i="9"/>
  <c r="J386" i="8"/>
  <c r="J450" i="8"/>
  <c r="J356" i="8"/>
  <c r="J295" i="8"/>
  <c r="J195" i="8"/>
  <c r="J155" i="8"/>
  <c r="J174" i="8"/>
  <c r="L174" i="8" s="1"/>
  <c r="J119" i="8"/>
  <c r="J129" i="8"/>
  <c r="J140" i="8"/>
  <c r="J68" i="8"/>
  <c r="J76" i="8"/>
  <c r="L76" i="8" s="1"/>
  <c r="J83" i="8"/>
  <c r="J94" i="8"/>
  <c r="J104" i="8"/>
  <c r="J60" i="8"/>
  <c r="J13" i="8"/>
  <c r="J45" i="8"/>
  <c r="L45" i="8" s="1"/>
  <c r="J69" i="8"/>
  <c r="J105" i="8"/>
  <c r="L105" i="8" s="1"/>
  <c r="J24" i="8"/>
  <c r="J48" i="8"/>
  <c r="J88" i="8"/>
  <c r="J490" i="8"/>
  <c r="J138" i="9"/>
  <c r="J53" i="9"/>
  <c r="J517" i="8"/>
  <c r="J394" i="8"/>
  <c r="L394" i="8" s="1"/>
  <c r="J458" i="8"/>
  <c r="J312" i="8"/>
  <c r="J278" i="8"/>
  <c r="J203" i="8"/>
  <c r="L203" i="8" s="1"/>
  <c r="J158" i="8"/>
  <c r="J110" i="8"/>
  <c r="J130" i="8"/>
  <c r="L130" i="8" s="1"/>
  <c r="J142" i="8"/>
  <c r="L142" i="8" s="1"/>
  <c r="J85" i="8"/>
  <c r="J49" i="8"/>
  <c r="J14" i="8"/>
  <c r="J46" i="8"/>
  <c r="J37" i="8"/>
  <c r="L37" i="8" s="1"/>
  <c r="J124" i="8"/>
  <c r="J344" i="8"/>
  <c r="J146" i="8"/>
  <c r="J40" i="8"/>
  <c r="L40" i="8" s="1"/>
  <c r="J146" i="9"/>
  <c r="J61" i="9"/>
  <c r="J525" i="8"/>
  <c r="J402" i="8"/>
  <c r="J466" i="8"/>
  <c r="J320" i="8"/>
  <c r="J263" i="8"/>
  <c r="J211" i="8"/>
  <c r="J163" i="8"/>
  <c r="J111" i="8"/>
  <c r="J121" i="8"/>
  <c r="J132" i="8"/>
  <c r="J143" i="8"/>
  <c r="J70" i="8"/>
  <c r="J86" i="8"/>
  <c r="J96" i="8"/>
  <c r="J52" i="8"/>
  <c r="J15" i="8"/>
  <c r="J29" i="8"/>
  <c r="L29" i="8" s="1"/>
  <c r="J362" i="8"/>
  <c r="J101" i="8"/>
  <c r="J71" i="9"/>
  <c r="J50" i="9"/>
  <c r="J533" i="8"/>
  <c r="J410" i="8"/>
  <c r="L410" i="8" s="1"/>
  <c r="J474" i="8"/>
  <c r="J328" i="8"/>
  <c r="J271" i="8"/>
  <c r="J219" i="8"/>
  <c r="J164" i="8"/>
  <c r="J112" i="8"/>
  <c r="J122" i="8"/>
  <c r="J134" i="8"/>
  <c r="J144" i="8"/>
  <c r="J71" i="8"/>
  <c r="J79" i="8"/>
  <c r="J87" i="8"/>
  <c r="L87" i="8" s="1"/>
  <c r="J97" i="8"/>
  <c r="J54" i="8"/>
  <c r="J6" i="8"/>
  <c r="J16" i="8"/>
  <c r="J28" i="8"/>
  <c r="L28" i="8" s="1"/>
  <c r="J38" i="8"/>
  <c r="J130" i="2"/>
  <c r="J12" i="9"/>
  <c r="J541" i="8"/>
  <c r="J418" i="8"/>
  <c r="J482" i="8"/>
  <c r="J336" i="8"/>
  <c r="J247" i="8"/>
  <c r="J179" i="8"/>
  <c r="J166" i="8"/>
  <c r="L166" i="8" s="1"/>
  <c r="J113" i="8"/>
  <c r="J145" i="8"/>
  <c r="J80" i="8"/>
  <c r="L80" i="8" s="1"/>
  <c r="J7" i="8"/>
  <c r="J255" i="8"/>
  <c r="J168" i="8"/>
  <c r="J126" i="8"/>
  <c r="L126" i="8" s="1"/>
  <c r="J56" i="8"/>
  <c r="J20" i="8"/>
  <c r="J89" i="9"/>
  <c r="J28" i="9"/>
  <c r="L28" i="9" s="1"/>
  <c r="J370" i="8"/>
  <c r="J434" i="8"/>
  <c r="J498" i="8"/>
  <c r="J303" i="8"/>
  <c r="J231" i="8"/>
  <c r="J187" i="8"/>
  <c r="J171" i="8"/>
  <c r="J116" i="8"/>
  <c r="J127" i="8"/>
  <c r="J137" i="8"/>
  <c r="J65" i="8"/>
  <c r="J74" i="8"/>
  <c r="J81" i="8"/>
  <c r="J91" i="8"/>
  <c r="J102" i="8"/>
  <c r="J57" i="8"/>
  <c r="L57" i="8" s="1"/>
  <c r="J10" i="8"/>
  <c r="J21" i="8"/>
  <c r="J31" i="8"/>
  <c r="L31" i="8" s="1"/>
  <c r="J42" i="8"/>
  <c r="L42" i="8" s="1"/>
  <c r="J99" i="8"/>
  <c r="J55" i="8"/>
  <c r="J39" i="8"/>
  <c r="L39" i="8" s="1"/>
  <c r="J426" i="8"/>
  <c r="C7" i="13"/>
  <c r="C6" i="3"/>
  <c r="AB6" i="3"/>
  <c r="C7" i="3"/>
  <c r="AB7" i="3"/>
  <c r="J340" i="2"/>
  <c r="L340" i="2" s="1"/>
  <c r="K358" i="2" s="1"/>
  <c r="L913" i="10"/>
  <c r="L811" i="10"/>
  <c r="L754" i="10"/>
  <c r="L704" i="10"/>
  <c r="L663" i="10"/>
  <c r="L587" i="10"/>
  <c r="L735" i="10"/>
  <c r="L668" i="10"/>
  <c r="L912" i="10"/>
  <c r="L696" i="10"/>
  <c r="L585" i="10"/>
  <c r="L745" i="10"/>
  <c r="L666" i="10"/>
  <c r="L851" i="10"/>
  <c r="L774" i="10"/>
  <c r="L755" i="10"/>
  <c r="L737" i="10"/>
  <c r="L731" i="10"/>
  <c r="L709" i="10"/>
  <c r="L744" i="10"/>
  <c r="J467" i="10"/>
  <c r="L408" i="10"/>
  <c r="J367" i="10"/>
  <c r="J331" i="10"/>
  <c r="L459" i="10"/>
  <c r="J399" i="10"/>
  <c r="L349" i="10"/>
  <c r="J330" i="10"/>
  <c r="L271" i="10"/>
  <c r="L489" i="10"/>
  <c r="J397" i="10"/>
  <c r="L348" i="10"/>
  <c r="L343" i="10"/>
  <c r="J329" i="10"/>
  <c r="L718" i="10"/>
  <c r="L683" i="10"/>
  <c r="L603" i="10"/>
  <c r="L432" i="10"/>
  <c r="L391" i="10"/>
  <c r="L382" i="10"/>
  <c r="L927" i="10"/>
  <c r="L553" i="10"/>
  <c r="L781" i="10"/>
  <c r="J369" i="10"/>
  <c r="L270" i="10"/>
  <c r="L423" i="10"/>
  <c r="L409" i="10"/>
  <c r="L352" i="10"/>
  <c r="L470" i="10"/>
  <c r="L351" i="10"/>
  <c r="J333" i="10"/>
  <c r="L760" i="10"/>
  <c r="L381" i="10"/>
  <c r="J4" i="8"/>
  <c r="L388" i="10"/>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L287" i="2"/>
  <c r="I97" i="6" s="1"/>
  <c r="J265" i="2"/>
  <c r="L265" i="2" s="1"/>
  <c r="J269" i="2"/>
  <c r="L269" i="2" s="1"/>
  <c r="J259" i="2"/>
  <c r="L259"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L288" i="2"/>
  <c r="I98" i="6" s="1"/>
  <c r="J264" i="2"/>
  <c r="L264" i="2" s="1"/>
  <c r="J268" i="2"/>
  <c r="L268" i="2" s="1"/>
  <c r="J260" i="2"/>
  <c r="L260" i="2" s="1"/>
  <c r="J153" i="2"/>
  <c r="J147" i="2"/>
  <c r="J253" i="2"/>
  <c r="J248" i="2"/>
  <c r="J143" i="2"/>
  <c r="J139" i="2"/>
  <c r="J241" i="2"/>
  <c r="J237" i="2"/>
  <c r="J232" i="2"/>
  <c r="J228" i="2"/>
  <c r="J133" i="2"/>
  <c r="J220" i="2"/>
  <c r="J215" i="2"/>
  <c r="L215" i="2" s="1"/>
  <c r="Q338" i="2"/>
  <c r="Q339" i="2"/>
  <c r="Q228" i="2"/>
  <c r="C6" i="13"/>
  <c r="G6" i="4"/>
  <c r="G7" i="4"/>
  <c r="J184" i="2"/>
  <c r="L184" i="2" s="1"/>
  <c r="B846" i="11"/>
  <c r="B844" i="11"/>
  <c r="B842" i="11"/>
  <c r="I101" i="6" l="1"/>
  <c r="N291" i="2"/>
  <c r="I118" i="6"/>
  <c r="I123" i="6"/>
  <c r="I122" i="6"/>
  <c r="I119" i="6"/>
  <c r="I121" i="6"/>
  <c r="I120" i="6"/>
  <c r="K261" i="10"/>
  <c r="K391" i="9"/>
  <c r="K385" i="8"/>
  <c r="K904" i="10"/>
  <c r="K582" i="10"/>
  <c r="CZ132" i="12"/>
  <c r="CX130" i="12"/>
  <c r="CY131" i="12"/>
  <c r="K547" i="8"/>
  <c r="L547" i="8" s="1"/>
  <c r="K164" i="8"/>
  <c r="L164" i="8" s="1"/>
  <c r="K545" i="8" s="1"/>
  <c r="L545" i="8" s="1"/>
  <c r="K546" i="8"/>
  <c r="I129" i="6"/>
  <c r="K187" i="9"/>
  <c r="L187" i="9" s="1"/>
  <c r="K185" i="9"/>
  <c r="L185" i="9" s="1"/>
  <c r="K186" i="9"/>
  <c r="L186" i="9" s="1"/>
  <c r="I135" i="6"/>
  <c r="K25" i="8"/>
  <c r="L25" i="8" s="1"/>
  <c r="K226" i="9"/>
  <c r="L226" i="9" s="1"/>
  <c r="K224" i="9"/>
  <c r="L224" i="9" s="1"/>
  <c r="K225" i="9"/>
  <c r="L225" i="9" s="1"/>
  <c r="K364" i="2"/>
  <c r="L364" i="2" s="1"/>
  <c r="K189" i="9"/>
  <c r="L189" i="9" s="1"/>
  <c r="K190" i="9"/>
  <c r="L190" i="9" s="1"/>
  <c r="K188" i="9"/>
  <c r="L188" i="9" s="1"/>
  <c r="I138" i="6"/>
  <c r="K776" i="10"/>
  <c r="L776" i="10" s="1"/>
  <c r="K366" i="2"/>
  <c r="L366" i="2" s="1"/>
  <c r="K44" i="8"/>
  <c r="L44" i="8" s="1"/>
  <c r="K343" i="8" s="1"/>
  <c r="L343" i="8" s="1"/>
  <c r="K342" i="10"/>
  <c r="L342" i="10" s="1"/>
  <c r="K339" i="10" s="1"/>
  <c r="L339" i="10" s="1"/>
  <c r="K13" i="10"/>
  <c r="L13" i="10" s="1"/>
  <c r="K664" i="10"/>
  <c r="L664" i="10" s="1"/>
  <c r="K191" i="9"/>
  <c r="L191" i="9" s="1"/>
  <c r="K150" i="9"/>
  <c r="L150" i="9" s="1"/>
  <c r="K227" i="9"/>
  <c r="L227" i="9" s="1"/>
  <c r="K44" i="9"/>
  <c r="L44" i="9" s="1"/>
  <c r="K299" i="9"/>
  <c r="L299" i="9" s="1"/>
  <c r="K46" i="9"/>
  <c r="L46" i="9" s="1"/>
  <c r="K166" i="9" s="1"/>
  <c r="L166" i="9" s="1"/>
  <c r="K553" i="9"/>
  <c r="L553" i="9" s="1"/>
  <c r="K25" i="9"/>
  <c r="L25" i="9" s="1"/>
  <c r="I139" i="6"/>
  <c r="I131" i="6"/>
  <c r="K24" i="9"/>
  <c r="L24" i="9" s="1"/>
  <c r="K361" i="9"/>
  <c r="L361" i="9" s="1"/>
  <c r="I141" i="6"/>
  <c r="K360" i="2"/>
  <c r="L360" i="2" s="1"/>
  <c r="K249" i="9" s="1"/>
  <c r="K24" i="8"/>
  <c r="L24" i="8" s="1"/>
  <c r="I128" i="6"/>
  <c r="K245" i="9"/>
  <c r="L245" i="9" s="1"/>
  <c r="K241" i="9"/>
  <c r="L241" i="9" s="1"/>
  <c r="K328" i="10"/>
  <c r="L328" i="10" s="1"/>
  <c r="K550" i="10"/>
  <c r="L550" i="10" s="1"/>
  <c r="K872" i="10"/>
  <c r="L872" i="10" s="1"/>
  <c r="K193" i="9"/>
  <c r="L193" i="9" s="1"/>
  <c r="K152" i="9"/>
  <c r="L152" i="9" s="1"/>
  <c r="K229" i="9"/>
  <c r="L229" i="9" s="1"/>
  <c r="K38" i="9"/>
  <c r="L38" i="9" s="1"/>
  <c r="K552" i="9"/>
  <c r="L552" i="9" s="1"/>
  <c r="K228" i="9"/>
  <c r="L228" i="9" s="1"/>
  <c r="K192" i="9"/>
  <c r="L192" i="9" s="1"/>
  <c r="K151" i="9"/>
  <c r="L151" i="9" s="1"/>
  <c r="K41" i="9"/>
  <c r="L41" i="9" s="1"/>
  <c r="K551" i="9"/>
  <c r="L551" i="9" s="1"/>
  <c r="K26" i="10"/>
  <c r="L26" i="10" s="1"/>
  <c r="K109" i="10" s="1"/>
  <c r="L109" i="10" s="1"/>
  <c r="K198" i="10"/>
  <c r="L198" i="10" s="1"/>
  <c r="K38" i="10"/>
  <c r="L38" i="10" s="1"/>
  <c r="K684" i="10"/>
  <c r="L684" i="10" s="1"/>
  <c r="K38" i="8"/>
  <c r="L38" i="8" s="1"/>
  <c r="K355" i="10"/>
  <c r="L355" i="10" s="1"/>
  <c r="K519" i="10"/>
  <c r="L519" i="10" s="1"/>
  <c r="K649" i="10"/>
  <c r="L649" i="10" s="1"/>
  <c r="L756" i="10"/>
  <c r="K146" i="8"/>
  <c r="L146" i="8" s="1"/>
  <c r="K187" i="8"/>
  <c r="L187" i="8" s="1"/>
  <c r="K223" i="8"/>
  <c r="L223" i="8" s="1"/>
  <c r="K656" i="10"/>
  <c r="L656" i="10" s="1"/>
  <c r="K660" i="10"/>
  <c r="L660" i="10" s="1"/>
  <c r="K658" i="10"/>
  <c r="L658" i="10" s="1"/>
  <c r="K680" i="10"/>
  <c r="L680" i="10" s="1"/>
  <c r="K659" i="10"/>
  <c r="L659" i="10" s="1"/>
  <c r="K16" i="8"/>
  <c r="L16" i="8" s="1"/>
  <c r="B982" i="11"/>
  <c r="K218" i="8"/>
  <c r="L218" i="8" s="1"/>
  <c r="K220" i="8"/>
  <c r="L220" i="8" s="1"/>
  <c r="K219" i="8"/>
  <c r="L219" i="8" s="1"/>
  <c r="K675" i="10"/>
  <c r="L675" i="10" s="1"/>
  <c r="K181" i="8"/>
  <c r="L181" i="8" s="1"/>
  <c r="K180" i="8"/>
  <c r="L180" i="8" s="1"/>
  <c r="K179" i="8"/>
  <c r="L179" i="8" s="1"/>
  <c r="K239" i="8"/>
  <c r="L239" i="8" s="1"/>
  <c r="K235" i="8"/>
  <c r="L235" i="8" s="1"/>
  <c r="K156" i="10"/>
  <c r="L156" i="10" s="1"/>
  <c r="K477" i="10"/>
  <c r="L477" i="10" s="1"/>
  <c r="K161" i="10"/>
  <c r="L161" i="10" s="1"/>
  <c r="K482" i="10"/>
  <c r="L482" i="10" s="1"/>
  <c r="K804" i="10"/>
  <c r="L804" i="10" s="1"/>
  <c r="K799" i="10"/>
  <c r="L799" i="10" s="1"/>
  <c r="K293" i="8"/>
  <c r="L293" i="8" s="1"/>
  <c r="K46" i="8"/>
  <c r="L46" i="8" s="1"/>
  <c r="L546" i="8"/>
  <c r="K353" i="10"/>
  <c r="L353" i="10" s="1"/>
  <c r="K677" i="10"/>
  <c r="L677" i="10" s="1"/>
  <c r="K841" i="10"/>
  <c r="L841" i="10" s="1"/>
  <c r="K362" i="2"/>
  <c r="L362" i="2" s="1"/>
  <c r="K267" i="9" s="1"/>
  <c r="K763" i="10"/>
  <c r="L763" i="10" s="1"/>
  <c r="K119" i="10"/>
  <c r="L119" i="10" s="1"/>
  <c r="K441" i="10"/>
  <c r="L441" i="10" s="1"/>
  <c r="K185" i="8"/>
  <c r="L185" i="8" s="1"/>
  <c r="K221" i="8"/>
  <c r="L221" i="8" s="1"/>
  <c r="K144" i="8"/>
  <c r="L144" i="8" s="1"/>
  <c r="L434" i="10"/>
  <c r="K786" i="10"/>
  <c r="L786" i="10" s="1"/>
  <c r="K765" i="10"/>
  <c r="L765" i="10" s="1"/>
  <c r="K747" i="10"/>
  <c r="L747" i="10" s="1"/>
  <c r="K785" i="10"/>
  <c r="L785" i="10" s="1"/>
  <c r="K463" i="10"/>
  <c r="L463" i="10" s="1"/>
  <c r="K355" i="8"/>
  <c r="L355"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2" i="8"/>
  <c r="L222" i="8" s="1"/>
  <c r="K145" i="8"/>
  <c r="L145" i="8" s="1"/>
  <c r="K186" i="8"/>
  <c r="L186" i="8" s="1"/>
  <c r="K184" i="8"/>
  <c r="L184" i="8" s="1"/>
  <c r="K182" i="8"/>
  <c r="L182" i="8" s="1"/>
  <c r="K183" i="8"/>
  <c r="L183" i="8" s="1"/>
  <c r="K764" i="10"/>
  <c r="L764" i="10" s="1"/>
  <c r="K120" i="10"/>
  <c r="L120" i="10" s="1"/>
  <c r="K442" i="10"/>
  <c r="L442" i="10" s="1"/>
  <c r="B126" i="11"/>
  <c r="K41" i="8"/>
  <c r="L41" i="8" s="1"/>
  <c r="K24" i="10"/>
  <c r="L24" i="10" s="1"/>
  <c r="K229" i="10"/>
  <c r="L229" i="10" s="1"/>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5" i="9" l="1"/>
  <c r="L275" i="9" s="1"/>
  <c r="K259" i="9"/>
  <c r="K271" i="9"/>
  <c r="L271" i="9" s="1"/>
  <c r="K254" i="9"/>
  <c r="L254" i="9" s="1"/>
  <c r="P93" i="6"/>
  <c r="L93" i="6"/>
  <c r="P91" i="6"/>
  <c r="L91" i="6"/>
  <c r="N93" i="6"/>
  <c r="L92" i="6"/>
  <c r="N91" i="6"/>
  <c r="N90" i="6"/>
  <c r="L89" i="6"/>
  <c r="N88" i="6"/>
  <c r="P90" i="6"/>
  <c r="L90" i="6"/>
  <c r="P88" i="6"/>
  <c r="L88" i="6"/>
  <c r="J283" i="2"/>
  <c r="L283" i="2" s="1"/>
  <c r="J282" i="2"/>
  <c r="L282" i="2" s="1"/>
  <c r="L267" i="9"/>
  <c r="J279" i="2"/>
  <c r="L279" i="2" s="1"/>
  <c r="L249" i="9"/>
  <c r="K282" i="9" s="1"/>
  <c r="L259" i="9"/>
  <c r="K286" i="9" s="1"/>
  <c r="K335" i="10"/>
  <c r="L335" i="10" s="1"/>
  <c r="K616" i="10" s="1"/>
  <c r="L616" i="10" s="1"/>
  <c r="K327" i="10"/>
  <c r="L327" i="10" s="1"/>
  <c r="K507" i="8"/>
  <c r="L507" i="8" s="1"/>
  <c r="K361" i="10"/>
  <c r="L361" i="10" s="1"/>
  <c r="K353" i="8"/>
  <c r="L353" i="8" s="1"/>
  <c r="K310" i="10"/>
  <c r="L310" i="10" s="1"/>
  <c r="K508" i="8"/>
  <c r="L508" i="8" s="1"/>
  <c r="K753" i="10"/>
  <c r="L753" i="10" s="1"/>
  <c r="K873" i="10"/>
  <c r="L873" i="10" s="1"/>
  <c r="L16" i="9"/>
  <c r="K679" i="10"/>
  <c r="L679" i="10" s="1"/>
  <c r="K335" i="9"/>
  <c r="L335" i="9" s="1"/>
  <c r="K236" i="9"/>
  <c r="L236" i="9" s="1"/>
  <c r="K237" i="9"/>
  <c r="L237" i="9" s="1"/>
  <c r="K167" i="9"/>
  <c r="L167" i="9" s="1"/>
  <c r="K168" i="9"/>
  <c r="L168" i="9" s="1"/>
  <c r="K507" i="9"/>
  <c r="L507" i="9" s="1"/>
  <c r="K510" i="9"/>
  <c r="L510" i="9" s="1"/>
  <c r="K508" i="9"/>
  <c r="L508" i="9" s="1"/>
  <c r="K511" i="9"/>
  <c r="L511" i="9" s="1"/>
  <c r="K549" i="9"/>
  <c r="L549" i="9" s="1"/>
  <c r="K550" i="9"/>
  <c r="L550" i="9" s="1"/>
  <c r="K514" i="9"/>
  <c r="L514" i="9" s="1"/>
  <c r="K515" i="9"/>
  <c r="L515" i="9" s="1"/>
  <c r="K502" i="10"/>
  <c r="L502" i="10" s="1"/>
  <c r="K491" i="10"/>
  <c r="L491" i="10" s="1"/>
  <c r="K230" i="10"/>
  <c r="L230" i="10" s="1"/>
  <c r="K108" i="10"/>
  <c r="L108" i="10" s="1"/>
  <c r="K305" i="10" s="1"/>
  <c r="L305" i="10" s="1"/>
  <c r="K309" i="10"/>
  <c r="L309" i="10" s="1"/>
  <c r="K365" i="10"/>
  <c r="L365" i="10" s="1"/>
  <c r="K357" i="10"/>
  <c r="L357" i="10" s="1"/>
  <c r="K631" i="10"/>
  <c r="L631" i="10" s="1"/>
  <c r="K953" i="10"/>
  <c r="L953" i="10" s="1"/>
  <c r="K509" i="8"/>
  <c r="L509" i="8" s="1"/>
  <c r="K551" i="10"/>
  <c r="L551" i="10" s="1"/>
  <c r="K544" i="8"/>
  <c r="L544" i="8" s="1"/>
  <c r="K687" i="10"/>
  <c r="L687" i="10" s="1"/>
  <c r="K686" i="10" s="1"/>
  <c r="L686" i="10" s="1"/>
  <c r="K321" i="9"/>
  <c r="L321" i="9" s="1"/>
  <c r="K359" i="9"/>
  <c r="L359" i="9" s="1"/>
  <c r="K310" i="9"/>
  <c r="L310" i="9" s="1"/>
  <c r="K298" i="9"/>
  <c r="L298" i="9" s="1"/>
  <c r="K293" i="9"/>
  <c r="L293" i="9" s="1"/>
  <c r="K161" i="9"/>
  <c r="L161" i="9" s="1"/>
  <c r="K349" i="9"/>
  <c r="L349" i="9" s="1"/>
  <c r="K509" i="9"/>
  <c r="L509" i="9" s="1"/>
  <c r="K512" i="9"/>
  <c r="L512" i="9" s="1"/>
  <c r="K548" i="9"/>
  <c r="L548" i="9" s="1"/>
  <c r="K513" i="9"/>
  <c r="L513" i="9" s="1"/>
  <c r="K824" i="10"/>
  <c r="L824" i="10" s="1"/>
  <c r="K648" i="10"/>
  <c r="L648" i="10" s="1"/>
  <c r="K165" i="10"/>
  <c r="L165" i="10" s="1"/>
  <c r="K542" i="8"/>
  <c r="L542" i="8" s="1"/>
  <c r="K840" i="10"/>
  <c r="L840" i="10" s="1"/>
  <c r="K835" i="10"/>
  <c r="L835" i="10" s="1"/>
  <c r="K528" i="10"/>
  <c r="L528" i="10" s="1"/>
  <c r="K304" i="8"/>
  <c r="L304" i="8" s="1"/>
  <c r="K207" i="10"/>
  <c r="L207" i="10" s="1"/>
  <c r="K850" i="10"/>
  <c r="L850" i="10" s="1"/>
  <c r="K471" i="10"/>
  <c r="L471" i="10" s="1"/>
  <c r="K218" i="10"/>
  <c r="L218" i="10" s="1"/>
  <c r="K292" i="8"/>
  <c r="L292" i="8" s="1"/>
  <c r="K287" i="8"/>
  <c r="L287" i="8" s="1"/>
  <c r="K682" i="10"/>
  <c r="L682" i="10" s="1"/>
  <c r="K661" i="10"/>
  <c r="L661" i="10" s="1"/>
  <c r="K177" i="10"/>
  <c r="L177" i="10" s="1"/>
  <c r="K181" i="10"/>
  <c r="L181" i="10" s="1"/>
  <c r="K820" i="10"/>
  <c r="L820" i="10" s="1"/>
  <c r="K498" i="10"/>
  <c r="L498" i="10" s="1"/>
  <c r="K506" i="8"/>
  <c r="L506" i="8" s="1"/>
  <c r="K503" i="8"/>
  <c r="L503" i="8" s="1"/>
  <c r="K151" i="10"/>
  <c r="L151" i="10" s="1"/>
  <c r="K951" i="10"/>
  <c r="L951" i="10" s="1"/>
  <c r="K952" i="10"/>
  <c r="L952" i="10" s="1"/>
  <c r="K486" i="10"/>
  <c r="L486" i="10" s="1"/>
  <c r="K170" i="10"/>
  <c r="L170" i="10" s="1"/>
  <c r="K808" i="10"/>
  <c r="L808" i="10" s="1"/>
  <c r="K813" i="10"/>
  <c r="L813" i="10" s="1"/>
  <c r="K861" i="10"/>
  <c r="L861" i="10" s="1"/>
  <c r="K5" i="8"/>
  <c r="L5" i="8" s="1"/>
  <c r="K49" i="8"/>
  <c r="L49" i="8" s="1"/>
  <c r="K20" i="8"/>
  <c r="L20" i="8" s="1"/>
  <c r="K17" i="8"/>
  <c r="L17" i="8" s="1"/>
  <c r="K19" i="8"/>
  <c r="L19" i="8" s="1"/>
  <c r="K21" i="8"/>
  <c r="L21" i="8" s="1"/>
  <c r="K18" i="8"/>
  <c r="L18" i="8" s="1"/>
  <c r="B64" i="11" s="1"/>
  <c r="K357" i="2"/>
  <c r="L357" i="2" s="1"/>
  <c r="K232" i="8"/>
  <c r="L232" i="8" s="1"/>
  <c r="K150" i="10"/>
  <c r="L150" i="10" s="1"/>
  <c r="K793" i="10"/>
  <c r="L793" i="10" s="1"/>
  <c r="K231" i="8"/>
  <c r="L231" i="8" s="1"/>
  <c r="K794" i="10"/>
  <c r="L794" i="10" s="1"/>
  <c r="K472" i="10"/>
  <c r="L472" i="10" s="1"/>
  <c r="K505" i="8"/>
  <c r="L505" i="8" s="1"/>
  <c r="K502" i="8"/>
  <c r="L502" i="8" s="1"/>
  <c r="K970" i="10"/>
  <c r="L970" i="10" s="1"/>
  <c r="K922" i="10"/>
  <c r="L922" i="10" s="1"/>
  <c r="K657" i="10"/>
  <c r="L657" i="10" s="1"/>
  <c r="K935" i="10"/>
  <c r="L935" i="10" s="1"/>
  <c r="K308" i="10"/>
  <c r="L308" i="10" s="1"/>
  <c r="K360" i="10"/>
  <c r="L360" i="10" s="1"/>
  <c r="K613" i="10"/>
  <c r="L613" i="10" s="1"/>
  <c r="K315" i="8"/>
  <c r="L315" i="8" s="1"/>
  <c r="K504" i="8"/>
  <c r="L504" i="8" s="1"/>
  <c r="K501" i="8"/>
  <c r="L501" i="8" s="1"/>
  <c r="K329" i="8"/>
  <c r="L329" i="8" s="1"/>
  <c r="K431" i="10"/>
  <c r="L431" i="10" s="1"/>
  <c r="K539" i="10"/>
  <c r="L539" i="10" s="1"/>
  <c r="K192" i="10"/>
  <c r="L192" i="10" s="1"/>
  <c r="K197" i="10"/>
  <c r="L197" i="10" s="1"/>
  <c r="K629" i="10"/>
  <c r="L629" i="10" s="1"/>
  <c r="K630" i="10"/>
  <c r="L630" i="10" s="1"/>
  <c r="K543" i="8"/>
  <c r="L543" i="8" s="1"/>
  <c r="K337" i="8"/>
  <c r="L337" i="8" s="1"/>
  <c r="K342" i="8"/>
  <c r="L342" i="8" s="1"/>
  <c r="K513" i="10"/>
  <c r="L513" i="10" s="1"/>
  <c r="K518" i="10"/>
  <c r="L518" i="10" s="1"/>
  <c r="K600" i="10"/>
  <c r="L600" i="10" s="1"/>
  <c r="I127" i="6"/>
  <c r="L363" i="2"/>
  <c r="L361" i="2"/>
  <c r="L343" i="2"/>
  <c r="L365" i="2"/>
  <c r="L341" i="2"/>
  <c r="L354" i="2"/>
  <c r="L367" i="2"/>
  <c r="I89" i="6" l="1"/>
  <c r="K248" i="8"/>
  <c r="I92" i="6"/>
  <c r="K265" i="8"/>
  <c r="L265" i="8" s="1"/>
  <c r="I93" i="6"/>
  <c r="K269" i="8"/>
  <c r="L269" i="8" s="1"/>
  <c r="J281" i="2"/>
  <c r="L281" i="2" s="1"/>
  <c r="J280" i="2"/>
  <c r="L280" i="2" s="1"/>
  <c r="J278" i="2"/>
  <c r="L278" i="2" s="1"/>
  <c r="L248" i="8"/>
  <c r="K278" i="8" s="1"/>
  <c r="L278" i="8" s="1"/>
  <c r="K619" i="10"/>
  <c r="L619" i="10" s="1"/>
  <c r="K284" i="9"/>
  <c r="L284" i="9" s="1"/>
  <c r="K618" i="10"/>
  <c r="L618" i="10" s="1"/>
  <c r="K614" i="10"/>
  <c r="L614" i="10" s="1"/>
  <c r="K617" i="10"/>
  <c r="L617" i="10" s="1"/>
  <c r="K615" i="10"/>
  <c r="L615" i="10" s="1"/>
  <c r="K240" i="9"/>
  <c r="L240" i="9" s="1"/>
  <c r="K244" i="9"/>
  <c r="L244" i="9" s="1"/>
  <c r="K163" i="8"/>
  <c r="L163" i="8" s="1"/>
  <c r="K196" i="10"/>
  <c r="L196" i="10" s="1"/>
  <c r="K938" i="10"/>
  <c r="L938" i="10" s="1"/>
  <c r="K13" i="8"/>
  <c r="L13" i="8" s="1"/>
  <c r="K14" i="8"/>
  <c r="L14" i="8" s="1"/>
  <c r="K6" i="8"/>
  <c r="L6" i="8" s="1"/>
  <c r="K465" i="8" s="1"/>
  <c r="L465" i="8" s="1"/>
  <c r="K509" i="10"/>
  <c r="L509" i="10" s="1"/>
  <c r="K188" i="10"/>
  <c r="L188" i="10" s="1"/>
  <c r="K362" i="9"/>
  <c r="L362" i="9" s="1"/>
  <c r="K365" i="9" s="1"/>
  <c r="L365" i="9" s="1"/>
  <c r="K320" i="9"/>
  <c r="L320" i="9" s="1"/>
  <c r="K315" i="9"/>
  <c r="L315" i="9" s="1"/>
  <c r="K549" i="10"/>
  <c r="L549" i="10" s="1"/>
  <c r="K363" i="10"/>
  <c r="L363" i="10" s="1"/>
  <c r="K228" i="10"/>
  <c r="L228" i="10" s="1"/>
  <c r="K165" i="9"/>
  <c r="L165" i="9" s="1"/>
  <c r="K163" i="9"/>
  <c r="L163" i="9" s="1"/>
  <c r="L282" i="9"/>
  <c r="L286" i="9"/>
  <c r="I143" i="6"/>
  <c r="K517" i="10"/>
  <c r="L517" i="10" s="1"/>
  <c r="K341" i="8"/>
  <c r="L341" i="8" s="1"/>
  <c r="K364" i="10"/>
  <c r="L364" i="10" s="1"/>
  <c r="K430" i="10"/>
  <c r="L430" i="10" s="1"/>
  <c r="K627" i="10" s="1"/>
  <c r="L627" i="10" s="1"/>
  <c r="K936" i="10"/>
  <c r="L936" i="10" s="1"/>
  <c r="K307" i="10"/>
  <c r="L307" i="10" s="1"/>
  <c r="K306" i="10"/>
  <c r="L306" i="10" s="1"/>
  <c r="K10" i="8"/>
  <c r="L10" i="8" s="1"/>
  <c r="K48" i="8"/>
  <c r="L48" i="8" s="1"/>
  <c r="K831" i="10"/>
  <c r="L831" i="10" s="1"/>
  <c r="K685" i="10"/>
  <c r="L685" i="10" s="1"/>
  <c r="K291" i="8"/>
  <c r="L291" i="8" s="1"/>
  <c r="K839" i="10"/>
  <c r="L839" i="10" s="1"/>
  <c r="K348" i="9"/>
  <c r="L348" i="9" s="1"/>
  <c r="K343" i="9"/>
  <c r="L343" i="9" s="1"/>
  <c r="K498" i="9"/>
  <c r="L498" i="9" s="1"/>
  <c r="K157" i="9"/>
  <c r="L157" i="9" s="1"/>
  <c r="K504" i="9"/>
  <c r="L504" i="9" s="1"/>
  <c r="K501" i="9"/>
  <c r="L501" i="9" s="1"/>
  <c r="K297" i="9"/>
  <c r="L297" i="9" s="1"/>
  <c r="K334" i="9"/>
  <c r="L334" i="9" s="1"/>
  <c r="K329" i="9"/>
  <c r="L329" i="9" s="1"/>
  <c r="K50" i="9"/>
  <c r="L50" i="9" s="1"/>
  <c r="K5" i="9"/>
  <c r="L5" i="9" s="1"/>
  <c r="K20" i="9"/>
  <c r="L20" i="9" s="1"/>
  <c r="K21" i="9"/>
  <c r="L21" i="9" s="1"/>
  <c r="K17" i="9"/>
  <c r="L17" i="9" s="1"/>
  <c r="K18" i="9"/>
  <c r="L18" i="9" s="1"/>
  <c r="K19" i="9"/>
  <c r="L19" i="9" s="1"/>
  <c r="K871" i="10"/>
  <c r="L871" i="10" s="1"/>
  <c r="K752" i="10"/>
  <c r="L752" i="10" s="1"/>
  <c r="K356" i="8"/>
  <c r="L356" i="8" s="1"/>
  <c r="K476" i="10"/>
  <c r="L476" i="10" s="1"/>
  <c r="K798" i="10"/>
  <c r="L798" i="10" s="1"/>
  <c r="K234" i="8"/>
  <c r="L234" i="8" s="1"/>
  <c r="K155" i="10"/>
  <c r="L155" i="10" s="1"/>
  <c r="K11" i="10"/>
  <c r="L11" i="10" s="1"/>
  <c r="K437" i="8"/>
  <c r="L437" i="8" s="1"/>
  <c r="K323" i="8"/>
  <c r="L323" i="8" s="1"/>
  <c r="K328" i="8"/>
  <c r="L328" i="8" s="1"/>
  <c r="K855" i="10"/>
  <c r="L855" i="10" s="1"/>
  <c r="K860" i="10"/>
  <c r="L860" i="10" s="1"/>
  <c r="K538" i="10"/>
  <c r="L538" i="10" s="1"/>
  <c r="K533" i="10"/>
  <c r="L533" i="10" s="1"/>
  <c r="K439" i="8"/>
  <c r="L439" i="8" s="1"/>
  <c r="K309" i="8"/>
  <c r="L309" i="8" s="1"/>
  <c r="K314" i="8"/>
  <c r="L314" i="8" s="1"/>
  <c r="K7" i="8"/>
  <c r="L7" i="8" s="1"/>
  <c r="K22" i="8"/>
  <c r="L22" i="8" s="1"/>
  <c r="K462" i="8"/>
  <c r="L462" i="8" s="1"/>
  <c r="K15" i="8"/>
  <c r="L15" i="8" s="1"/>
  <c r="L167" i="8"/>
  <c r="K463" i="8"/>
  <c r="L463" i="8" s="1"/>
  <c r="I132" i="6"/>
  <c r="K481" i="10"/>
  <c r="L481" i="10" s="1"/>
  <c r="K803" i="10"/>
  <c r="L803" i="10" s="1"/>
  <c r="K160" i="10"/>
  <c r="L160" i="10" s="1"/>
  <c r="K238" i="8"/>
  <c r="L238" i="8" s="1"/>
  <c r="K8" i="8"/>
  <c r="L8" i="8" s="1"/>
  <c r="K940" i="10"/>
  <c r="L940" i="10" s="1"/>
  <c r="K939" i="10"/>
  <c r="L939" i="10" s="1"/>
  <c r="K941" i="10"/>
  <c r="L941" i="10" s="1"/>
  <c r="K937" i="10"/>
  <c r="L937" i="10" s="1"/>
  <c r="K438" i="8"/>
  <c r="L438" i="8" s="1"/>
  <c r="K11" i="8"/>
  <c r="L11" i="8" s="1"/>
  <c r="K212" i="10"/>
  <c r="L212" i="10" s="1"/>
  <c r="K217" i="10"/>
  <c r="L217" i="10" s="1"/>
  <c r="I130" i="6"/>
  <c r="B21" i="11"/>
  <c r="I90" i="6" l="1"/>
  <c r="K253" i="8"/>
  <c r="I91" i="6"/>
  <c r="K261" i="8"/>
  <c r="I88" i="6"/>
  <c r="K243" i="8"/>
  <c r="L243" i="8" s="1"/>
  <c r="K276" i="8" s="1"/>
  <c r="L276" i="8" s="1"/>
  <c r="L253" i="8"/>
  <c r="K280" i="8" s="1"/>
  <c r="L280" i="8" s="1"/>
  <c r="L261" i="8"/>
  <c r="K161" i="8"/>
  <c r="L161" i="8" s="1"/>
  <c r="K157" i="8" s="1"/>
  <c r="L157" i="8" s="1"/>
  <c r="K499" i="8" s="1"/>
  <c r="L499" i="8" s="1"/>
  <c r="K160" i="8"/>
  <c r="L160" i="8" s="1"/>
  <c r="K155" i="8" s="1"/>
  <c r="K475" i="8"/>
  <c r="L475" i="8" s="1"/>
  <c r="K469" i="8"/>
  <c r="L469" i="8" s="1"/>
  <c r="K626" i="10"/>
  <c r="L626" i="10" s="1"/>
  <c r="K628" i="10"/>
  <c r="L628" i="10" s="1"/>
  <c r="K480" i="8"/>
  <c r="L480" i="8" s="1"/>
  <c r="K474" i="8"/>
  <c r="L474" i="8" s="1"/>
  <c r="K467" i="8"/>
  <c r="L467" i="8" s="1"/>
  <c r="K48" i="9"/>
  <c r="L48" i="9" s="1"/>
  <c r="K53" i="8"/>
  <c r="L53" i="8" s="1"/>
  <c r="K52" i="8"/>
  <c r="L52" i="8" s="1"/>
  <c r="K859" i="10"/>
  <c r="L859" i="10" s="1"/>
  <c r="K327" i="8"/>
  <c r="L327" i="8" s="1"/>
  <c r="K359" i="8"/>
  <c r="L359" i="8" s="1"/>
  <c r="K949" i="10"/>
  <c r="L949" i="10" s="1"/>
  <c r="K950" i="10"/>
  <c r="L950" i="10" s="1"/>
  <c r="K948" i="10"/>
  <c r="L948" i="10" s="1"/>
  <c r="K874" i="10"/>
  <c r="L874" i="10" s="1"/>
  <c r="L173" i="9"/>
  <c r="K61" i="9"/>
  <c r="L61" i="9" s="1"/>
  <c r="K11" i="9"/>
  <c r="L11" i="9" s="1"/>
  <c r="K469" i="9"/>
  <c r="L469" i="9" s="1"/>
  <c r="K8" i="9"/>
  <c r="L8" i="9" s="1"/>
  <c r="K445" i="9"/>
  <c r="L445" i="9" s="1"/>
  <c r="K15" i="9"/>
  <c r="L15" i="9" s="1"/>
  <c r="K6" i="9"/>
  <c r="L6" i="9" s="1"/>
  <c r="K487" i="9" s="1"/>
  <c r="L487" i="9" s="1"/>
  <c r="K333" i="9"/>
  <c r="L333" i="9" s="1"/>
  <c r="K347" i="9"/>
  <c r="L347" i="9" s="1"/>
  <c r="K505" i="9"/>
  <c r="L505" i="9" s="1"/>
  <c r="K502" i="9"/>
  <c r="L502" i="9" s="1"/>
  <c r="K499" i="9"/>
  <c r="L499" i="9" s="1"/>
  <c r="K503" i="9"/>
  <c r="L503" i="9" s="1"/>
  <c r="K500" i="9"/>
  <c r="L500" i="9" s="1"/>
  <c r="K506" i="9"/>
  <c r="L506" i="9" s="1"/>
  <c r="K231" i="10"/>
  <c r="L231" i="10" s="1"/>
  <c r="K234" i="10" s="1"/>
  <c r="L234" i="10" s="1"/>
  <c r="K552" i="10"/>
  <c r="L552" i="10" s="1"/>
  <c r="K319" i="9"/>
  <c r="L319" i="9" s="1"/>
  <c r="K364" i="9"/>
  <c r="L364" i="9" s="1"/>
  <c r="K216" i="10"/>
  <c r="L216" i="10" s="1"/>
  <c r="K466" i="8"/>
  <c r="L466" i="8" s="1"/>
  <c r="K472" i="8"/>
  <c r="L472" i="8" s="1"/>
  <c r="K481" i="8"/>
  <c r="L481" i="8" s="1"/>
  <c r="K478" i="8"/>
  <c r="L478" i="8" s="1"/>
  <c r="K477" i="8"/>
  <c r="L477" i="8" s="1"/>
  <c r="K313" i="8"/>
  <c r="L313" i="8" s="1"/>
  <c r="K162" i="8"/>
  <c r="L162" i="8" s="1"/>
  <c r="K473" i="8"/>
  <c r="L473" i="8" s="1"/>
  <c r="K470" i="8"/>
  <c r="L470" i="8" s="1"/>
  <c r="K537" i="10"/>
  <c r="L537" i="10" s="1"/>
  <c r="K468" i="8"/>
  <c r="L468" i="8" s="1"/>
  <c r="K471" i="8"/>
  <c r="L471" i="8" s="1"/>
  <c r="K443" i="9"/>
  <c r="L443" i="9" s="1"/>
  <c r="K13" i="9"/>
  <c r="L13" i="9" s="1"/>
  <c r="K468" i="9"/>
  <c r="L468" i="9" s="1"/>
  <c r="K22" i="9"/>
  <c r="L22" i="9" s="1"/>
  <c r="K7" i="9"/>
  <c r="L7" i="9" s="1"/>
  <c r="K10" i="9"/>
  <c r="L10" i="9" s="1"/>
  <c r="K444" i="9"/>
  <c r="L444" i="9" s="1"/>
  <c r="K14" i="9"/>
  <c r="L14" i="9" s="1"/>
  <c r="K482" i="8"/>
  <c r="L482" i="8" s="1"/>
  <c r="K479" i="8"/>
  <c r="L479" i="8" s="1"/>
  <c r="K464" i="8"/>
  <c r="L464" i="8" s="1"/>
  <c r="K476" i="8"/>
  <c r="L476"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56" i="9" l="1"/>
  <c r="K49" i="9"/>
  <c r="L49" i="9" s="1"/>
  <c r="K28" i="10" s="1"/>
  <c r="L28" i="10" s="1"/>
  <c r="K483" i="9"/>
  <c r="L483" i="9" s="1"/>
  <c r="K478" i="9"/>
  <c r="L478" i="9" s="1"/>
  <c r="K493" i="8"/>
  <c r="L493" i="8" s="1"/>
  <c r="K475" i="9"/>
  <c r="L475" i="9" s="1"/>
  <c r="K472" i="9"/>
  <c r="L472" i="9" s="1"/>
  <c r="K496" i="8"/>
  <c r="L496" i="8" s="1"/>
  <c r="L56" i="9"/>
  <c r="K480" i="9"/>
  <c r="L480" i="9" s="1"/>
  <c r="K486" i="9"/>
  <c r="L486" i="9" s="1"/>
  <c r="K474" i="9"/>
  <c r="L474" i="9" s="1"/>
  <c r="K477" i="9"/>
  <c r="L477" i="9" s="1"/>
  <c r="K471" i="9"/>
  <c r="L471" i="9" s="1"/>
  <c r="K476" i="9"/>
  <c r="L476" i="9" s="1"/>
  <c r="K479" i="9"/>
  <c r="L479" i="9" s="1"/>
  <c r="K484" i="9"/>
  <c r="L484" i="9" s="1"/>
  <c r="K53" i="9"/>
  <c r="L53" i="9" s="1"/>
  <c r="L155" i="8"/>
  <c r="K233" i="10"/>
  <c r="L233" i="10" s="1"/>
  <c r="K36" i="10"/>
  <c r="L36" i="10" s="1"/>
  <c r="K488" i="9"/>
  <c r="L488" i="9" s="1"/>
  <c r="K470" i="9"/>
  <c r="L470" i="9" s="1"/>
  <c r="K12" i="9"/>
  <c r="L12" i="9" s="1"/>
  <c r="L174" i="9"/>
  <c r="K482" i="9"/>
  <c r="L482" i="9" s="1"/>
  <c r="K485" i="9"/>
  <c r="L485" i="9" s="1"/>
  <c r="K9" i="9"/>
  <c r="L9" i="9" s="1"/>
  <c r="K159" i="8"/>
  <c r="L159" i="8" s="1"/>
  <c r="K555" i="10"/>
  <c r="L555" i="10" s="1"/>
  <c r="K473" i="9"/>
  <c r="L473" i="9" s="1"/>
  <c r="K481" i="9"/>
  <c r="L481" i="9" s="1"/>
  <c r="K877" i="10"/>
  <c r="L877" i="10" s="1"/>
  <c r="K279" i="10"/>
  <c r="L279" i="10" s="1"/>
  <c r="K54" i="9"/>
  <c r="L54" i="9" s="1"/>
  <c r="K57" i="9"/>
  <c r="L57" i="9" s="1"/>
  <c r="K358" i="8"/>
  <c r="L358" i="8" s="1"/>
  <c r="K43" i="10"/>
  <c r="L43" i="10" s="1"/>
  <c r="K34" i="10"/>
  <c r="L34" i="10" s="1"/>
  <c r="K33" i="10"/>
  <c r="L33" i="10" s="1"/>
  <c r="K6" i="10"/>
  <c r="L6" i="10" s="1"/>
  <c r="K29" i="10"/>
  <c r="L29" i="10" s="1"/>
  <c r="K30" i="10"/>
  <c r="L30" i="10" s="1"/>
  <c r="K292" i="10"/>
  <c r="L292" i="10" s="1"/>
  <c r="AS22" i="12"/>
  <c r="AN21" i="12"/>
  <c r="K52" i="9" l="1"/>
  <c r="L52" i="9" s="1"/>
  <c r="K60" i="9"/>
  <c r="L60" i="9" s="1"/>
  <c r="K59" i="8" s="1"/>
  <c r="K554" i="10"/>
  <c r="L554" i="10" s="1"/>
  <c r="K497" i="8"/>
  <c r="L497" i="8" s="1"/>
  <c r="K500" i="8"/>
  <c r="L500" i="8" s="1"/>
  <c r="K494" i="8"/>
  <c r="L494" i="8" s="1"/>
  <c r="K876" i="10"/>
  <c r="L876" i="10" s="1"/>
  <c r="K151" i="8"/>
  <c r="L151" i="8" s="1"/>
  <c r="K498" i="8"/>
  <c r="L498" i="8" s="1"/>
  <c r="K495" i="8"/>
  <c r="L495" i="8" s="1"/>
  <c r="K492" i="8"/>
  <c r="L492" i="8" s="1"/>
  <c r="K41" i="10"/>
  <c r="L41" i="10" s="1"/>
  <c r="K42" i="10"/>
  <c r="L42" i="10" s="1"/>
  <c r="K293" i="10"/>
  <c r="L293" i="10" s="1"/>
  <c r="K295" i="10"/>
  <c r="L295" i="10" s="1"/>
  <c r="K296" i="10"/>
  <c r="L296" i="10" s="1"/>
  <c r="K298" i="10"/>
  <c r="L298" i="10" s="1"/>
  <c r="K294" i="10"/>
  <c r="L294" i="10" s="1"/>
  <c r="K297" i="10"/>
  <c r="L297" i="10" s="1"/>
  <c r="B24" i="11"/>
  <c r="L59" i="8" l="1"/>
  <c r="K55" i="9"/>
  <c r="L55" i="9" s="1"/>
  <c r="B22" i="11"/>
  <c r="B848" i="11"/>
  <c r="BF20" i="12" l="1"/>
  <c r="BI23" i="12"/>
  <c r="BH22" i="12"/>
  <c r="BG21" i="12"/>
  <c r="K54" i="8"/>
  <c r="L54" i="8" s="1"/>
  <c r="K64" i="9"/>
  <c r="L64" i="9" s="1"/>
  <c r="K62" i="9" s="1"/>
  <c r="L62" i="9" s="1"/>
  <c r="B849" i="11"/>
  <c r="K60" i="8" l="1"/>
  <c r="L60" i="8" s="1"/>
  <c r="K65" i="9" s="1"/>
  <c r="L65" i="9" s="1"/>
  <c r="B847" i="11"/>
  <c r="K56" i="8" l="1"/>
  <c r="L56" i="8" s="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N14" i="2"/>
  <c r="C5" i="3"/>
  <c r="BU2" i="3"/>
  <c r="BT64" i="3"/>
  <c r="BT161" i="3"/>
  <c r="AB5" i="3"/>
  <c r="K32" i="10"/>
  <c r="L32" i="10" s="1"/>
  <c r="J14" i="2"/>
  <c r="L14"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K112" i="2"/>
  <c r="L112" i="2" s="1"/>
  <c r="K111" i="2"/>
  <c r="L111" i="2" s="1"/>
  <c r="K110" i="2"/>
  <c r="K114" i="2"/>
  <c r="L114" i="2" s="1"/>
  <c r="K115" i="2"/>
  <c r="K102" i="2"/>
  <c r="L102" i="2" s="1"/>
  <c r="K103" i="2"/>
  <c r="L103" i="2" s="1"/>
  <c r="K314" i="10" s="1"/>
  <c r="K116" i="2"/>
  <c r="K117" i="2"/>
  <c r="L117" i="2" s="1"/>
  <c r="K642" i="10"/>
  <c r="L642" i="10" s="1"/>
  <c r="K121" i="2"/>
  <c r="L121" i="2" s="1"/>
  <c r="K120" i="2"/>
  <c r="K118" i="2"/>
  <c r="K119" i="2"/>
  <c r="L119" i="2" s="1"/>
  <c r="K123" i="2"/>
  <c r="L123" i="2" s="1"/>
  <c r="K122" i="2"/>
  <c r="K536" i="9"/>
  <c r="L536" i="9" s="1"/>
  <c r="K530" i="8"/>
  <c r="L530" i="8" s="1"/>
  <c r="K321" i="10"/>
  <c r="L321" i="10" s="1"/>
  <c r="K964" i="10"/>
  <c r="L964" i="10" s="1"/>
  <c r="K527" i="8"/>
  <c r="L527" i="8" s="1"/>
  <c r="K533" i="9"/>
  <c r="L533" i="9" s="1"/>
  <c r="K530" i="9"/>
  <c r="L530" i="9" s="1"/>
  <c r="K524" i="8"/>
  <c r="L524" i="8" s="1"/>
  <c r="K545" i="9"/>
  <c r="L545" i="9" s="1"/>
  <c r="K539" i="8"/>
  <c r="L539" i="8" s="1"/>
  <c r="K542" i="9"/>
  <c r="L542" i="9" s="1"/>
  <c r="K536" i="8"/>
  <c r="L536" i="8" s="1"/>
  <c r="K645" i="10"/>
  <c r="L645" i="10" s="1"/>
  <c r="K967" i="10"/>
  <c r="L967" i="10" s="1"/>
  <c r="K533" i="8"/>
  <c r="L533" i="8" s="1"/>
  <c r="K324" i="10"/>
  <c r="L324" i="10" s="1"/>
  <c r="K539" i="9"/>
  <c r="L539" i="9" s="1"/>
  <c r="K961" i="10"/>
  <c r="L961" i="10" s="1"/>
  <c r="K318" i="10"/>
  <c r="L318" i="10" s="1"/>
  <c r="K639" i="10"/>
  <c r="L639" i="10" s="1"/>
  <c r="K958" i="10"/>
  <c r="L958" i="10" s="1"/>
  <c r="K315" i="10"/>
  <c r="L315" i="10" s="1"/>
  <c r="K521" i="8"/>
  <c r="L521" i="8" s="1"/>
  <c r="K636" i="10"/>
  <c r="L636" i="10" s="1"/>
  <c r="K527" i="9"/>
  <c r="L527" i="9" s="1"/>
  <c r="K524" i="9"/>
  <c r="L524" i="9" s="1"/>
  <c r="K518" i="8"/>
  <c r="K521" i="9"/>
  <c r="L521" i="9" s="1"/>
  <c r="K515" i="8"/>
  <c r="L515" i="8" s="1"/>
  <c r="K512" i="8"/>
  <c r="L512" i="8" s="1"/>
  <c r="K955" i="10"/>
  <c r="L955" i="10" s="1"/>
  <c r="K633" i="10"/>
  <c r="L633" i="10" s="1"/>
  <c r="K312" i="10"/>
  <c r="L312" i="10" s="1"/>
  <c r="K518" i="9"/>
  <c r="L518" i="9" s="1"/>
  <c r="K66" i="2"/>
  <c r="L66" i="2" s="1"/>
  <c r="K65" i="2"/>
  <c r="L65" i="2" s="1"/>
  <c r="L115" i="2"/>
  <c r="K56" i="2"/>
  <c r="L56" i="2" s="1"/>
  <c r="K55" i="2"/>
  <c r="L55" i="2" s="1"/>
  <c r="L116" i="2"/>
  <c r="L107" i="2"/>
  <c r="L106" i="2"/>
  <c r="K57" i="2"/>
  <c r="L57" i="2" s="1"/>
  <c r="K58" i="2"/>
  <c r="L58" i="2" s="1"/>
  <c r="L109" i="2"/>
  <c r="L108" i="2"/>
  <c r="L105" i="2"/>
  <c r="L104" i="2"/>
  <c r="L118" i="2"/>
  <c r="K59" i="2"/>
  <c r="L59" i="2" s="1"/>
  <c r="K60" i="2"/>
  <c r="L60" i="2" s="1"/>
  <c r="L110" i="2"/>
  <c r="K73" i="2"/>
  <c r="L73" i="2" s="1"/>
  <c r="K74" i="2"/>
  <c r="L74" i="2" s="1"/>
  <c r="K67" i="2"/>
  <c r="L67" i="2" s="1"/>
  <c r="K68" i="2"/>
  <c r="L68" i="2" s="1"/>
  <c r="L120" i="2"/>
  <c r="K64" i="2"/>
  <c r="L64" i="2" s="1"/>
  <c r="K63" i="2"/>
  <c r="L63" i="2" s="1"/>
  <c r="L113" i="2"/>
  <c r="K62" i="2"/>
  <c r="L62" i="2" s="1"/>
  <c r="K61" i="2"/>
  <c r="L61" i="2" s="1"/>
  <c r="K70" i="2"/>
  <c r="L70" i="2" s="1"/>
  <c r="K69" i="2"/>
  <c r="L69" i="2" s="1"/>
  <c r="K72" i="2"/>
  <c r="L72" i="2" s="1"/>
  <c r="K71" i="2"/>
  <c r="L71" i="2" s="1"/>
  <c r="L122" i="2"/>
  <c r="K299" i="8"/>
  <c r="L299" i="8" s="1"/>
  <c r="L518" i="8"/>
  <c r="BT162" i="3"/>
  <c r="K354" i="9"/>
  <c r="L354" i="9" s="1"/>
  <c r="K340" i="9"/>
  <c r="L340" i="9" s="1"/>
  <c r="K324" i="9"/>
  <c r="L324" i="9" s="1"/>
  <c r="K302" i="9"/>
  <c r="L302" i="9" s="1"/>
  <c r="K143" i="9"/>
  <c r="L143" i="9" s="1"/>
  <c r="K144" i="9"/>
  <c r="L144" i="9" s="1"/>
  <c r="K338" i="9"/>
  <c r="L338" i="9" s="1"/>
  <c r="K325" i="9"/>
  <c r="L325" i="9" s="1"/>
  <c r="K303" i="9"/>
  <c r="L303" i="9" s="1"/>
  <c r="K352" i="9"/>
  <c r="L352" i="9" s="1"/>
  <c r="K377" i="9"/>
  <c r="L377" i="9" s="1"/>
  <c r="K305" i="9"/>
  <c r="L305" i="9" s="1"/>
  <c r="K327" i="9"/>
  <c r="L327" i="9" s="1"/>
  <c r="K409" i="9"/>
  <c r="L409" i="9" s="1"/>
  <c r="K311" i="9"/>
  <c r="L311" i="9" s="1"/>
  <c r="K287" i="9"/>
  <c r="L287" i="9" s="1"/>
  <c r="K263" i="9"/>
  <c r="L263" i="9" s="1"/>
  <c r="K269" i="9"/>
  <c r="L269" i="9" s="1"/>
  <c r="K256" i="9"/>
  <c r="L256" i="9" s="1"/>
  <c r="K261" i="9"/>
  <c r="L261" i="9" s="1"/>
  <c r="K398" i="9"/>
  <c r="L398" i="9" s="1"/>
  <c r="K355" i="9"/>
  <c r="L355" i="9" s="1"/>
  <c r="K420" i="9"/>
  <c r="L420" i="9" s="1"/>
  <c r="K278" i="9"/>
  <c r="L278" i="9" s="1"/>
  <c r="K251" i="9"/>
  <c r="L251" i="9" s="1"/>
  <c r="K273" i="9"/>
  <c r="L273" i="9" s="1"/>
  <c r="K277" i="9"/>
  <c r="L277" i="9" s="1"/>
  <c r="K341" i="9"/>
  <c r="L341" i="9" s="1"/>
  <c r="K522" i="10"/>
  <c r="L522" i="10" s="1"/>
  <c r="K318" i="8"/>
  <c r="L318" i="8" s="1"/>
  <c r="K348" i="8"/>
  <c r="L348" i="8" s="1"/>
  <c r="K334" i="8"/>
  <c r="L334" i="8" s="1"/>
  <c r="K296" i="8"/>
  <c r="L296"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2" i="8"/>
  <c r="L332" i="8" s="1"/>
  <c r="K319" i="8"/>
  <c r="L319" i="8" s="1"/>
  <c r="K297" i="8"/>
  <c r="L297" i="8" s="1"/>
  <c r="K346" i="8"/>
  <c r="L346" i="8" s="1"/>
  <c r="K202" i="10"/>
  <c r="L202" i="10" s="1"/>
  <c r="K525" i="10"/>
  <c r="L525" i="10" s="1"/>
  <c r="K867" i="10"/>
  <c r="L867" i="10" s="1"/>
  <c r="K335" i="8"/>
  <c r="L335" i="8" s="1"/>
  <c r="K847" i="10"/>
  <c r="L847" i="10" s="1"/>
  <c r="K321" i="8"/>
  <c r="L321" i="8" s="1"/>
  <c r="K204" i="10"/>
  <c r="L204" i="10" s="1"/>
  <c r="K224" i="10"/>
  <c r="L224" i="10" s="1"/>
  <c r="K371" i="8"/>
  <c r="L371" i="8" s="1"/>
  <c r="K247" i="10"/>
  <c r="L247" i="10" s="1"/>
  <c r="K568" i="10"/>
  <c r="L568" i="10" s="1"/>
  <c r="K890" i="10"/>
  <c r="L890" i="10" s="1"/>
  <c r="K267" i="8"/>
  <c r="L267" i="8" s="1"/>
  <c r="K817" i="10"/>
  <c r="L817" i="10" s="1"/>
  <c r="K495" i="10"/>
  <c r="L495" i="10" s="1"/>
  <c r="K172" i="10"/>
  <c r="L172" i="10" s="1"/>
  <c r="K179" i="10"/>
  <c r="L179" i="10" s="1"/>
  <c r="K250" i="8"/>
  <c r="L250" i="8" s="1"/>
  <c r="K174" i="10"/>
  <c r="L174" i="10" s="1"/>
  <c r="K183" i="10"/>
  <c r="L183" i="10" s="1"/>
  <c r="K826" i="10"/>
  <c r="L826" i="10" s="1"/>
  <c r="K167" i="10"/>
  <c r="L167" i="10" s="1"/>
  <c r="K504" i="10"/>
  <c r="L504" i="10" s="1"/>
  <c r="K349" i="8"/>
  <c r="L349" i="8" s="1"/>
  <c r="K305" i="8"/>
  <c r="L305" i="8" s="1"/>
  <c r="K505" i="10"/>
  <c r="L505" i="10" s="1"/>
  <c r="K530" i="10"/>
  <c r="L530" i="10" s="1"/>
  <c r="K392" i="8"/>
  <c r="L392" i="8" s="1"/>
  <c r="K815" i="10"/>
  <c r="L815" i="10" s="1"/>
  <c r="K589" i="10"/>
  <c r="L589" i="10" s="1"/>
  <c r="K271" i="8"/>
  <c r="L271" i="8" s="1"/>
  <c r="K493" i="10"/>
  <c r="L493" i="10" s="1"/>
  <c r="K545" i="10"/>
  <c r="L545" i="10" s="1"/>
  <c r="K414" i="8"/>
  <c r="L414" i="8" s="1"/>
  <c r="K827" i="10"/>
  <c r="L827" i="10" s="1"/>
  <c r="K852" i="10"/>
  <c r="L852" i="10" s="1"/>
  <c r="K245" i="8"/>
  <c r="L245" i="8" s="1"/>
  <c r="K403" i="8"/>
  <c r="L403" i="8" s="1"/>
  <c r="K822" i="10"/>
  <c r="L822" i="10" s="1"/>
  <c r="K281" i="8"/>
  <c r="L281" i="8" s="1"/>
  <c r="K257" i="8"/>
  <c r="L257" i="8" s="1"/>
  <c r="K832" i="10"/>
  <c r="L832" i="10" s="1"/>
  <c r="K488" i="10"/>
  <c r="L488" i="10" s="1"/>
  <c r="K209" i="10"/>
  <c r="L209" i="10" s="1"/>
  <c r="K184" i="10"/>
  <c r="L184" i="10" s="1"/>
  <c r="K500" i="10"/>
  <c r="L500" i="10" s="1"/>
  <c r="K272" i="8"/>
  <c r="L272" i="8" s="1"/>
  <c r="K255" i="8"/>
  <c r="L255" i="8" s="1"/>
  <c r="K189" i="10"/>
  <c r="L189" i="10" s="1"/>
  <c r="K268" i="10"/>
  <c r="L268" i="10" s="1"/>
  <c r="K911" i="10"/>
  <c r="L911" i="10" s="1"/>
  <c r="K263" i="8"/>
  <c r="L263"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88" i="9" s="1"/>
  <c r="L288" i="9" s="1"/>
  <c r="K402" i="2"/>
  <c r="L402" i="2" s="1"/>
  <c r="K373" i="2"/>
  <c r="L373" i="2" s="1"/>
  <c r="K397" i="2"/>
  <c r="L397" i="2" s="1"/>
  <c r="K374" i="2"/>
  <c r="L374" i="2" s="1"/>
  <c r="K376" i="2"/>
  <c r="L376" i="2" s="1"/>
  <c r="K394" i="2"/>
  <c r="L394" i="2" s="1"/>
  <c r="K383" i="2"/>
  <c r="L383" i="2" s="1"/>
  <c r="K380" i="2"/>
  <c r="L380" i="2" s="1"/>
  <c r="K401" i="2"/>
  <c r="L401"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K162" i="2" l="1"/>
  <c r="AC98" i="3"/>
  <c r="K962" i="10"/>
  <c r="K640" i="10"/>
  <c r="K319" i="10"/>
  <c r="K956" i="10"/>
  <c r="K313" i="10"/>
  <c r="K519" i="9"/>
  <c r="K513" i="8"/>
  <c r="K634" i="10"/>
  <c r="K522" i="8"/>
  <c r="K528" i="9"/>
  <c r="K316" i="10"/>
  <c r="K959" i="10"/>
  <c r="K637" i="10"/>
  <c r="K966" i="10"/>
  <c r="L966" i="10" s="1"/>
  <c r="K644" i="10"/>
  <c r="L644" i="10" s="1"/>
  <c r="K538" i="9"/>
  <c r="L538" i="9" s="1"/>
  <c r="K532" i="8"/>
  <c r="L532" i="8" s="1"/>
  <c r="K323" i="10"/>
  <c r="L323" i="10" s="1"/>
  <c r="K643" i="10"/>
  <c r="L643" i="10" s="1"/>
  <c r="K537" i="9"/>
  <c r="L537" i="9" s="1"/>
  <c r="K531" i="8"/>
  <c r="L531" i="8" s="1"/>
  <c r="K322" i="10"/>
  <c r="L322" i="10" s="1"/>
  <c r="K965" i="10"/>
  <c r="L965" i="10" s="1"/>
  <c r="K528" i="8"/>
  <c r="L528" i="8" s="1"/>
  <c r="K534" i="9"/>
  <c r="L534" i="9" s="1"/>
  <c r="K529" i="8"/>
  <c r="L529" i="8" s="1"/>
  <c r="K535" i="9"/>
  <c r="L535" i="9" s="1"/>
  <c r="K532" i="9"/>
  <c r="L532" i="9" s="1"/>
  <c r="K526" i="8"/>
  <c r="L526" i="8" s="1"/>
  <c r="K531" i="9"/>
  <c r="L531" i="9" s="1"/>
  <c r="K525" i="8"/>
  <c r="L525" i="8" s="1"/>
  <c r="K540" i="8"/>
  <c r="L540" i="8" s="1"/>
  <c r="K546" i="9"/>
  <c r="L546" i="9" s="1"/>
  <c r="K547" i="9"/>
  <c r="L547" i="9" s="1"/>
  <c r="K541" i="8"/>
  <c r="L541" i="8" s="1"/>
  <c r="K544" i="9"/>
  <c r="L544" i="9" s="1"/>
  <c r="K538" i="8"/>
  <c r="L538" i="8" s="1"/>
  <c r="K537" i="8"/>
  <c r="L537" i="8" s="1"/>
  <c r="K543" i="9"/>
  <c r="L543" i="9" s="1"/>
  <c r="K968" i="10"/>
  <c r="L968" i="10" s="1"/>
  <c r="K534" i="8"/>
  <c r="L534" i="8" s="1"/>
  <c r="K325" i="10"/>
  <c r="L325" i="10" s="1"/>
  <c r="K540" i="9"/>
  <c r="L540" i="9" s="1"/>
  <c r="K646" i="10"/>
  <c r="L646" i="10" s="1"/>
  <c r="K969" i="10"/>
  <c r="L969" i="10" s="1"/>
  <c r="K326" i="10"/>
  <c r="L326" i="10" s="1"/>
  <c r="K535" i="8"/>
  <c r="L535" i="8" s="1"/>
  <c r="K647" i="10"/>
  <c r="L647" i="10" s="1"/>
  <c r="K541" i="9"/>
  <c r="L541" i="9" s="1"/>
  <c r="K963" i="10"/>
  <c r="L963" i="10" s="1"/>
  <c r="K320" i="10"/>
  <c r="L320" i="10" s="1"/>
  <c r="K641" i="10"/>
  <c r="L641" i="10" s="1"/>
  <c r="K960" i="10"/>
  <c r="L960" i="10" s="1"/>
  <c r="K317" i="10"/>
  <c r="L317" i="10" s="1"/>
  <c r="K523" i="8"/>
  <c r="L523" i="8" s="1"/>
  <c r="K638" i="10"/>
  <c r="L638" i="10" s="1"/>
  <c r="K529" i="9"/>
  <c r="L529" i="9" s="1"/>
  <c r="K526" i="9"/>
  <c r="L526" i="9" s="1"/>
  <c r="K520" i="8"/>
  <c r="L520" i="8" s="1"/>
  <c r="K525" i="9"/>
  <c r="L525" i="9" s="1"/>
  <c r="K519" i="8"/>
  <c r="L519" i="8" s="1"/>
  <c r="K522" i="9"/>
  <c r="L522" i="9" s="1"/>
  <c r="K516" i="8"/>
  <c r="L516" i="8" s="1"/>
  <c r="K523" i="9"/>
  <c r="L523" i="9" s="1"/>
  <c r="K517" i="8"/>
  <c r="L517" i="8" s="1"/>
  <c r="K514" i="8"/>
  <c r="L514" i="8" s="1"/>
  <c r="K957" i="10"/>
  <c r="L957" i="10" s="1"/>
  <c r="K635" i="10"/>
  <c r="L635" i="10" s="1"/>
  <c r="L314" i="10"/>
  <c r="K520" i="9"/>
  <c r="L520" i="9" s="1"/>
  <c r="BD59" i="12"/>
  <c r="M16" i="12"/>
  <c r="CD6" i="5"/>
  <c r="CF6" i="5"/>
  <c r="CH6" i="5"/>
  <c r="CJ6" i="5"/>
  <c r="CL6" i="5"/>
  <c r="CN6" i="5"/>
  <c r="CB6" i="5"/>
  <c r="CE6" i="5"/>
  <c r="CG6" i="5"/>
  <c r="CI6" i="5"/>
  <c r="CK6" i="5"/>
  <c r="CM6" i="5"/>
  <c r="CO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3" i="9"/>
  <c r="L283" i="9" s="1"/>
  <c r="CA131" i="3"/>
  <c r="AC18" i="3"/>
  <c r="BV37" i="3" s="1"/>
  <c r="AC29" i="3"/>
  <c r="CB95" i="3" s="1"/>
  <c r="AC28" i="3"/>
  <c r="BV97" i="3" s="1"/>
  <c r="AC36" i="3"/>
  <c r="BR153" i="3" s="1"/>
  <c r="BU131" i="3"/>
  <c r="AC24" i="3"/>
  <c r="BS85" i="3" s="1"/>
  <c r="AC39" i="3"/>
  <c r="BU140" i="3" s="1"/>
  <c r="AC25" i="3"/>
  <c r="BP86" i="3" s="1"/>
  <c r="AC14" i="3"/>
  <c r="K400" i="2"/>
  <c r="L400" i="2" s="1"/>
  <c r="K304" i="9"/>
  <c r="L304" i="9" s="1"/>
  <c r="K300" i="9" s="1"/>
  <c r="L300" i="9" s="1"/>
  <c r="K326" i="9"/>
  <c r="L326" i="9" s="1"/>
  <c r="K318" i="9" s="1"/>
  <c r="L318" i="9" s="1"/>
  <c r="K353" i="9"/>
  <c r="L353" i="9" s="1"/>
  <c r="K346" i="9" s="1"/>
  <c r="L346" i="9" s="1"/>
  <c r="K339" i="9"/>
  <c r="L339" i="9" s="1"/>
  <c r="K332" i="9" s="1"/>
  <c r="L332" i="9" s="1"/>
  <c r="K377" i="2"/>
  <c r="L377" i="2" s="1"/>
  <c r="K366" i="8" s="1"/>
  <c r="L366" i="8" s="1"/>
  <c r="K843" i="10"/>
  <c r="L843" i="10" s="1"/>
  <c r="K301" i="9"/>
  <c r="L301" i="9" s="1"/>
  <c r="K312" i="9"/>
  <c r="L312" i="9" s="1"/>
  <c r="K309" i="9" s="1"/>
  <c r="L309" i="9" s="1"/>
  <c r="K264" i="9"/>
  <c r="L264" i="9" s="1"/>
  <c r="K255" i="9" s="1"/>
  <c r="L255" i="9" s="1"/>
  <c r="K281" i="9"/>
  <c r="L281" i="9" s="1"/>
  <c r="K285" i="9"/>
  <c r="L285" i="9" s="1"/>
  <c r="AC33" i="3"/>
  <c r="BO140" i="3" s="1"/>
  <c r="BP73" i="3"/>
  <c r="AC42" i="3"/>
  <c r="BX153" i="3" s="1"/>
  <c r="AC15" i="3"/>
  <c r="BP26" i="3" s="1"/>
  <c r="AC45" i="3"/>
  <c r="CA140" i="3" s="1"/>
  <c r="AC30" i="3"/>
  <c r="BZ96" i="3" s="1"/>
  <c r="AC19" i="3"/>
  <c r="CB35" i="3" s="1"/>
  <c r="AC48" i="3"/>
  <c r="CD153" i="3" s="1"/>
  <c r="BO131" i="3"/>
  <c r="AC20" i="3"/>
  <c r="BZ36" i="3" s="1"/>
  <c r="K375" i="2"/>
  <c r="L375" i="2" s="1"/>
  <c r="K364" i="8"/>
  <c r="L364" i="8" s="1"/>
  <c r="K369" i="9"/>
  <c r="L369" i="9" s="1"/>
  <c r="K853" i="10"/>
  <c r="L853" i="10" s="1"/>
  <c r="K849" i="10" s="1"/>
  <c r="L849" i="10" s="1"/>
  <c r="K490" i="9"/>
  <c r="L490" i="9" s="1"/>
  <c r="K489" i="9"/>
  <c r="L489" i="9" s="1"/>
  <c r="K491" i="9"/>
  <c r="L491" i="9" s="1"/>
  <c r="K295" i="8"/>
  <c r="L295" i="8" s="1"/>
  <c r="K317" i="8"/>
  <c r="L317" i="8" s="1"/>
  <c r="K323" i="9"/>
  <c r="L323" i="9" s="1"/>
  <c r="K351" i="9"/>
  <c r="L351" i="9" s="1"/>
  <c r="K279" i="9"/>
  <c r="L279" i="9" s="1"/>
  <c r="K337" i="9"/>
  <c r="L337" i="9" s="1"/>
  <c r="K370" i="9"/>
  <c r="L370" i="9" s="1"/>
  <c r="K882" i="10"/>
  <c r="L882" i="10" s="1"/>
  <c r="K560" i="10"/>
  <c r="L560" i="10" s="1"/>
  <c r="K175" i="10"/>
  <c r="L175" i="10" s="1"/>
  <c r="K818" i="10"/>
  <c r="L818" i="10" s="1"/>
  <c r="K809" i="10" s="1"/>
  <c r="L809" i="10" s="1"/>
  <c r="K865" i="10"/>
  <c r="L865" i="10" s="1"/>
  <c r="K858" i="10" s="1"/>
  <c r="L858" i="10" s="1"/>
  <c r="K222" i="10"/>
  <c r="L222" i="10" s="1"/>
  <c r="K219" i="10" s="1"/>
  <c r="L219" i="10" s="1"/>
  <c r="K524" i="10"/>
  <c r="L524" i="10" s="1"/>
  <c r="K520" i="10" s="1"/>
  <c r="L520" i="10" s="1"/>
  <c r="K846" i="10"/>
  <c r="L846" i="10" s="1"/>
  <c r="K203" i="10"/>
  <c r="L203" i="10" s="1"/>
  <c r="K543" i="10"/>
  <c r="L543" i="10" s="1"/>
  <c r="K536" i="10" s="1"/>
  <c r="L536" i="10" s="1"/>
  <c r="K239" i="10"/>
  <c r="L239" i="10" s="1"/>
  <c r="K306" i="8"/>
  <c r="L306" i="8" s="1"/>
  <c r="K511" i="10"/>
  <c r="L511" i="10" s="1"/>
  <c r="K200" i="10"/>
  <c r="L200" i="10" s="1"/>
  <c r="K541" i="10"/>
  <c r="L541" i="10" s="1"/>
  <c r="K331" i="8"/>
  <c r="L331" i="8" s="1"/>
  <c r="K210" i="10"/>
  <c r="L210" i="10" s="1"/>
  <c r="K220" i="10"/>
  <c r="L220" i="10" s="1"/>
  <c r="K496" i="10"/>
  <c r="L496" i="10" s="1"/>
  <c r="K828" i="10"/>
  <c r="L828" i="10" s="1"/>
  <c r="K282" i="8"/>
  <c r="L282" i="8" s="1"/>
  <c r="K279" i="8" s="1"/>
  <c r="L279" i="8" s="1"/>
  <c r="K185" i="10"/>
  <c r="L185" i="10" s="1"/>
  <c r="K484" i="8"/>
  <c r="L484" i="8" s="1"/>
  <c r="K485" i="8"/>
  <c r="L485" i="8" s="1"/>
  <c r="K299" i="10"/>
  <c r="L299" i="10" s="1"/>
  <c r="K302" i="10"/>
  <c r="L302" i="10" s="1"/>
  <c r="K945" i="10"/>
  <c r="L945" i="10" s="1"/>
  <c r="K942" i="10"/>
  <c r="L942" i="10" s="1"/>
  <c r="K623" i="10"/>
  <c r="L623" i="10" s="1"/>
  <c r="K620" i="10"/>
  <c r="L620" i="10" s="1"/>
  <c r="K483" i="8"/>
  <c r="L483" i="8" s="1"/>
  <c r="L29" i="12" s="1"/>
  <c r="K345" i="8"/>
  <c r="L345" i="8" s="1"/>
  <c r="K531" i="10"/>
  <c r="L531" i="10" s="1"/>
  <c r="K833" i="10"/>
  <c r="L833" i="10" s="1"/>
  <c r="K506" i="10"/>
  <c r="L506" i="10" s="1"/>
  <c r="K363" i="8"/>
  <c r="L363" i="8" s="1"/>
  <c r="K238" i="10"/>
  <c r="L238" i="10" s="1"/>
  <c r="K559" i="10"/>
  <c r="L559" i="10" s="1"/>
  <c r="K881" i="10"/>
  <c r="L881" i="10" s="1"/>
  <c r="K521" i="10"/>
  <c r="L521" i="10" s="1"/>
  <c r="K863" i="10"/>
  <c r="L863" i="10" s="1"/>
  <c r="K298" i="8"/>
  <c r="L298" i="8" s="1"/>
  <c r="K320" i="8"/>
  <c r="L320" i="8" s="1"/>
  <c r="K333" i="8"/>
  <c r="L333" i="8" s="1"/>
  <c r="K347" i="8"/>
  <c r="L347" i="8" s="1"/>
  <c r="K273" i="8"/>
  <c r="L273" i="8" s="1"/>
  <c r="K258" i="8"/>
  <c r="L258" i="8" s="1"/>
  <c r="K190" i="10"/>
  <c r="L190" i="10" s="1"/>
  <c r="K396" i="2"/>
  <c r="L396" i="2" s="1"/>
  <c r="K393" i="2"/>
  <c r="L393" i="2" s="1"/>
  <c r="L162" i="2"/>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BS25" i="3" l="1"/>
  <c r="AC49" i="3"/>
  <c r="AT51" i="12"/>
  <c r="AP47" i="12"/>
  <c r="AO46" i="12"/>
  <c r="AS50" i="12"/>
  <c r="AK42" i="12"/>
  <c r="AL43" i="12"/>
  <c r="K308" i="9"/>
  <c r="L308" i="9" s="1"/>
  <c r="CE89" i="12" s="1"/>
  <c r="K862" i="10"/>
  <c r="L862" i="10" s="1"/>
  <c r="K857" i="10" s="1"/>
  <c r="L857" i="10" s="1"/>
  <c r="K244" i="10"/>
  <c r="L244" i="10" s="1"/>
  <c r="K379" i="2"/>
  <c r="L379" i="2" s="1"/>
  <c r="K230" i="8" s="1"/>
  <c r="L230" i="8" s="1"/>
  <c r="K368" i="8"/>
  <c r="L368" i="8" s="1"/>
  <c r="K367" i="8" s="1"/>
  <c r="L367" i="8" s="1"/>
  <c r="K307" i="9"/>
  <c r="L307" i="9" s="1"/>
  <c r="CA85" i="12" s="1"/>
  <c r="K887" i="10"/>
  <c r="L887" i="10" s="1"/>
  <c r="K563" i="10"/>
  <c r="L563" i="10" s="1"/>
  <c r="K382" i="2"/>
  <c r="L382" i="2" s="1"/>
  <c r="K246" i="9" s="1"/>
  <c r="L246" i="9" s="1"/>
  <c r="K885" i="10"/>
  <c r="L885" i="10" s="1"/>
  <c r="K242" i="10"/>
  <c r="L242" i="10" s="1"/>
  <c r="K250" i="9"/>
  <c r="L250" i="9" s="1"/>
  <c r="K248" i="9" s="1"/>
  <c r="L248" i="9" s="1"/>
  <c r="K215" i="10"/>
  <c r="L215" i="10" s="1"/>
  <c r="K214" i="10" s="1"/>
  <c r="L214" i="10" s="1"/>
  <c r="K814" i="10"/>
  <c r="L814" i="10" s="1"/>
  <c r="K812" i="10" s="1"/>
  <c r="L812" i="10" s="1"/>
  <c r="L210" i="2"/>
  <c r="K492" i="9"/>
  <c r="L492" i="9" s="1"/>
  <c r="K493" i="9"/>
  <c r="L493" i="9" s="1"/>
  <c r="K494" i="9"/>
  <c r="L494" i="9" s="1"/>
  <c r="K496" i="9"/>
  <c r="L496" i="9" s="1"/>
  <c r="K495" i="9"/>
  <c r="L495" i="9" s="1"/>
  <c r="K497" i="9"/>
  <c r="L497" i="9" s="1"/>
  <c r="K249" i="8"/>
  <c r="L249" i="8" s="1"/>
  <c r="K262" i="8"/>
  <c r="L262" i="8" s="1"/>
  <c r="K330" i="8"/>
  <c r="L330" i="8" s="1"/>
  <c r="K294" i="8"/>
  <c r="L294" i="8" s="1"/>
  <c r="K879" i="10"/>
  <c r="L879" i="10" s="1"/>
  <c r="K894" i="10" s="1"/>
  <c r="L894" i="10" s="1"/>
  <c r="K236" i="10"/>
  <c r="L236" i="10" s="1"/>
  <c r="K277" i="10" s="1"/>
  <c r="L277" i="10" s="1"/>
  <c r="K499" i="10"/>
  <c r="L499" i="10" s="1"/>
  <c r="K527" i="10"/>
  <c r="L527" i="10" s="1"/>
  <c r="K178" i="10"/>
  <c r="L178" i="10" s="1"/>
  <c r="K277" i="8"/>
  <c r="L277" i="8" s="1"/>
  <c r="K487" i="10"/>
  <c r="L487" i="10" s="1"/>
  <c r="K206" i="10"/>
  <c r="L206" i="10" s="1"/>
  <c r="K807" i="10"/>
  <c r="L807" i="10" s="1"/>
  <c r="K195" i="10"/>
  <c r="L195" i="10" s="1"/>
  <c r="K516" i="10"/>
  <c r="L516" i="10" s="1"/>
  <c r="K515" i="10" s="1"/>
  <c r="L515" i="10" s="1"/>
  <c r="K166" i="10"/>
  <c r="L166" i="10" s="1"/>
  <c r="K368" i="9"/>
  <c r="L368" i="9" s="1"/>
  <c r="K253" i="9"/>
  <c r="L253" i="9" s="1"/>
  <c r="K260" i="9"/>
  <c r="L260" i="9" s="1"/>
  <c r="K268" i="9"/>
  <c r="L268" i="9" s="1"/>
  <c r="K565" i="10"/>
  <c r="L565" i="10" s="1"/>
  <c r="K372" i="9"/>
  <c r="L372" i="9" s="1"/>
  <c r="K374" i="9"/>
  <c r="L374" i="9" s="1"/>
  <c r="K350" i="9"/>
  <c r="L350" i="9" s="1"/>
  <c r="K345" i="9" s="1"/>
  <c r="L345" i="9" s="1"/>
  <c r="K296" i="9"/>
  <c r="L296" i="9" s="1"/>
  <c r="BP13" i="3"/>
  <c r="K168" i="2"/>
  <c r="K187" i="10"/>
  <c r="L187" i="10" s="1"/>
  <c r="K344" i="8"/>
  <c r="L344" i="8" s="1"/>
  <c r="K316" i="8"/>
  <c r="L316" i="8" s="1"/>
  <c r="K557" i="10"/>
  <c r="L557" i="10" s="1"/>
  <c r="K598" i="10" s="1"/>
  <c r="L598" i="10" s="1"/>
  <c r="K361" i="8"/>
  <c r="L361" i="8" s="1"/>
  <c r="K423" i="8" s="1"/>
  <c r="L423" i="8" s="1"/>
  <c r="K830" i="10"/>
  <c r="L830" i="10" s="1"/>
  <c r="K821" i="10"/>
  <c r="L821" i="10" s="1"/>
  <c r="K508" i="10"/>
  <c r="L508" i="10" s="1"/>
  <c r="K540" i="10"/>
  <c r="L540" i="10" s="1"/>
  <c r="K838" i="10"/>
  <c r="L838" i="10" s="1"/>
  <c r="K367" i="9"/>
  <c r="L367" i="9" s="1"/>
  <c r="K276" i="9"/>
  <c r="L276" i="9" s="1"/>
  <c r="K272" i="9"/>
  <c r="L272" i="9" s="1"/>
  <c r="K336" i="9"/>
  <c r="L336" i="9" s="1"/>
  <c r="K322" i="9"/>
  <c r="L322" i="9" s="1"/>
  <c r="K558" i="10"/>
  <c r="L558" i="10" s="1"/>
  <c r="K825" i="10"/>
  <c r="L825" i="10" s="1"/>
  <c r="K182" i="10"/>
  <c r="L182" i="10" s="1"/>
  <c r="K270" i="8"/>
  <c r="L270" i="8" s="1"/>
  <c r="K266" i="8"/>
  <c r="L266" i="8" s="1"/>
  <c r="K503" i="10"/>
  <c r="L503" i="10" s="1"/>
  <c r="K492" i="10"/>
  <c r="L492" i="10" s="1"/>
  <c r="K842" i="10"/>
  <c r="L842" i="10" s="1"/>
  <c r="K244" i="8"/>
  <c r="L244" i="8" s="1"/>
  <c r="CI93" i="12"/>
  <c r="K340" i="8"/>
  <c r="L340" i="8" s="1"/>
  <c r="K275" i="8"/>
  <c r="L275" i="8" s="1"/>
  <c r="K326" i="8"/>
  <c r="L326" i="8" s="1"/>
  <c r="K486" i="8"/>
  <c r="L486" i="8" s="1"/>
  <c r="K488" i="8"/>
  <c r="L488" i="8" s="1"/>
  <c r="K487" i="8"/>
  <c r="L487" i="8" s="1"/>
  <c r="Q34" i="12" s="1"/>
  <c r="K946" i="10"/>
  <c r="L946" i="10" s="1"/>
  <c r="K943" i="10"/>
  <c r="L943" i="10" s="1"/>
  <c r="K624" i="10"/>
  <c r="L624" i="10" s="1"/>
  <c r="K303" i="10"/>
  <c r="L303" i="10" s="1"/>
  <c r="K621" i="10"/>
  <c r="L621" i="10" s="1"/>
  <c r="K300" i="10"/>
  <c r="L300" i="10" s="1"/>
  <c r="K490" i="8"/>
  <c r="L490" i="8" s="1"/>
  <c r="R35" i="12" s="1"/>
  <c r="K489" i="8"/>
  <c r="L489" i="8" s="1"/>
  <c r="K491" i="8"/>
  <c r="L491" i="8" s="1"/>
  <c r="K625" i="10"/>
  <c r="L625" i="10" s="1"/>
  <c r="K622" i="10"/>
  <c r="L622" i="10" s="1"/>
  <c r="K304" i="10"/>
  <c r="L304" i="10" s="1"/>
  <c r="K944" i="10"/>
  <c r="L944" i="10" s="1"/>
  <c r="K301" i="10"/>
  <c r="L301" i="10" s="1"/>
  <c r="K947" i="10"/>
  <c r="L947" i="10" s="1"/>
  <c r="K254" i="8"/>
  <c r="L254" i="8" s="1"/>
  <c r="K237" i="10"/>
  <c r="L237" i="10" s="1"/>
  <c r="BW81" i="12"/>
  <c r="K290" i="8"/>
  <c r="L290" i="8" s="1"/>
  <c r="K199" i="10"/>
  <c r="L199" i="10" s="1"/>
  <c r="K312" i="8"/>
  <c r="L312" i="8" s="1"/>
  <c r="K171" i="10"/>
  <c r="L171" i="10" s="1"/>
  <c r="K880" i="10"/>
  <c r="L880" i="10" s="1"/>
  <c r="K302" i="8"/>
  <c r="L302" i="8" s="1"/>
  <c r="K301" i="8"/>
  <c r="L301" i="8" s="1"/>
  <c r="K303" i="8"/>
  <c r="L303" i="8" s="1"/>
  <c r="K362" i="8"/>
  <c r="L362"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243" i="10" l="1"/>
  <c r="L243" i="10" s="1"/>
  <c r="K272" i="10" s="1"/>
  <c r="L272" i="10" s="1"/>
  <c r="K236" i="8"/>
  <c r="L236" i="8" s="1"/>
  <c r="K233" i="8" s="1"/>
  <c r="L233" i="8" s="1"/>
  <c r="K375" i="9"/>
  <c r="L375" i="9" s="1"/>
  <c r="K376" i="9" s="1"/>
  <c r="L376" i="9" s="1"/>
  <c r="K240" i="8"/>
  <c r="L240" i="8" s="1"/>
  <c r="K237" i="8" s="1"/>
  <c r="L237" i="8" s="1"/>
  <c r="K369" i="8"/>
  <c r="L369" i="8" s="1"/>
  <c r="K413" i="8" s="1"/>
  <c r="L413" i="8" s="1"/>
  <c r="K435" i="8"/>
  <c r="L435" i="8" s="1"/>
  <c r="K564" i="10"/>
  <c r="L564" i="10" s="1"/>
  <c r="K607" i="10" s="1"/>
  <c r="L607" i="10" s="1"/>
  <c r="K242" i="9"/>
  <c r="L242" i="9" s="1"/>
  <c r="K239" i="9" s="1"/>
  <c r="L239" i="9" s="1"/>
  <c r="K886" i="10"/>
  <c r="L886" i="10" s="1"/>
  <c r="K915" i="10" s="1"/>
  <c r="L915" i="10" s="1"/>
  <c r="K375" i="8"/>
  <c r="L375" i="8" s="1"/>
  <c r="K377" i="8" s="1"/>
  <c r="L377" i="8" s="1"/>
  <c r="K258" i="10"/>
  <c r="L258" i="10" s="1"/>
  <c r="K429" i="8"/>
  <c r="L429" i="8" s="1"/>
  <c r="K382" i="8"/>
  <c r="L382" i="8" s="1"/>
  <c r="K251" i="10"/>
  <c r="L251" i="10" s="1"/>
  <c r="K253" i="10" s="1"/>
  <c r="L253" i="10" s="1"/>
  <c r="K901" i="10"/>
  <c r="L901" i="10" s="1"/>
  <c r="K238" i="9"/>
  <c r="L238" i="9" s="1"/>
  <c r="K235" i="9" s="1"/>
  <c r="L235" i="9" s="1"/>
  <c r="K286" i="10"/>
  <c r="L286" i="10" s="1"/>
  <c r="K248" i="10"/>
  <c r="L248" i="10" s="1"/>
  <c r="L168" i="2"/>
  <c r="K79" i="9" s="1"/>
  <c r="L79" i="9" s="1"/>
  <c r="K920" i="10"/>
  <c r="L920" i="10" s="1"/>
  <c r="K68" i="10"/>
  <c r="L68" i="10" s="1"/>
  <c r="M30" i="12"/>
  <c r="N31" i="12"/>
  <c r="AR50" i="12"/>
  <c r="AN46" i="12"/>
  <c r="K896" i="10"/>
  <c r="L896" i="10" s="1"/>
  <c r="K194" i="10"/>
  <c r="L194" i="10" s="1"/>
  <c r="K289" i="8"/>
  <c r="L289" i="8" s="1"/>
  <c r="K284" i="8" s="1"/>
  <c r="L284" i="8" s="1"/>
  <c r="K837" i="10"/>
  <c r="L837" i="10" s="1"/>
  <c r="K229" i="8"/>
  <c r="L229" i="8" s="1"/>
  <c r="U38" i="12"/>
  <c r="K325" i="8"/>
  <c r="L325" i="8" s="1"/>
  <c r="K579" i="10"/>
  <c r="L579" i="10" s="1"/>
  <c r="K572" i="10"/>
  <c r="L572" i="10" s="1"/>
  <c r="K576" i="10" s="1"/>
  <c r="L576" i="10" s="1"/>
  <c r="K242" i="8"/>
  <c r="L242" i="8" s="1"/>
  <c r="K895" i="10"/>
  <c r="L895" i="10" s="1"/>
  <c r="K535" i="10"/>
  <c r="L535" i="10" s="1"/>
  <c r="K268" i="8"/>
  <c r="L268" i="8" s="1"/>
  <c r="K823" i="10"/>
  <c r="L823" i="10" s="1"/>
  <c r="K270" i="9"/>
  <c r="L270" i="9" s="1"/>
  <c r="K85" i="9"/>
  <c r="L85" i="9" s="1"/>
  <c r="K89" i="9"/>
  <c r="L89" i="9" s="1"/>
  <c r="K373" i="9"/>
  <c r="L373" i="9" s="1"/>
  <c r="K258" i="9"/>
  <c r="L258" i="9" s="1"/>
  <c r="K317" i="9"/>
  <c r="L317" i="9" s="1"/>
  <c r="K243" i="9"/>
  <c r="L243" i="9" s="1"/>
  <c r="K81" i="9"/>
  <c r="L81" i="9" s="1"/>
  <c r="K100" i="9"/>
  <c r="L100" i="9" s="1"/>
  <c r="K95" i="9"/>
  <c r="L95" i="9" s="1"/>
  <c r="K105" i="9"/>
  <c r="L105" i="9" s="1"/>
  <c r="AJ42" i="12"/>
  <c r="K169" i="10"/>
  <c r="L169" i="10" s="1"/>
  <c r="K311" i="8"/>
  <c r="L311" i="8" s="1"/>
  <c r="K252" i="8"/>
  <c r="L252" i="8" s="1"/>
  <c r="K339" i="8"/>
  <c r="L339" i="8" s="1"/>
  <c r="K512" i="10"/>
  <c r="L512" i="10" s="1"/>
  <c r="K490" i="10"/>
  <c r="L490" i="10" s="1"/>
  <c r="K501" i="10"/>
  <c r="L501" i="10" s="1"/>
  <c r="K264" i="8"/>
  <c r="L264" i="8" s="1"/>
  <c r="K180" i="10"/>
  <c r="L180" i="10" s="1"/>
  <c r="K274" i="9"/>
  <c r="L274" i="9" s="1"/>
  <c r="K381" i="9"/>
  <c r="L381" i="9" s="1"/>
  <c r="K385" i="9" s="1"/>
  <c r="L385" i="9" s="1"/>
  <c r="K388" i="9"/>
  <c r="L388" i="9" s="1"/>
  <c r="K429" i="9"/>
  <c r="L429" i="9" s="1"/>
  <c r="K435" i="9"/>
  <c r="L435" i="9" s="1"/>
  <c r="K441" i="9"/>
  <c r="L441" i="9" s="1"/>
  <c r="K342" i="9"/>
  <c r="L342" i="9" s="1"/>
  <c r="K331" i="9"/>
  <c r="L331" i="9" s="1"/>
  <c r="K211" i="10"/>
  <c r="L211" i="10" s="1"/>
  <c r="K819" i="10"/>
  <c r="L819" i="10" s="1"/>
  <c r="K92" i="9"/>
  <c r="L92" i="9" s="1"/>
  <c r="K295" i="9"/>
  <c r="L295" i="9" s="1"/>
  <c r="K266" i="9"/>
  <c r="L266" i="9" s="1"/>
  <c r="K164" i="10"/>
  <c r="L164" i="10" s="1"/>
  <c r="K485" i="10"/>
  <c r="L485" i="10" s="1"/>
  <c r="K176" i="10"/>
  <c r="L176" i="10" s="1"/>
  <c r="K497" i="10"/>
  <c r="L497" i="10" s="1"/>
  <c r="K854" i="10"/>
  <c r="L854" i="10" s="1"/>
  <c r="K260" i="8"/>
  <c r="L260" i="8" s="1"/>
  <c r="K247" i="8"/>
  <c r="L247"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96" i="8"/>
  <c r="L396" i="8" s="1"/>
  <c r="K407" i="8"/>
  <c r="L407" i="8" s="1"/>
  <c r="K446" i="8"/>
  <c r="L446" i="8" s="1"/>
  <c r="K418" i="8"/>
  <c r="L418" i="8" s="1"/>
  <c r="K372" i="8"/>
  <c r="L372"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B665" i="11" l="1"/>
  <c r="K891" i="10"/>
  <c r="L891" i="10" s="1"/>
  <c r="K593" i="10"/>
  <c r="L593" i="10" s="1"/>
  <c r="K445" i="8"/>
  <c r="L445" i="8" s="1"/>
  <c r="K443" i="8" s="1"/>
  <c r="L443" i="8" s="1"/>
  <c r="K441" i="8" s="1"/>
  <c r="L441" i="8" s="1"/>
  <c r="K419" i="9"/>
  <c r="L419" i="9" s="1"/>
  <c r="K451" i="9"/>
  <c r="L451" i="9" s="1"/>
  <c r="K397" i="9"/>
  <c r="L397" i="9" s="1"/>
  <c r="K408" i="9"/>
  <c r="L408" i="9" s="1"/>
  <c r="K370" i="8"/>
  <c r="L370" i="8" s="1"/>
  <c r="K373" i="8" s="1"/>
  <c r="L373" i="8" s="1"/>
  <c r="K402" i="8"/>
  <c r="L402" i="8" s="1"/>
  <c r="K400" i="8" s="1"/>
  <c r="L400" i="8" s="1"/>
  <c r="K391" i="8"/>
  <c r="L391" i="8" s="1"/>
  <c r="K389" i="8" s="1"/>
  <c r="L389" i="8" s="1"/>
  <c r="K379" i="8"/>
  <c r="L379" i="8" s="1"/>
  <c r="K378" i="8" s="1"/>
  <c r="L378" i="8" s="1"/>
  <c r="K376" i="8"/>
  <c r="L376" i="8" s="1"/>
  <c r="K380" i="8" s="1"/>
  <c r="L38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28" i="8"/>
  <c r="L228" i="8" s="1"/>
  <c r="K286" i="8"/>
  <c r="L286" i="8" s="1"/>
  <c r="K285" i="8"/>
  <c r="L285" i="8" s="1"/>
  <c r="K383" i="9"/>
  <c r="L383" i="9" s="1"/>
  <c r="K384" i="9" s="1"/>
  <c r="L384" i="9" s="1"/>
  <c r="K73" i="9"/>
  <c r="L73" i="9" s="1"/>
  <c r="K75" i="9"/>
  <c r="L75" i="9" s="1"/>
  <c r="K897" i="10"/>
  <c r="L897" i="10" s="1"/>
  <c r="K921" i="10" s="1"/>
  <c r="L921" i="10" s="1"/>
  <c r="K389" i="10"/>
  <c r="L389" i="10" s="1"/>
  <c r="K411" i="8"/>
  <c r="L411" i="8" s="1"/>
  <c r="K82" i="8"/>
  <c r="L82" i="8" s="1"/>
  <c r="K76" i="9"/>
  <c r="L76" i="9" s="1"/>
  <c r="BC62" i="12"/>
  <c r="K292" i="9"/>
  <c r="L292" i="9" s="1"/>
  <c r="K290" i="9"/>
  <c r="L290" i="9" s="1"/>
  <c r="K291" i="9"/>
  <c r="L291" i="9" s="1"/>
  <c r="K91" i="9"/>
  <c r="L91" i="9" s="1"/>
  <c r="K336" i="8"/>
  <c r="L336" i="8" s="1"/>
  <c r="K308" i="8"/>
  <c r="L308" i="8" s="1"/>
  <c r="K94" i="9"/>
  <c r="L94" i="9" s="1"/>
  <c r="AV55" i="12"/>
  <c r="K234" i="9"/>
  <c r="L234" i="9" s="1"/>
  <c r="BK69" i="12"/>
  <c r="K452" i="9"/>
  <c r="L452" i="9" s="1"/>
  <c r="K413" i="9"/>
  <c r="L413" i="9" s="1"/>
  <c r="K424" i="9"/>
  <c r="L424" i="9" s="1"/>
  <c r="K402" i="9"/>
  <c r="L402" i="9" s="1"/>
  <c r="K378" i="9"/>
  <c r="L378" i="9" s="1"/>
  <c r="K88" i="9"/>
  <c r="L88" i="9" s="1"/>
  <c r="BG66" i="12"/>
  <c r="K532" i="10"/>
  <c r="L532" i="10" s="1"/>
  <c r="K899" i="10"/>
  <c r="L899" i="10" s="1"/>
  <c r="K322" i="8"/>
  <c r="L322" i="8" s="1"/>
  <c r="K711" i="10"/>
  <c r="L711" i="10" s="1"/>
  <c r="K88" i="8"/>
  <c r="L88" i="8" s="1"/>
  <c r="K85" i="8"/>
  <c r="L85" i="8" s="1"/>
  <c r="K328" i="9"/>
  <c r="L328" i="9" s="1"/>
  <c r="CI94" i="12"/>
  <c r="K382" i="9"/>
  <c r="L382" i="9" s="1"/>
  <c r="BK70" i="12"/>
  <c r="K314" i="9"/>
  <c r="L314" i="9" s="1"/>
  <c r="K573" i="10"/>
  <c r="L573" i="10" s="1"/>
  <c r="K574" i="10"/>
  <c r="L574" i="10" s="1"/>
  <c r="K834" i="10"/>
  <c r="L834" i="10" s="1"/>
  <c r="K191" i="10"/>
  <c r="L191"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64" i="8" l="1"/>
  <c r="K449" i="9"/>
  <c r="L449" i="9" s="1"/>
  <c r="K447" i="9" s="1"/>
  <c r="L447" i="9" s="1"/>
  <c r="K395" i="9"/>
  <c r="L395" i="9" s="1"/>
  <c r="K393" i="9" s="1"/>
  <c r="L393" i="9" s="1"/>
  <c r="K278" i="10"/>
  <c r="L278" i="10" s="1"/>
  <c r="K291" i="10"/>
  <c r="L291" i="10" s="1"/>
  <c r="K171" i="8"/>
  <c r="L171" i="8" s="1"/>
  <c r="K150" i="8" s="1"/>
  <c r="L150" i="8" s="1"/>
  <c r="K448" i="8"/>
  <c r="L448" i="8" s="1"/>
  <c r="K447" i="8" s="1"/>
  <c r="L447" i="8" s="1"/>
  <c r="K451" i="8"/>
  <c r="L451" i="8" s="1"/>
  <c r="K450" i="8" s="1"/>
  <c r="L450" i="8" s="1"/>
  <c r="K934" i="10"/>
  <c r="L934" i="10" s="1"/>
  <c r="K902" i="10"/>
  <c r="L902" i="10" s="1"/>
  <c r="K440" i="8"/>
  <c r="L440" i="8" s="1"/>
  <c r="K387" i="8"/>
  <c r="L387" i="8" s="1"/>
  <c r="K575" i="10"/>
  <c r="L575" i="10" s="1"/>
  <c r="K577" i="10"/>
  <c r="L577" i="10" s="1"/>
  <c r="K386" i="9"/>
  <c r="L386"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2" i="8"/>
  <c r="L422" i="8" s="1"/>
  <c r="K456" i="8"/>
  <c r="L456" i="8" s="1"/>
  <c r="K428" i="8"/>
  <c r="L428" i="8" s="1"/>
  <c r="K434" i="8"/>
  <c r="L434" i="8" s="1"/>
  <c r="K381" i="8"/>
  <c r="L381" i="8" s="1"/>
  <c r="K409" i="8"/>
  <c r="L409" i="8" s="1"/>
  <c r="K398" i="8"/>
  <c r="L398"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104" i="9"/>
  <c r="L104" i="9" s="1"/>
  <c r="K109" i="9"/>
  <c r="L109" i="9" s="1"/>
  <c r="K99" i="9"/>
  <c r="L99" i="9" s="1"/>
  <c r="K141" i="9"/>
  <c r="L141" i="9" s="1"/>
  <c r="K140" i="9"/>
  <c r="L140" i="9" s="1"/>
  <c r="K142" i="9"/>
  <c r="L142" i="9" s="1"/>
  <c r="K113" i="10"/>
  <c r="L113" i="10" s="1"/>
  <c r="K365" i="8"/>
  <c r="L365" i="8" s="1"/>
  <c r="K114" i="10"/>
  <c r="L114" i="10" s="1"/>
  <c r="K164" i="9"/>
  <c r="L164" i="9" s="1"/>
  <c r="K177" i="9"/>
  <c r="L177" i="9" s="1"/>
  <c r="K436" i="9"/>
  <c r="L436" i="9" s="1"/>
  <c r="K463" i="9"/>
  <c r="L463" i="9" s="1"/>
  <c r="K442" i="9"/>
  <c r="L442" i="9" s="1"/>
  <c r="K430" i="9"/>
  <c r="L430" i="9" s="1"/>
  <c r="K389" i="9"/>
  <c r="L389" i="9" s="1"/>
  <c r="K417" i="9"/>
  <c r="L417" i="9" s="1"/>
  <c r="K178" i="9"/>
  <c r="L178" i="9" s="1"/>
  <c r="K176" i="9"/>
  <c r="L176" i="9" s="1"/>
  <c r="K406" i="9"/>
  <c r="L406" i="9" s="1"/>
  <c r="K379" i="9"/>
  <c r="L379"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6" i="8"/>
  <c r="L436" i="8" s="1"/>
  <c r="K430" i="8"/>
  <c r="L430" i="8" s="1"/>
  <c r="K424" i="8"/>
  <c r="L424" i="8" s="1"/>
  <c r="K457" i="8"/>
  <c r="L457" i="8" s="1"/>
  <c r="K383" i="8"/>
  <c r="L383"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54" i="9" l="1"/>
  <c r="L454" i="9" s="1"/>
  <c r="K453" i="9" s="1"/>
  <c r="L453" i="9" s="1"/>
  <c r="K457" i="9"/>
  <c r="L457" i="9" s="1"/>
  <c r="K456" i="9" s="1"/>
  <c r="L456" i="9" s="1"/>
  <c r="K289" i="10"/>
  <c r="L289" i="10" s="1"/>
  <c r="K288" i="10" s="1"/>
  <c r="L288" i="10" s="1"/>
  <c r="K724" i="10"/>
  <c r="L724" i="10" s="1"/>
  <c r="K762" i="10"/>
  <c r="L762" i="10" s="1"/>
  <c r="K694" i="10"/>
  <c r="L694" i="10" s="1"/>
  <c r="K733" i="10" s="1"/>
  <c r="K440" i="10"/>
  <c r="L440" i="10" s="1"/>
  <c r="K80" i="10"/>
  <c r="L80" i="10" s="1"/>
  <c r="K118" i="10"/>
  <c r="L118" i="10" s="1"/>
  <c r="K50" i="10"/>
  <c r="L50" i="10" s="1"/>
  <c r="K455" i="8"/>
  <c r="L455" i="8" s="1"/>
  <c r="K461" i="8" s="1"/>
  <c r="L461" i="8" s="1"/>
  <c r="K427" i="8"/>
  <c r="L427" i="8" s="1"/>
  <c r="K128" i="8"/>
  <c r="L128" i="8" s="1"/>
  <c r="L115" i="8"/>
  <c r="K9" i="12" s="1"/>
  <c r="K176" i="8"/>
  <c r="L176" i="8" s="1"/>
  <c r="K134" i="9"/>
  <c r="L134" i="9" s="1"/>
  <c r="K154" i="9"/>
  <c r="L154" i="9" s="1"/>
  <c r="K404" i="9"/>
  <c r="L404" i="9" s="1"/>
  <c r="K158" i="9"/>
  <c r="L158" i="9" s="1"/>
  <c r="K159" i="9"/>
  <c r="L159" i="9" s="1"/>
  <c r="K415" i="9"/>
  <c r="L415" i="9" s="1"/>
  <c r="K392" i="9"/>
  <c r="L392" i="9" s="1"/>
  <c r="K156" i="9"/>
  <c r="L156" i="9" s="1"/>
  <c r="K106" i="10"/>
  <c r="L106" i="10" s="1"/>
  <c r="K250" i="10"/>
  <c r="L250" i="10" s="1"/>
  <c r="K105" i="10"/>
  <c r="L105" i="10" s="1"/>
  <c r="K121" i="9"/>
  <c r="L121" i="9" s="1"/>
  <c r="K182" i="9"/>
  <c r="L182" i="9" s="1"/>
  <c r="K183" i="9"/>
  <c r="L183" i="9" s="1"/>
  <c r="K71" i="9"/>
  <c r="L71" i="9" s="1"/>
  <c r="K70" i="9"/>
  <c r="L70" i="9" s="1"/>
  <c r="K148" i="8"/>
  <c r="L148" i="8" s="1"/>
  <c r="K28" i="12" s="1"/>
  <c r="K428" i="10"/>
  <c r="L428" i="10" s="1"/>
  <c r="K397" i="8"/>
  <c r="L397" i="8" s="1"/>
  <c r="K408" i="8"/>
  <c r="L408" i="8" s="1"/>
  <c r="K155" i="9"/>
  <c r="L155" i="9" s="1"/>
  <c r="K918" i="10"/>
  <c r="L918" i="10" s="1"/>
  <c r="K932" i="10"/>
  <c r="L932" i="10" s="1"/>
  <c r="K580" i="10"/>
  <c r="L580" i="10" s="1"/>
  <c r="K599" i="10"/>
  <c r="L599" i="10" s="1"/>
  <c r="K612" i="10"/>
  <c r="L612" i="10" s="1"/>
  <c r="K402" i="10"/>
  <c r="L402" i="10" s="1"/>
  <c r="K384" i="8"/>
  <c r="L384" i="8" s="1"/>
  <c r="K374" i="8" s="1"/>
  <c r="K421" i="8"/>
  <c r="L421" i="8" s="1"/>
  <c r="K433" i="8"/>
  <c r="L433" i="8" s="1"/>
  <c r="K116" i="8"/>
  <c r="L116" i="8" s="1"/>
  <c r="K117" i="8"/>
  <c r="L117" i="8" s="1"/>
  <c r="K178" i="8"/>
  <c r="L178" i="8" s="1"/>
  <c r="K177" i="8"/>
  <c r="L177" i="8" s="1"/>
  <c r="K371" i="9"/>
  <c r="L371" i="9" s="1"/>
  <c r="K446" i="9"/>
  <c r="L446" i="9" s="1"/>
  <c r="K123" i="9"/>
  <c r="L123" i="9" s="1"/>
  <c r="K122" i="9"/>
  <c r="L122" i="9" s="1"/>
  <c r="K184" i="9"/>
  <c r="L184" i="9" s="1"/>
  <c r="K749" i="10"/>
  <c r="L749" i="10" s="1"/>
  <c r="K750" i="10"/>
  <c r="L750" i="10" s="1"/>
  <c r="K153" i="8"/>
  <c r="L153" i="8" s="1"/>
  <c r="K152" i="8"/>
  <c r="L152" i="8" s="1"/>
  <c r="K462" i="9"/>
  <c r="L462" i="9" s="1"/>
  <c r="K434" i="9"/>
  <c r="L434" i="9" s="1"/>
  <c r="K440" i="9"/>
  <c r="L440" i="9" s="1"/>
  <c r="K428" i="9"/>
  <c r="L428" i="9" s="1"/>
  <c r="K387" i="9"/>
  <c r="L387" i="9" s="1"/>
  <c r="K597" i="10"/>
  <c r="L597" i="10" s="1"/>
  <c r="K611" i="10"/>
  <c r="L611" i="10" s="1"/>
  <c r="K578" i="10"/>
  <c r="L578" i="10" s="1"/>
  <c r="K386" i="8"/>
  <c r="L386" i="8" s="1"/>
  <c r="K903" i="10"/>
  <c r="L903" i="10" s="1"/>
  <c r="K275" i="10"/>
  <c r="L275" i="10" s="1"/>
  <c r="K427" i="10"/>
  <c r="L427" i="10" s="1"/>
  <c r="K372" i="10"/>
  <c r="L372" i="10" s="1"/>
  <c r="K370" i="10"/>
  <c r="L370" i="10" s="1"/>
  <c r="K49" i="10"/>
  <c r="L49" i="10" s="1"/>
  <c r="K48" i="10"/>
  <c r="L48" i="10" s="1"/>
  <c r="K371" i="10"/>
  <c r="L371" i="10" s="1"/>
  <c r="K692" i="10"/>
  <c r="L692" i="10" s="1"/>
  <c r="K693" i="10"/>
  <c r="L693" i="10" s="1"/>
  <c r="K149" i="8"/>
  <c r="L149" i="8" s="1"/>
  <c r="K65" i="8"/>
  <c r="L65" i="8" s="1"/>
  <c r="L64" i="8"/>
  <c r="B910" i="11"/>
  <c r="B889" i="11"/>
  <c r="B143" i="11"/>
  <c r="B125" i="11"/>
  <c r="K129" i="8" l="1"/>
  <c r="L129" i="8" s="1"/>
  <c r="K132" i="8"/>
  <c r="L132" i="8" s="1"/>
  <c r="K454" i="8"/>
  <c r="L454" i="8" s="1"/>
  <c r="K453" i="8" s="1"/>
  <c r="L453" i="8" s="1"/>
  <c r="K459" i="8"/>
  <c r="L459" i="8" s="1"/>
  <c r="K458" i="8" s="1"/>
  <c r="L458" i="8" s="1"/>
  <c r="K460" i="8"/>
  <c r="L460" i="8" s="1"/>
  <c r="K390" i="9"/>
  <c r="L390" i="9" s="1"/>
  <c r="K439" i="9"/>
  <c r="L439" i="9" s="1"/>
  <c r="K127" i="8"/>
  <c r="L127" i="8" s="1"/>
  <c r="K88" i="10"/>
  <c r="L88" i="10" s="1"/>
  <c r="K411" i="10"/>
  <c r="L411" i="10" s="1"/>
  <c r="L582" i="10" s="1"/>
  <c r="K893" i="10"/>
  <c r="L893" i="10" s="1"/>
  <c r="K427" i="9"/>
  <c r="L427" i="9" s="1"/>
  <c r="K433" i="9"/>
  <c r="L433" i="9" s="1"/>
  <c r="K432" i="8"/>
  <c r="L432" i="8" s="1"/>
  <c r="K420" i="8"/>
  <c r="L420" i="8" s="1"/>
  <c r="L374" i="8"/>
  <c r="K596" i="10"/>
  <c r="L596" i="10" s="1"/>
  <c r="K274" i="10"/>
  <c r="L274" i="10" s="1"/>
  <c r="K610" i="10"/>
  <c r="L610" i="10" s="1"/>
  <c r="K581" i="10"/>
  <c r="L581" i="10" s="1"/>
  <c r="K931" i="10"/>
  <c r="L931" i="10" s="1"/>
  <c r="K917" i="10"/>
  <c r="L917" i="10" s="1"/>
  <c r="K135" i="9"/>
  <c r="L135" i="9" s="1"/>
  <c r="K138" i="9"/>
  <c r="L138" i="9" s="1"/>
  <c r="K133" i="9"/>
  <c r="L133" i="9" s="1"/>
  <c r="K287" i="10"/>
  <c r="L287" i="10" s="1"/>
  <c r="K461" i="9"/>
  <c r="L461" i="9" s="1"/>
  <c r="K414" i="9"/>
  <c r="L414" i="9" s="1"/>
  <c r="K403" i="9"/>
  <c r="L403" i="9" s="1"/>
  <c r="L391" i="9"/>
  <c r="L385" i="8"/>
  <c r="K426" i="8"/>
  <c r="L426"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5" i="8"/>
  <c r="L425" i="8" s="1"/>
  <c r="K467" i="9"/>
  <c r="L467" i="9" s="1"/>
  <c r="K465" i="9"/>
  <c r="L465" i="9" s="1"/>
  <c r="K460" i="9"/>
  <c r="L460" i="9" s="1"/>
  <c r="K916" i="10"/>
  <c r="L916" i="10" s="1"/>
  <c r="K930" i="10"/>
  <c r="L930" i="10" s="1"/>
  <c r="K571" i="10"/>
  <c r="L571" i="10" s="1"/>
  <c r="K609" i="10"/>
  <c r="L609" i="10" s="1"/>
  <c r="K273" i="10"/>
  <c r="L273" i="10" s="1"/>
  <c r="K595" i="10"/>
  <c r="L595" i="10" s="1"/>
  <c r="K419" i="8"/>
  <c r="L419" i="8" s="1"/>
  <c r="K431" i="8"/>
  <c r="L431" i="8" s="1"/>
  <c r="K426" i="9"/>
  <c r="L426" i="9" s="1"/>
  <c r="K438" i="9"/>
  <c r="L438" i="9" s="1"/>
  <c r="K380" i="9"/>
  <c r="L380" i="9" s="1"/>
  <c r="K432" i="9"/>
  <c r="L432" i="9" s="1"/>
  <c r="L904" i="10"/>
  <c r="B690" i="11"/>
  <c r="CE64" i="12"/>
  <c r="CF65" i="12"/>
  <c r="K431" i="9" l="1"/>
  <c r="L431" i="9" s="1"/>
  <c r="K437" i="9"/>
  <c r="L437" i="9" s="1"/>
  <c r="K459" i="9"/>
  <c r="L459" i="9" s="1"/>
  <c r="K466" i="9"/>
  <c r="L466" i="9" s="1"/>
  <c r="K425" i="9"/>
  <c r="L425" i="9" s="1"/>
  <c r="K594" i="10"/>
  <c r="L594" i="10" s="1"/>
  <c r="K608" i="10"/>
  <c r="L608" i="10" s="1"/>
  <c r="K464" i="9"/>
  <c r="L464" i="9" s="1"/>
  <c r="T37" i="12"/>
  <c r="P33" i="12"/>
  <c r="CW129" i="12"/>
  <c r="B762" i="11"/>
  <c r="CG90" i="12"/>
  <c r="B675" i="11"/>
  <c r="B702" i="11"/>
  <c r="B689" i="11"/>
  <c r="B678" i="11"/>
  <c r="B786" i="11"/>
  <c r="B405" i="11"/>
  <c r="B683" i="11"/>
  <c r="B594" i="11"/>
  <c r="B408" i="11"/>
  <c r="EE128" i="12"/>
  <c r="L220" i="2"/>
  <c r="E12" i="12"/>
  <c r="K217" i="9" l="1"/>
  <c r="L217" i="9" s="1"/>
  <c r="K460" i="10"/>
  <c r="L460" i="10" s="1"/>
  <c r="K211" i="8"/>
  <c r="L211"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K387" i="2"/>
  <c r="L387" i="2"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L216" i="2" l="1"/>
  <c r="K210" i="9" s="1"/>
  <c r="L210" i="9" s="1"/>
  <c r="L217" i="2"/>
  <c r="B633" i="11" s="1"/>
  <c r="K223" i="9"/>
  <c r="L223" i="9" s="1"/>
  <c r="K220" i="9"/>
  <c r="L220" i="9" s="1"/>
  <c r="K221" i="9"/>
  <c r="L221" i="9" s="1"/>
  <c r="K218" i="9"/>
  <c r="L218" i="9" s="1"/>
  <c r="K222" i="9"/>
  <c r="L222" i="9" s="1"/>
  <c r="K219" i="9"/>
  <c r="L219" i="9" s="1"/>
  <c r="K784" i="10"/>
  <c r="L784" i="10" s="1"/>
  <c r="K783" i="10"/>
  <c r="L783" i="10" s="1"/>
  <c r="K140" i="10"/>
  <c r="L140" i="10" s="1"/>
  <c r="K128" i="10"/>
  <c r="L128" i="10" s="1"/>
  <c r="K139" i="10"/>
  <c r="L139" i="10" s="1"/>
  <c r="K129" i="10"/>
  <c r="L129" i="10" s="1"/>
  <c r="K214" i="8"/>
  <c r="L214" i="8" s="1"/>
  <c r="K213" i="8"/>
  <c r="L213" i="8" s="1"/>
  <c r="K217" i="8"/>
  <c r="L217" i="8" s="1"/>
  <c r="K200" i="8" s="1"/>
  <c r="K216" i="8"/>
  <c r="L216" i="8" s="1"/>
  <c r="K199" i="8" s="1"/>
  <c r="K212" i="8"/>
  <c r="L212" i="8" s="1"/>
  <c r="K215" i="8"/>
  <c r="L215" i="8" s="1"/>
  <c r="K198" i="8" s="1"/>
  <c r="K461" i="10"/>
  <c r="L461" i="10" s="1"/>
  <c r="K462" i="10"/>
  <c r="L462" i="10" s="1"/>
  <c r="K483" i="10"/>
  <c r="L483" i="10" s="1"/>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455" i="10" l="1"/>
  <c r="L455" i="10" s="1"/>
  <c r="B569" i="11"/>
  <c r="B606" i="11"/>
  <c r="K133" i="10"/>
  <c r="L133" i="10" s="1"/>
  <c r="B637" i="11"/>
  <c r="B550" i="11"/>
  <c r="B899" i="11"/>
  <c r="B535" i="11"/>
  <c r="B541" i="11"/>
  <c r="K135" i="10"/>
  <c r="L135" i="10" s="1"/>
  <c r="K207" i="8"/>
  <c r="L207" i="8" s="1"/>
  <c r="K134" i="10"/>
  <c r="L134" i="10" s="1"/>
  <c r="K212" i="9"/>
  <c r="L212" i="9" s="1"/>
  <c r="B901" i="11"/>
  <c r="B635" i="11"/>
  <c r="K777" i="10"/>
  <c r="L777" i="10" s="1"/>
  <c r="B903" i="11"/>
  <c r="K204" i="8"/>
  <c r="L204" i="8" s="1"/>
  <c r="B902" i="11"/>
  <c r="B630" i="11"/>
  <c r="K456" i="10"/>
  <c r="L456" i="10" s="1"/>
  <c r="L637" i="10" s="1"/>
  <c r="K200" i="9"/>
  <c r="L200" i="9" s="1"/>
  <c r="B638" i="11"/>
  <c r="B900" i="11"/>
  <c r="B561" i="11"/>
  <c r="K457" i="10"/>
  <c r="L457" i="10" s="1"/>
  <c r="L962" i="10" s="1"/>
  <c r="K779" i="10"/>
  <c r="L779" i="10" s="1"/>
  <c r="K771" i="10" s="1"/>
  <c r="L771" i="10" s="1"/>
  <c r="K213" i="9"/>
  <c r="L213" i="9" s="1"/>
  <c r="K213" i="2"/>
  <c r="L213" i="2" s="1"/>
  <c r="B631" i="11"/>
  <c r="K199" i="9"/>
  <c r="L199" i="9" s="1"/>
  <c r="B531" i="11"/>
  <c r="K205" i="8"/>
  <c r="L205" i="8" s="1"/>
  <c r="K192" i="8" s="1"/>
  <c r="L192" i="8" s="1"/>
  <c r="B628" i="11"/>
  <c r="B629" i="11"/>
  <c r="K206" i="8"/>
  <c r="L206" i="8" s="1"/>
  <c r="K126" i="10"/>
  <c r="L126" i="10" s="1"/>
  <c r="K778" i="10"/>
  <c r="L778" i="10" s="1"/>
  <c r="K770" i="10" s="1"/>
  <c r="L770" i="10" s="1"/>
  <c r="K198" i="9"/>
  <c r="L198" i="9" s="1"/>
  <c r="B527" i="11"/>
  <c r="B578" i="11"/>
  <c r="K127" i="10"/>
  <c r="L127" i="10" s="1"/>
  <c r="K211" i="9"/>
  <c r="L211" i="9" s="1"/>
  <c r="B573" i="11"/>
  <c r="K158" i="10"/>
  <c r="L158" i="10" s="1"/>
  <c r="K148" i="10"/>
  <c r="L148" i="10" s="1"/>
  <c r="K801" i="10"/>
  <c r="L801" i="10" s="1"/>
  <c r="K791" i="10"/>
  <c r="L791" i="10" s="1"/>
  <c r="K469" i="10"/>
  <c r="L469" i="10" s="1"/>
  <c r="K474" i="10"/>
  <c r="L474" i="10" s="1"/>
  <c r="K195" i="8"/>
  <c r="L195" i="8" s="1"/>
  <c r="L200" i="8"/>
  <c r="K197" i="8"/>
  <c r="L197" i="8" s="1"/>
  <c r="K102" i="10"/>
  <c r="L102" i="10" s="1"/>
  <c r="K95" i="10" s="1"/>
  <c r="L95" i="10" s="1"/>
  <c r="K205" i="9"/>
  <c r="L205" i="9" s="1"/>
  <c r="K149" i="9"/>
  <c r="L149" i="9" s="1"/>
  <c r="B420" i="11" s="1"/>
  <c r="K204" i="9"/>
  <c r="L204" i="9" s="1"/>
  <c r="K153" i="10"/>
  <c r="L153" i="10" s="1"/>
  <c r="K796" i="10"/>
  <c r="L796" i="10" s="1"/>
  <c r="K479" i="10"/>
  <c r="L479" i="10" s="1"/>
  <c r="K450" i="10"/>
  <c r="L450" i="10" s="1"/>
  <c r="L199" i="8"/>
  <c r="K196" i="8"/>
  <c r="L196" i="8" s="1"/>
  <c r="K772" i="10"/>
  <c r="L772" i="10" s="1"/>
  <c r="K202" i="9"/>
  <c r="L202" i="9" s="1"/>
  <c r="K201" i="9"/>
  <c r="L201" i="9" s="1"/>
  <c r="K203" i="9"/>
  <c r="L203" i="9" s="1"/>
  <c r="K206" i="9"/>
  <c r="L206" i="9" s="1"/>
  <c r="K746" i="10"/>
  <c r="L746" i="10" s="1"/>
  <c r="K773" i="10"/>
  <c r="L773" i="10" s="1"/>
  <c r="L198"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EV159" i="12"/>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DY136"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DB113" i="12"/>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193" i="8" l="1"/>
  <c r="L193" i="8" s="1"/>
  <c r="K194" i="8"/>
  <c r="L194" i="8" s="1"/>
  <c r="K202" i="8"/>
  <c r="L202" i="8" s="1"/>
  <c r="B649" i="11" s="1"/>
  <c r="B609" i="11"/>
  <c r="B482" i="11"/>
  <c r="K131" i="10"/>
  <c r="L131" i="10" s="1"/>
  <c r="K84" i="10" s="1"/>
  <c r="L84" i="10" s="1"/>
  <c r="K125" i="10"/>
  <c r="B604" i="11"/>
  <c r="B605" i="11"/>
  <c r="K197" i="9"/>
  <c r="L197" i="9" s="1"/>
  <c r="B608" i="11"/>
  <c r="B474" i="11"/>
  <c r="K775" i="10"/>
  <c r="L775" i="10" s="1"/>
  <c r="K769" i="10" s="1"/>
  <c r="L769" i="10" s="1"/>
  <c r="B607" i="11"/>
  <c r="B468" i="11"/>
  <c r="K453" i="10"/>
  <c r="L453" i="10" s="1"/>
  <c r="B455" i="11"/>
  <c r="K208" i="9"/>
  <c r="L208" i="9" s="1"/>
  <c r="B459" i="11"/>
  <c r="L319" i="10"/>
  <c r="K449" i="10"/>
  <c r="L449" i="10" s="1"/>
  <c r="L640" i="10"/>
  <c r="L125" i="10"/>
  <c r="K448" i="10"/>
  <c r="L448" i="10" s="1"/>
  <c r="L528" i="9"/>
  <c r="L316" i="10"/>
  <c r="L959" i="10"/>
  <c r="L522"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B722" i="11" l="1"/>
  <c r="N513" i="8"/>
  <c r="K407" i="10"/>
  <c r="L407" i="10" s="1"/>
  <c r="L313" i="10"/>
  <c r="K124" i="8"/>
  <c r="L124" i="8" s="1"/>
  <c r="B647" i="11"/>
  <c r="K85" i="10"/>
  <c r="L85" i="10" s="1"/>
  <c r="K83" i="10" s="1"/>
  <c r="L83" i="10" s="1"/>
  <c r="B652" i="11"/>
  <c r="K447" i="10"/>
  <c r="L447" i="10" s="1"/>
  <c r="L513" i="8"/>
  <c r="B654" i="11"/>
  <c r="K191" i="8"/>
  <c r="L191" i="8" s="1"/>
  <c r="L634" i="10"/>
  <c r="DK120" i="12" s="1"/>
  <c r="L956" i="10"/>
  <c r="EH143" i="12" s="1"/>
  <c r="K123" i="8"/>
  <c r="L123" i="8" s="1"/>
  <c r="L519"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M103" i="3"/>
  <c r="Q103" i="3"/>
  <c r="AE44" i="3"/>
  <c r="BZ135" i="3" s="1"/>
  <c r="AK48" i="3"/>
  <c r="CE139" i="3" s="1"/>
  <c r="K12" i="3"/>
  <c r="CA174" i="3" s="1"/>
  <c r="Q99" i="3"/>
  <c r="AI45" i="3"/>
  <c r="Q11" i="3"/>
  <c r="Q12" i="3"/>
  <c r="DL211" i="12"/>
  <c r="I17" i="3"/>
  <c r="P17" i="3"/>
  <c r="M32" i="14" s="1"/>
  <c r="P102" i="3"/>
  <c r="F228" i="12"/>
  <c r="M101" i="3"/>
  <c r="C16" i="3"/>
  <c r="M16" i="3"/>
  <c r="DJ222" i="12"/>
  <c r="P100" i="3"/>
  <c r="P15" i="3"/>
  <c r="M4" i="14" s="1"/>
  <c r="I15" i="3"/>
  <c r="CO284" i="12"/>
  <c r="G17" i="3"/>
  <c r="O17" i="3"/>
  <c r="O102" i="3"/>
  <c r="AL48" i="3"/>
  <c r="CE135" i="3"/>
  <c r="BH195" i="12"/>
  <c r="BV136" i="3"/>
  <c r="AJ39" i="3"/>
  <c r="P101" i="3"/>
  <c r="I16" i="3"/>
  <c r="P16" i="3"/>
  <c r="EH222" i="12"/>
  <c r="Q101" i="3"/>
  <c r="K16" i="3"/>
  <c r="Q16" i="3"/>
  <c r="N18" i="14" s="1"/>
  <c r="AW273" i="12"/>
  <c r="N16" i="3"/>
  <c r="N101" i="3"/>
  <c r="E16" i="3"/>
  <c r="M11" i="3"/>
  <c r="M99" i="3"/>
  <c r="AF12" i="3"/>
  <c r="CD4" i="3" s="1"/>
  <c r="AH12" i="3"/>
  <c r="BR12" i="3" s="1"/>
  <c r="P103" i="3"/>
  <c r="AE38" i="3"/>
  <c r="BT135" i="3" s="1"/>
  <c r="P12" i="3"/>
  <c r="P11" i="3"/>
  <c r="P99" i="3"/>
  <c r="AK42" i="3"/>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O103" i="3"/>
  <c r="AE32" i="3"/>
  <c r="BN135" i="3" s="1"/>
  <c r="O12" i="3"/>
  <c r="O11" i="3"/>
  <c r="AK36" i="3"/>
  <c r="BS139" i="3" s="1"/>
  <c r="G12" i="3"/>
  <c r="CA162" i="3" s="1"/>
  <c r="O99" i="3"/>
  <c r="AI33" i="3"/>
  <c r="BP140" i="3" s="1"/>
  <c r="EI220" i="12"/>
  <c r="K17" i="3"/>
  <c r="Q17" i="3"/>
  <c r="N32" i="14" s="1"/>
  <c r="Q102" i="3"/>
  <c r="N100" i="3"/>
  <c r="N15" i="3"/>
  <c r="AD61" i="3"/>
  <c r="E15" i="3"/>
  <c r="M14" i="3"/>
  <c r="M13" i="3"/>
  <c r="C14" i="3"/>
  <c r="C13" i="3"/>
  <c r="AD12" i="3"/>
  <c r="BP9" i="3" s="1"/>
  <c r="AK28" i="3"/>
  <c r="N103" i="3"/>
  <c r="AD32" i="3"/>
  <c r="AE22" i="3"/>
  <c r="N12" i="3"/>
  <c r="E12" i="3"/>
  <c r="AI25" i="3"/>
  <c r="N11" i="3"/>
  <c r="AK29" i="3"/>
  <c r="CB80" i="3" s="1"/>
  <c r="AK30" i="3"/>
  <c r="BZ80" i="3" s="1"/>
  <c r="AI24" i="3"/>
  <c r="BT80" i="3" s="1"/>
  <c r="N99" i="3"/>
  <c r="AI23" i="3"/>
  <c r="BV80" i="3" s="1"/>
  <c r="AE61" i="3"/>
  <c r="M100" i="3"/>
  <c r="C15" i="3"/>
  <c r="M15" i="3"/>
  <c r="J4" i="14" s="1"/>
  <c r="AH62" i="3"/>
  <c r="AN62" i="3"/>
  <c r="AG62" i="3"/>
  <c r="AD62" i="3"/>
  <c r="CM179" i="12"/>
  <c r="O100" i="3"/>
  <c r="G15" i="3"/>
  <c r="O15" i="3"/>
  <c r="X233" i="12"/>
  <c r="AO62" i="3"/>
  <c r="AG88" i="3"/>
  <c r="AG67" i="3"/>
  <c r="CA189" i="12"/>
  <c r="AG77" i="3"/>
  <c r="K52" i="3"/>
  <c r="K53" i="3" s="1"/>
  <c r="DI257" i="12"/>
  <c r="DE330" i="12"/>
  <c r="AN182" i="12"/>
  <c r="AG68" i="3"/>
  <c r="DF298" i="12"/>
  <c r="AG85" i="3"/>
  <c r="BZ246" i="12"/>
  <c r="C76" i="3"/>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Q16" i="3"/>
  <c r="CE261" i="12"/>
  <c r="AG78" i="3"/>
  <c r="AN47" i="3"/>
  <c r="AN16" i="3"/>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BX150"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BO134" i="3"/>
  <c r="BX80" i="3"/>
  <c r="BN70" i="3"/>
  <c r="BQ80" i="3"/>
  <c r="E79" i="3"/>
  <c r="AE45" i="3"/>
  <c r="BZ142" i="3" s="1"/>
  <c r="AM36" i="3"/>
  <c r="C87" i="3"/>
  <c r="AM28" i="3"/>
  <c r="E76" i="3"/>
  <c r="BX14" i="3"/>
  <c r="K63" i="3"/>
  <c r="BU134"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K4" i="14"/>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L18" i="14"/>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K18" i="14"/>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J18" i="14"/>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L32" i="14"/>
  <c r="CO253" i="12"/>
  <c r="CO235" i="12"/>
  <c r="EN223" i="12"/>
  <c r="EN292" i="12"/>
  <c r="M18" i="14"/>
  <c r="DN269" i="12"/>
  <c r="DN294" i="12"/>
  <c r="DN301" i="12"/>
  <c r="DN274" i="12"/>
  <c r="N19" i="3"/>
  <c r="BB251" i="12"/>
  <c r="BB181" i="12"/>
  <c r="AA314" i="12"/>
  <c r="M43" i="3"/>
  <c r="L4" i="14"/>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78" i="3"/>
  <c r="C77" i="3"/>
  <c r="CC153" i="3"/>
  <c r="BV20" i="3"/>
  <c r="AI12" i="3"/>
  <c r="BQ19" i="3"/>
  <c r="BQ20" i="3"/>
  <c r="BX20" i="3"/>
  <c r="BV17" i="3"/>
  <c r="BW46" i="3"/>
  <c r="BP97" i="3"/>
  <c r="BS28" i="3"/>
  <c r="E37" i="3"/>
  <c r="AI5" i="13" l="1"/>
  <c r="AI36" i="13" s="1"/>
  <c r="AL66" i="13" s="1"/>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D10" i="14"/>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E10" i="14"/>
  <c r="C6" i="14"/>
  <c r="F10" i="14"/>
  <c r="B9" i="14"/>
  <c r="D14" i="14"/>
  <c r="E11" i="14"/>
  <c r="C12" i="14"/>
  <c r="B12" i="14"/>
  <c r="B8" i="14"/>
  <c r="F9" i="14"/>
  <c r="C9" i="14"/>
  <c r="D11" i="14"/>
  <c r="B14" i="14"/>
  <c r="C5" i="14"/>
  <c r="B6" i="14"/>
  <c r="B11" i="14"/>
  <c r="C8" i="14"/>
  <c r="C11" i="14"/>
  <c r="C13" i="14"/>
  <c r="B13" i="14"/>
  <c r="C14" i="14"/>
  <c r="C7" i="14"/>
  <c r="AP40" i="3"/>
  <c r="B5" i="14" l="1"/>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350" authorId="0" shapeId="0" xr:uid="{00000000-0006-0000-0300-000001000000}">
      <text>
        <r>
          <rPr>
            <b/>
            <sz val="9"/>
            <color indexed="81"/>
            <rFont val="Tahoma"/>
            <family val="2"/>
          </rPr>
          <t>Author:</t>
        </r>
        <r>
          <rPr>
            <sz val="9"/>
            <color indexed="81"/>
            <rFont val="Tahoma"/>
            <family val="2"/>
          </rPr>
          <t xml:space="preserve">
Misschien beter waarde nodig, Jones en Su 0.256 mm is voor 40-60 mesh sand, niet representatief voor natuurlijke bodems
</t>
        </r>
      </text>
    </comment>
    <comment ref="P353" authorId="0" shapeId="0" xr:uid="{00000000-0006-0000-0300-000002000000}">
      <text>
        <r>
          <rPr>
            <b/>
            <sz val="9"/>
            <color indexed="81"/>
            <rFont val="Tahoma"/>
            <family val="2"/>
          </rPr>
          <t>Author:</t>
        </r>
        <r>
          <rPr>
            <sz val="9"/>
            <color indexed="81"/>
            <rFont val="Tahoma"/>
            <family val="2"/>
          </rPr>
          <t xml:space="preserve">
Deze ref is voor bodems in Australie!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1"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2"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3"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27"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8"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9"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<sst xmlns="http://schemas.openxmlformats.org/spreadsheetml/2006/main" count="26639" uniqueCount="4738">
  <si>
    <t>SimpleBox4nano</t>
  </si>
  <si>
    <t>www.rivm.nl</t>
  </si>
  <si>
    <t>Contact</t>
  </si>
  <si>
    <t>JTK Quik</t>
  </si>
  <si>
    <t>National Institute of Public Health and the Environment (RIVM)</t>
  </si>
  <si>
    <t>Post Box 1, 3720BA Bilthoven, The Netherlands</t>
  </si>
  <si>
    <t>joris.quik@rivm.nl</t>
  </si>
  <si>
    <t>References SimpleBox4nano</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</si>
  <si>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</si>
  <si>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</si>
  <si>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</si>
  <si>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</si>
  <si>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</si>
  <si>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</si>
  <si>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</si>
  <si>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</si>
  <si>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</si>
  <si>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</si>
  <si>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vs 4.02-nano</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</si>
  <si>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</si>
  <si>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</si>
  <si>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</si>
  <si>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</si>
  <si>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</si>
  <si>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</si>
  <si>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</si>
  <si>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</si>
  <si>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[internal notice] no spray input from water to air or soil wind resuspension to air of particles [to be implementen as simple k rate constants for future evaluation]</t>
  </si>
  <si>
    <t>[internal notice] no degradation in cloud water [future evaluation]</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</si>
  <si>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</si>
  <si>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</si>
  <si>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</si>
  <si>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</si>
  <si>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</si>
  <si>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</si>
  <si>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</si>
  <si>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</si>
  <si>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</si>
  <si>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</si>
  <si>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</si>
  <si>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</si>
  <si>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</si>
  <si>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</si>
  <si>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</si>
  <si>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</si>
  <si>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</si>
  <si>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</si>
  <si>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</si>
  <si>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</si>
  <si>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</si>
  <si>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</si>
  <si>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</si>
  <si>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</si>
  <si>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</si>
  <si>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</si>
  <si>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</si>
  <si>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</si>
  <si>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</si>
  <si>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</si>
  <si>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</si>
  <si>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</si>
  <si>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</si>
  <si>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</si>
  <si>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</si>
  <si>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</si>
  <si>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</si>
  <si>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</si>
  <si>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</si>
  <si>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</si>
  <si>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</si>
  <si>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</si>
  <si>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</si>
  <si>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</si>
  <si>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</si>
  <si>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</si>
  <si>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</si>
  <si>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</si>
  <si>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</si>
  <si>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</si>
  <si>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</si>
  <si>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</si>
  <si>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</si>
  <si>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</si>
  <si>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</si>
  <si>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</si>
  <si>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</si>
  <si>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</si>
  <si>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</si>
  <si>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</si>
  <si>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</si>
  <si>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</si>
  <si>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</si>
  <si>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</si>
  <si>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</si>
  <si>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</si>
  <si>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</si>
  <si>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</si>
  <si>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</si>
  <si>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</si>
  <si>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</si>
  <si>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</si>
  <si>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</si>
  <si>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</si>
  <si>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</si>
  <si>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</si>
  <si>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</si>
  <si>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</si>
  <si>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</si>
  <si>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</si>
  <si>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</si>
  <si>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</si>
  <si>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</si>
  <si>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</si>
  <si>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</si>
  <si>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</si>
  <si>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</si>
  <si>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</si>
  <si>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</si>
  <si>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</si>
  <si>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</si>
  <si>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</si>
  <si>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</si>
  <si>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</si>
  <si>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</si>
  <si>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</si>
  <si>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</si>
  <si>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</si>
  <si>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</si>
  <si>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</si>
  <si>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</si>
  <si>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</si>
  <si>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</si>
  <si>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</si>
  <si>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</si>
  <si>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</si>
  <si>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</si>
  <si>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</si>
  <si>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</si>
  <si>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</si>
  <si>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</si>
  <si>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</si>
  <si>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</si>
  <si>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</si>
  <si>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</si>
  <si>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</si>
  <si>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</si>
  <si>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</si>
  <si>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</si>
  <si>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</si>
  <si>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</si>
  <si>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</si>
  <si>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</si>
  <si>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</si>
  <si>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</si>
  <si>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</si>
  <si>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</si>
  <si>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</si>
  <si>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</si>
  <si>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</si>
  <si>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</si>
  <si>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</si>
  <si>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</si>
  <si>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</si>
  <si>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</si>
  <si>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</si>
  <si>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</si>
  <si>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</si>
  <si>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</si>
  <si>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</si>
  <si>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</si>
  <si>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</si>
  <si>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</si>
  <si>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</si>
  <si>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</si>
  <si>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</si>
  <si>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</si>
  <si>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</si>
  <si>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</si>
  <si>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</si>
  <si>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</si>
  <si>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</si>
  <si>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</si>
  <si>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</si>
  <si>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</si>
  <si>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</si>
  <si>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</si>
  <si>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</si>
  <si>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</si>
  <si>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</si>
  <si>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</si>
  <si>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</si>
  <si>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</si>
  <si>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</si>
  <si>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</si>
  <si>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</si>
  <si>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</si>
  <si>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</si>
  <si>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</si>
  <si>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</si>
  <si>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</si>
  <si>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</si>
  <si>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</si>
  <si>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</si>
  <si>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</si>
  <si>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</si>
  <si>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</si>
  <si>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</si>
  <si>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</si>
  <si>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</si>
  <si>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</si>
  <si>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</si>
  <si>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</si>
  <si>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</si>
  <si>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</si>
  <si>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</si>
  <si>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</si>
  <si>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</si>
  <si>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</si>
  <si>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</si>
  <si>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</si>
  <si>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</si>
  <si>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</si>
  <si>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</si>
  <si>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</si>
  <si>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</si>
  <si>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</si>
  <si>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</si>
  <si>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</si>
  <si>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</si>
  <si>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</si>
  <si>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</si>
  <si>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</si>
  <si>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</si>
  <si>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</si>
  <si>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</si>
  <si>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</si>
  <si>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</si>
  <si>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</si>
  <si>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</si>
  <si>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</si>
  <si>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</si>
  <si>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</si>
  <si>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</si>
  <si>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</si>
  <si>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</si>
  <si>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</si>
  <si>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</si>
  <si>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</si>
  <si>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</si>
  <si>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</si>
  <si>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</si>
  <si>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</si>
  <si>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</si>
  <si>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</si>
  <si>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</si>
  <si>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</si>
  <si>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</si>
  <si>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</si>
  <si>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</si>
  <si>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</si>
  <si>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</si>
  <si>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</si>
  <si>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</si>
  <si>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</si>
  <si>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</si>
  <si>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</si>
  <si>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</si>
  <si>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</si>
  <si>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</si>
  <si>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</si>
  <si>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</si>
  <si>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nanoparticle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</si>
  <si>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</si>
  <si>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</si>
  <si>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</si>
  <si>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</si>
  <si>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</si>
  <si>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</si>
  <si>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</si>
  <si>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</si>
  <si>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</si>
  <si>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</si>
  <si>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</si>
  <si>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</si>
  <si>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</si>
  <si>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</si>
  <si>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</si>
  <si>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</si>
  <si>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</si>
  <si>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</si>
  <si>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</si>
  <si>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</si>
  <si>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</si>
  <si>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</si>
  <si>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</si>
  <si>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</si>
  <si>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</si>
  <si>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</si>
  <si>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</si>
  <si>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</si>
  <si>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</si>
  <si>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</si>
  <si>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</si>
  <si>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</si>
  <si>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</si>
  <si>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</si>
  <si>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</si>
  <si>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</si>
  <si>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</si>
  <si>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</si>
  <si>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</si>
  <si>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</si>
  <si>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</si>
  <si>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</si>
  <si>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</si>
  <si>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</si>
  <si>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</si>
  <si>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</si>
  <si>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</si>
  <si>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</si>
  <si>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</si>
  <si>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</si>
  <si>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</si>
  <si>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</si>
  <si>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</si>
  <si>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</si>
  <si>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</si>
  <si>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</si>
  <si>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</si>
  <si>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</si>
  <si>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</si>
  <si>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</si>
  <si>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</si>
  <si>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</si>
  <si>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</si>
  <si>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</si>
  <si>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</si>
  <si>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</si>
  <si>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</si>
  <si>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</si>
  <si>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</si>
  <si>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</si>
  <si>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</si>
  <si>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</si>
  <si>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</si>
  <si>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</si>
  <si>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</si>
  <si>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</si>
  <si>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</si>
  <si>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</si>
  <si>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</si>
  <si>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</si>
  <si>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</si>
  <si>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</si>
  <si>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</si>
  <si>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</si>
  <si>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</si>
  <si>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</si>
  <si>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</si>
  <si>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</si>
  <si>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</si>
  <si>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</si>
  <si>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</si>
  <si>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</si>
  <si>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</si>
  <si>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</si>
  <si>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</si>
  <si>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</si>
  <si>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</si>
  <si>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</si>
  <si>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</si>
  <si>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</si>
  <si>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</si>
  <si>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</si>
  <si>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</si>
  <si>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</si>
  <si>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</si>
  <si>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</si>
  <si>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</si>
  <si>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</si>
  <si>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</si>
  <si>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</si>
  <si>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</si>
  <si>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</si>
  <si>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</si>
  <si>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</si>
  <si>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</si>
  <si>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</si>
  <si>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</si>
  <si>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</si>
  <si>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</si>
  <si>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</si>
  <si>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</si>
  <si>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</si>
  <si>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</si>
  <si>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</si>
  <si>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</si>
  <si>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</si>
  <si>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</si>
  <si>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</si>
  <si>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</si>
  <si>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</si>
  <si>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</si>
  <si>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</si>
  <si>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</si>
  <si>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</si>
  <si>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</si>
  <si>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</si>
  <si>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</si>
  <si>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</si>
  <si>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</si>
  <si>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</si>
  <si>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</si>
  <si>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</si>
  <si>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</si>
  <si>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</si>
  <si>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</si>
  <si>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</si>
  <si>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</si>
  <si>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</si>
  <si>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</si>
  <si>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</si>
  <si>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</si>
  <si>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</si>
  <si>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</si>
  <si>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</si>
  <si>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</si>
  <si>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</si>
  <si>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</si>
  <si>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</si>
  <si>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</si>
  <si>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</si>
  <si>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</si>
  <si>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</si>
  <si>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</si>
  <si>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</si>
  <si>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</si>
  <si>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</si>
  <si>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</si>
  <si>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</si>
  <si>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</si>
  <si>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</si>
  <si>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</si>
  <si>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</si>
  <si>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</si>
  <si>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</si>
  <si>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</si>
  <si>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color rgb="FFFF0000"/>
        <rFont val="Calibri"/>
        <family val="2"/>
      </rPr>
      <t>air</t>
    </r>
  </si>
  <si>
    <t>kdegA.a</t>
  </si>
  <si>
    <r>
      <t>Degradation rate constant of heteroagglomerates of ENPs and SPM (P) in</t>
    </r>
    <r>
      <rPr>
        <sz val="10"/>
        <color rgb="FFFF000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</si>
  <si>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</si>
  <si>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</si>
  <si>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</si>
  <si>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</si>
  <si>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</si>
  <si>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</si>
  <si>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</si>
  <si>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</si>
  <si>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</si>
  <si>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</si>
  <si>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</si>
  <si>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</si>
  <si>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</si>
  <si>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</si>
  <si>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</si>
  <si>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</si>
  <si>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</si>
  <si>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</si>
  <si>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</si>
  <si>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</si>
  <si>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</si>
  <si>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</si>
  <si>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</si>
  <si>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</si>
  <si>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</si>
  <si>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</si>
  <si>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</si>
  <si>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</si>
  <si>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</si>
  <si>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</si>
  <si>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</si>
  <si>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</si>
  <si>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</si>
  <si>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</si>
  <si>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</si>
  <si>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</si>
  <si>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</si>
  <si>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</si>
  <si>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</si>
  <si>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</si>
  <si>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</si>
  <si>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</si>
  <si>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</si>
  <si>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</si>
  <si>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</si>
  <si>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</si>
  <si>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</si>
  <si>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</si>
  <si>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</si>
  <si>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</si>
  <si>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</si>
  <si>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</si>
  <si>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</si>
  <si>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</si>
  <si>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</si>
  <si>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</si>
  <si>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</si>
  <si>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</si>
  <si>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</si>
  <si>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</si>
  <si>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</si>
  <si>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</si>
  <si>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</si>
  <si>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</si>
  <si>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</si>
  <si>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</si>
  <si>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</si>
  <si>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</si>
  <si>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</si>
  <si>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</si>
  <si>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</si>
  <si>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</si>
  <si>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</si>
  <si>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</si>
  <si>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</si>
  <si>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</si>
  <si>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</si>
  <si>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</si>
  <si>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</si>
  <si>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</si>
  <si>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</si>
  <si>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</si>
  <si>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</si>
  <si>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</si>
  <si>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</si>
  <si>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</si>
  <si>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</si>
  <si>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</si>
  <si>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</si>
  <si>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</si>
  <si>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</si>
  <si>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</si>
  <si>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</si>
  <si>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</si>
  <si>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</si>
  <si>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</si>
  <si>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</si>
  <si>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</si>
  <si>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</si>
  <si>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</si>
  <si>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</si>
  <si>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</si>
  <si>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</si>
  <si>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</si>
  <si>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</si>
  <si>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</si>
  <si>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</si>
  <si>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</si>
  <si>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</si>
  <si>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</si>
  <si>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</si>
  <si>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</si>
  <si>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</si>
  <si>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</si>
  <si>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</si>
  <si>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</si>
  <si>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</si>
  <si>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</si>
  <si>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</si>
  <si>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</si>
  <si>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</si>
  <si>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</si>
  <si>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</si>
  <si>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</si>
  <si>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</si>
  <si>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</si>
  <si>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</si>
  <si>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</si>
  <si>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</si>
  <si>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</si>
  <si>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</si>
  <si>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</si>
  <si>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</si>
  <si>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</si>
  <si>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</si>
  <si>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</si>
  <si>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</si>
  <si>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</si>
  <si>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</si>
  <si>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</si>
  <si>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</si>
  <si>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</si>
  <si>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</si>
  <si>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</si>
  <si>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</si>
  <si>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</si>
  <si>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</si>
  <si>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</si>
  <si>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</si>
  <si>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</si>
  <si>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</si>
  <si>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</si>
  <si>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</si>
  <si>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</si>
  <si>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</si>
  <si>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</si>
  <si>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</si>
  <si>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</si>
  <si>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</si>
  <si>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</si>
  <si>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</si>
  <si>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</si>
  <si>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</si>
  <si>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</si>
  <si>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</si>
  <si>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</si>
  <si>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</si>
  <si>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</si>
  <si>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</si>
  <si>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</si>
  <si>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</si>
  <si>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</si>
  <si>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</si>
  <si>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</si>
  <si>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</si>
  <si>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</si>
  <si>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</si>
  <si>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</si>
  <si>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</si>
  <si>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</si>
  <si>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</si>
  <si>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</si>
  <si>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</si>
  <si>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</si>
  <si>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</si>
  <si>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</si>
  <si>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</si>
  <si>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</si>
  <si>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</si>
  <si>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</si>
  <si>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</si>
  <si>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</si>
  <si>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</si>
  <si>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</si>
  <si>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</si>
  <si>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</si>
  <si>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</si>
  <si>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</si>
  <si>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</si>
  <si>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</si>
  <si>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</si>
  <si>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</si>
  <si>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</si>
  <si>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</si>
  <si>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</si>
  <si>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</si>
  <si>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</si>
  <si>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</si>
  <si>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</si>
  <si>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</si>
  <si>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</si>
  <si>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</si>
  <si>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</si>
  <si>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</si>
  <si>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</si>
  <si>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</si>
  <si>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</si>
  <si>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</si>
  <si>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</si>
  <si>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</si>
  <si>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</si>
  <si>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</si>
  <si>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</si>
  <si>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</si>
  <si>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</si>
  <si>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</si>
  <si>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</si>
  <si>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</si>
  <si>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</si>
  <si>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</si>
  <si>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</si>
  <si>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</si>
  <si>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</si>
  <si>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</si>
  <si>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</si>
  <si>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</si>
  <si>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</si>
  <si>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</si>
  <si>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</si>
  <si>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</si>
  <si>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</si>
  <si>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</si>
  <si>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</si>
  <si>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</si>
  <si>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</si>
  <si>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</si>
  <si>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</si>
  <si>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</si>
  <si>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</si>
  <si>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</si>
  <si>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</si>
  <si>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</si>
  <si>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</si>
  <si>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</si>
  <si>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</si>
  <si>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</si>
  <si>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</si>
  <si>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</si>
  <si>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</si>
  <si>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</si>
  <si>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</si>
  <si>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</si>
  <si>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</si>
  <si>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</si>
  <si>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</si>
  <si>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</si>
  <si>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</si>
  <si>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</si>
  <si>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</si>
  <si>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</si>
  <si>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</si>
  <si>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</si>
  <si>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</si>
  <si>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</si>
  <si>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</si>
  <si>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</si>
  <si>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</si>
  <si>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</si>
  <si>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</si>
  <si>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</si>
  <si>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</si>
  <si>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</si>
  <si>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</si>
  <si>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</si>
  <si>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</si>
  <si>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</si>
  <si>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</si>
  <si>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</si>
  <si>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</si>
  <si>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</si>
  <si>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</si>
  <si>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</si>
  <si>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</si>
  <si>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</si>
  <si>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</si>
  <si>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</si>
  <si>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</si>
  <si>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</si>
  <si>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</si>
  <si>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</si>
  <si>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</si>
  <si>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</si>
  <si>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</si>
  <si>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</si>
  <si>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</si>
  <si>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</si>
  <si>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</si>
  <si>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</si>
  <si>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</si>
  <si>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</si>
  <si>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</si>
  <si>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</si>
  <si>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</si>
  <si>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</si>
  <si>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</si>
  <si>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</si>
  <si>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</si>
  <si>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</si>
  <si>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</si>
  <si>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</si>
  <si>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</si>
  <si>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</si>
  <si>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</si>
  <si>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</si>
  <si>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</si>
  <si>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</si>
  <si>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</si>
  <si>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</si>
  <si>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</si>
  <si>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</si>
  <si>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</si>
  <si>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</si>
  <si>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</si>
  <si>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</si>
  <si>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</si>
  <si>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</si>
  <si>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</si>
  <si>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</si>
  <si>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</si>
  <si>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</si>
  <si>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</si>
  <si>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</si>
  <si>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</si>
  <si>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</si>
  <si>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</si>
  <si>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</si>
  <si>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</si>
  <si>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</si>
  <si>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</si>
  <si>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</si>
  <si>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</si>
  <si>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</si>
  <si>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</si>
  <si>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</si>
  <si>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</si>
  <si>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</si>
  <si>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</si>
  <si>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</si>
  <si>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</si>
  <si>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</si>
  <si>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</si>
  <si>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</si>
  <si>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</si>
  <si>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</si>
  <si>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</si>
  <si>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</si>
  <si>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</si>
  <si>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</si>
  <si>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</si>
  <si>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</si>
  <si>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</si>
  <si>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</si>
  <si>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</si>
  <si>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</si>
  <si>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</si>
  <si>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</si>
  <si>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</si>
  <si>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</si>
  <si>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</si>
  <si>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</si>
  <si>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</si>
  <si>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</si>
  <si>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</si>
  <si>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</si>
  <si>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</si>
  <si>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</si>
  <si>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</si>
  <si>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</si>
  <si>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</si>
  <si>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</si>
  <si>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</si>
  <si>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</si>
  <si>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</si>
  <si>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</si>
  <si>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</si>
  <si>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</si>
  <si>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</si>
  <si>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</si>
  <si>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</si>
  <si>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</si>
  <si>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</si>
  <si>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</si>
  <si>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</si>
  <si>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</si>
  <si>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</si>
  <si>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</si>
  <si>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</si>
  <si>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</si>
  <si>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</si>
  <si>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</si>
  <si>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</si>
  <si>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</si>
  <si>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</si>
  <si>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</si>
  <si>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</si>
  <si>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</si>
  <si>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</si>
  <si>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</si>
  <si>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</si>
  <si>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</si>
  <si>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</si>
  <si>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</si>
  <si>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</si>
  <si>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</si>
  <si>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</si>
  <si>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</si>
  <si>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</si>
  <si>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</si>
  <si>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</si>
  <si>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</si>
  <si>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</si>
  <si>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</si>
  <si>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</si>
  <si>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</si>
  <si>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</si>
  <si>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</si>
  <si>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</si>
  <si>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</si>
  <si>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</si>
  <si>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</si>
  <si>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</si>
  <si>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</si>
  <si>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</si>
  <si>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</si>
  <si>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</si>
  <si>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</si>
  <si>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</si>
  <si>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</si>
  <si>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</si>
  <si>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</si>
  <si>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</si>
  <si>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</si>
  <si>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</si>
  <si>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</si>
  <si>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</si>
  <si>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</si>
  <si>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</si>
  <si>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</si>
  <si>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</si>
  <si>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</si>
  <si>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</si>
  <si>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</si>
  <si>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</si>
  <si>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</si>
  <si>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</si>
  <si>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</si>
  <si>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</si>
  <si>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</si>
  <si>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</si>
  <si>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</si>
  <si>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</si>
  <si>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</si>
  <si>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</si>
  <si>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</si>
  <si>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</si>
  <si>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</si>
  <si>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</si>
  <si>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</si>
  <si>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</si>
  <si>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</si>
  <si>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</si>
  <si>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</si>
  <si>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</si>
  <si>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</si>
  <si>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</si>
  <si>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</si>
  <si>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</si>
  <si>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</si>
  <si>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</si>
  <si>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</si>
  <si>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</si>
  <si>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</si>
  <si>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</si>
  <si>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</si>
  <si>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</si>
  <si>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</si>
  <si>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</si>
  <si>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</si>
  <si>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</si>
  <si>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</si>
  <si>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</si>
  <si>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</si>
  <si>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</si>
  <si>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</si>
  <si>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</si>
  <si>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</si>
  <si>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</si>
  <si>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</si>
  <si>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</si>
  <si>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</si>
  <si>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</si>
  <si>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</si>
  <si>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</si>
  <si>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</si>
  <si>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</si>
  <si>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</si>
  <si>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</si>
  <si>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</si>
  <si>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</si>
  <si>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</si>
  <si>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</si>
  <si>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</si>
  <si>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</si>
  <si>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</si>
  <si>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</si>
  <si>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</si>
  <si>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</si>
  <si>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</si>
  <si>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</si>
  <si>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</si>
  <si>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</si>
  <si>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</si>
  <si>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</si>
  <si>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</si>
  <si>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</si>
  <si>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</si>
  <si>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</si>
  <si>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</si>
  <si>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</si>
  <si>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</si>
  <si>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</si>
  <si>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</si>
  <si>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</si>
  <si>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</si>
  <si>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</si>
  <si>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</si>
  <si>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</si>
  <si>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</si>
  <si>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</si>
  <si>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</si>
  <si>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</si>
  <si>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</si>
  <si>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</si>
  <si>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</si>
  <si>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</si>
  <si>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</si>
  <si>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</si>
  <si>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</si>
  <si>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</si>
  <si>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</si>
  <si>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</si>
  <si>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</si>
  <si>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</si>
  <si>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</si>
  <si>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</si>
  <si>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</si>
  <si>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</si>
  <si>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</si>
  <si>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</si>
  <si>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</si>
  <si>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</si>
  <si>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</si>
  <si>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</si>
  <si>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</si>
  <si>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</si>
  <si>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</si>
  <si>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</si>
  <si>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</si>
  <si>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</si>
  <si>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</si>
  <si>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</si>
  <si>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</si>
  <si>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</si>
  <si>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</si>
  <si>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</si>
  <si>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</si>
  <si>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</si>
  <si>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</si>
  <si>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</si>
  <si>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</si>
  <si>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</si>
  <si>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</si>
  <si>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</si>
  <si>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</si>
  <si>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</si>
  <si>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</si>
  <si>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</si>
  <si>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</si>
  <si>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</si>
  <si>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</si>
  <si>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</si>
  <si>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</si>
  <si>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</si>
  <si>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</si>
  <si>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</si>
  <si>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</si>
  <si>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</si>
  <si>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</si>
  <si>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</si>
  <si>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</si>
  <si>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</si>
  <si>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</si>
  <si>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</si>
  <si>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</si>
  <si>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</si>
  <si>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</si>
  <si>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</si>
  <si>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</si>
  <si>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</si>
  <si>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</si>
  <si>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</si>
  <si>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</si>
  <si>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</si>
  <si>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</si>
  <si>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</si>
  <si>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</si>
  <si>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</si>
  <si>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</si>
  <si>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</si>
  <si>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</si>
  <si>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</si>
  <si>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</si>
  <si>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</si>
  <si>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</si>
  <si>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</si>
  <si>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</si>
  <si>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</si>
  <si>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</si>
  <si>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</si>
  <si>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</si>
  <si>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</si>
  <si>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</si>
  <si>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</si>
  <si>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</si>
  <si>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</si>
  <si>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</si>
  <si>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</si>
  <si>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</si>
  <si>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</si>
  <si>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</si>
  <si>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</si>
  <si>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</si>
  <si>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</si>
  <si>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</si>
  <si>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</si>
  <si>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</si>
  <si>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</si>
  <si>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</si>
  <si>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</si>
  <si>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</si>
  <si>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</si>
  <si>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</si>
  <si>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</si>
  <si>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</si>
  <si>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</si>
  <si>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</si>
  <si>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</si>
  <si>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</si>
  <si>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</si>
  <si>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</si>
  <si>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</si>
  <si>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</si>
  <si>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</si>
  <si>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</si>
  <si>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</si>
  <si>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</si>
  <si>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</si>
  <si>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</si>
  <si>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</si>
  <si>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</si>
  <si>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</si>
  <si>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</si>
  <si>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</si>
  <si>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</si>
  <si>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</si>
  <si>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</si>
  <si>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</si>
  <si>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</si>
  <si>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</si>
  <si>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</si>
  <si>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</si>
  <si>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</si>
  <si>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</si>
  <si>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</si>
  <si>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</si>
  <si>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</si>
  <si>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</si>
  <si>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</si>
  <si>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</si>
  <si>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</si>
  <si>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</si>
  <si>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</si>
  <si>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</si>
  <si>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</si>
  <si>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</si>
  <si>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</si>
  <si>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</si>
  <si>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</si>
  <si>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</si>
  <si>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</si>
  <si>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</si>
  <si>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</si>
  <si>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</si>
  <si>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</si>
  <si>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</si>
  <si>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</si>
  <si>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</si>
  <si>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</si>
  <si>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</si>
  <si>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</si>
  <si>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</si>
  <si>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</si>
  <si>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</si>
  <si>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</si>
  <si>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</si>
  <si>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</si>
  <si>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</si>
  <si>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</si>
  <si>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</si>
  <si>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</si>
  <si>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</si>
  <si>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</si>
  <si>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</si>
  <si>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</si>
  <si>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</si>
  <si>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</si>
  <si>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</si>
  <si>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</si>
  <si>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</si>
  <si>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</si>
  <si>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</si>
  <si>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</si>
  <si>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</si>
  <si>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</si>
  <si>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</si>
  <si>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</si>
  <si>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</si>
  <si>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</si>
  <si>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</si>
  <si>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</si>
  <si>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</si>
  <si>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</si>
  <si>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</si>
  <si>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</si>
  <si>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</si>
  <si>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</si>
  <si>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</si>
  <si>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</si>
  <si>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</si>
  <si>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</si>
  <si>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</si>
  <si>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</si>
  <si>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</si>
  <si>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</si>
  <si>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</si>
  <si>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</si>
  <si>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</si>
  <si>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</si>
  <si>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</si>
  <si>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</si>
  <si>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</si>
  <si>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</si>
  <si>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</si>
  <si>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</si>
  <si>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</si>
  <si>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</si>
  <si>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</si>
  <si>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</si>
  <si>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</si>
  <si>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</si>
  <si>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</si>
  <si>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</si>
  <si>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</si>
  <si>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</si>
  <si>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</si>
  <si>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</si>
  <si>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</si>
  <si>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</si>
  <si>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</si>
  <si>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</si>
  <si>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</si>
  <si>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</si>
  <si>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</si>
  <si>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</si>
  <si>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</si>
  <si>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</si>
  <si>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</si>
  <si>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</si>
  <si>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</si>
  <si>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</si>
  <si>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</si>
  <si>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</si>
  <si>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</si>
  <si>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</si>
  <si>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</si>
  <si>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</si>
  <si>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</si>
  <si>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</si>
  <si>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</si>
  <si>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</si>
  <si>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</si>
  <si>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</si>
  <si>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</si>
  <si>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</si>
  <si>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</si>
  <si>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</si>
  <si>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</si>
  <si>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</si>
  <si>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</si>
  <si>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</si>
  <si>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</si>
  <si>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</si>
  <si>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</si>
  <si>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</si>
  <si>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</si>
  <si>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</si>
  <si>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</si>
  <si>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</si>
  <si>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</si>
  <si>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</si>
  <si>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</si>
  <si>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</si>
  <si>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</si>
  <si>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</si>
  <si>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</si>
  <si>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</si>
  <si>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</si>
  <si>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</si>
  <si>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</si>
  <si>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</si>
  <si>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</si>
  <si>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</si>
  <si>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</si>
  <si>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</si>
  <si>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</si>
  <si>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</si>
  <si>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</si>
  <si>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</si>
  <si>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</si>
  <si>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</si>
  <si>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</si>
  <si>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</si>
  <si>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</si>
  <si>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</si>
  <si>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</si>
  <si>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</si>
  <si>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</si>
  <si>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</si>
  <si>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</si>
  <si>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</si>
  <si>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</si>
  <si>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</si>
  <si>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</si>
  <si>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</si>
  <si>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</si>
  <si>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</si>
  <si>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</si>
  <si>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</si>
  <si>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</si>
  <si>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</si>
  <si>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</si>
  <si>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</si>
  <si>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</si>
  <si>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</si>
  <si>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</si>
  <si>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</si>
  <si>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</si>
  <si>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</si>
  <si>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</si>
  <si>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</si>
  <si>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</si>
  <si>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</si>
  <si>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</si>
  <si>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</si>
  <si>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</si>
  <si>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</si>
  <si>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</si>
  <si>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</si>
  <si>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</si>
  <si>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</si>
  <si>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</si>
  <si>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</si>
  <si>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</si>
  <si>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</si>
  <si>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</si>
  <si>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</si>
  <si>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</si>
  <si>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</si>
  <si>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</si>
  <si>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</si>
  <si>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</si>
  <si>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</si>
  <si>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</si>
  <si>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</si>
  <si>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</si>
  <si>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</si>
  <si>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</si>
  <si>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</si>
  <si>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</si>
  <si>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</si>
  <si>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</si>
  <si>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</si>
  <si>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</si>
  <si>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</si>
  <si>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</si>
  <si>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</si>
  <si>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</si>
  <si>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</si>
  <si>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</si>
  <si>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</si>
  <si>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</si>
  <si>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</si>
  <si>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</si>
  <si>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</si>
  <si>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</si>
  <si>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</si>
  <si>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</si>
  <si>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</si>
  <si>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</si>
  <si>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</si>
  <si>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</si>
  <si>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</si>
  <si>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</si>
  <si>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</si>
  <si>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</si>
  <si>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</si>
  <si>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</si>
  <si>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</si>
  <si>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</si>
  <si>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</si>
  <si>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</si>
  <si>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</si>
  <si>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</si>
  <si>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</si>
  <si>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</si>
  <si>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</si>
  <si>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</si>
  <si>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</si>
  <si>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</si>
  <si>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</si>
  <si>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</si>
  <si>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</si>
  <si>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</si>
  <si>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</si>
  <si>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</si>
  <si>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</si>
  <si>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</si>
  <si>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</si>
  <si>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</si>
  <si>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</si>
  <si>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</si>
  <si>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</si>
  <si>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</si>
  <si>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</si>
  <si>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</si>
  <si>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</si>
  <si>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</si>
  <si>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</si>
  <si>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</si>
  <si>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</si>
  <si>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</si>
  <si>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</si>
  <si>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</si>
  <si>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</si>
  <si>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</si>
  <si>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</si>
  <si>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</si>
  <si>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</si>
  <si>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</si>
  <si>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</si>
  <si>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</si>
  <si>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</si>
  <si>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</si>
  <si>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</si>
  <si>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</si>
  <si>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</si>
  <si>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</si>
  <si>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</si>
  <si>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</si>
  <si>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</si>
  <si>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</si>
  <si>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</si>
  <si>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</si>
  <si>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</si>
  <si>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</si>
  <si>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</si>
  <si>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</si>
  <si>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</si>
  <si>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</si>
  <si>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</si>
  <si>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</si>
  <si>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</si>
  <si>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</si>
  <si>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</si>
  <si>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</si>
  <si>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</si>
  <si>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</si>
  <si>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</si>
  <si>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</si>
  <si>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</si>
  <si>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</si>
  <si>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</si>
  <si>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</si>
  <si>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</si>
  <si>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</si>
  <si>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</si>
  <si>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</si>
  <si>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</si>
  <si>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</si>
  <si>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</si>
  <si>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</si>
  <si>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</si>
  <si>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</si>
  <si>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</si>
  <si>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</si>
  <si>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</si>
  <si>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</si>
  <si>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</si>
  <si>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</si>
  <si>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</si>
  <si>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</si>
  <si>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</si>
  <si>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</si>
  <si>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</si>
  <si>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</si>
  <si>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</si>
  <si>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</si>
  <si>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</si>
  <si>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</si>
  <si>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</si>
  <si>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</si>
  <si>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</si>
  <si>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</si>
  <si>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</si>
  <si>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</si>
  <si>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</si>
  <si>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</si>
  <si>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</si>
  <si>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</si>
  <si>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</si>
  <si>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</si>
  <si>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</si>
  <si>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</si>
  <si>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</si>
  <si>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</si>
  <si>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</si>
  <si>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</si>
  <si>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</si>
  <si>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</si>
  <si>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</si>
  <si>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</si>
  <si>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</si>
  <si>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</si>
  <si>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</si>
  <si>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</si>
  <si>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</si>
  <si>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</si>
  <si>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</si>
  <si>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</si>
  <si>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</si>
  <si>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</si>
  <si>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</si>
  <si>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</si>
  <si>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</si>
  <si>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</si>
  <si>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</si>
  <si>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</si>
  <si>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</si>
  <si>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</si>
  <si>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</si>
  <si>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</si>
  <si>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</si>
  <si>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</si>
  <si>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</si>
  <si>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</si>
  <si>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</si>
  <si>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</si>
  <si>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</si>
  <si>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</si>
  <si>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</si>
  <si>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</si>
  <si>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</si>
  <si>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</si>
  <si>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</si>
  <si>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</si>
  <si>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</si>
  <si>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</si>
  <si>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</si>
  <si>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</si>
  <si>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</si>
  <si>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</si>
  <si>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</si>
  <si>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</si>
  <si>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</si>
  <si>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</si>
  <si>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</si>
  <si>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</si>
  <si>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</si>
  <si>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</si>
  <si>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</si>
  <si>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</si>
  <si>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</si>
  <si>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</si>
  <si>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</si>
  <si>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</si>
  <si>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</si>
  <si>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</si>
  <si>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</si>
  <si>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</si>
  <si>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</si>
  <si>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</si>
  <si>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</si>
  <si>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</si>
  <si>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</si>
  <si>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</si>
  <si>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</si>
  <si>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</si>
  <si>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</si>
  <si>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</si>
  <si>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</si>
  <si>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</si>
  <si>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</si>
  <si>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</si>
  <si>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</si>
  <si>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</si>
  <si>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</si>
  <si>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</si>
  <si>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</si>
  <si>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</si>
  <si>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</si>
  <si>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</si>
  <si>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</si>
  <si>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</si>
  <si>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</si>
  <si>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</si>
  <si>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</si>
  <si>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</si>
  <si>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</si>
  <si>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</si>
  <si>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</si>
  <si>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</si>
  <si>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</si>
  <si>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</si>
  <si>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</si>
  <si>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</si>
  <si>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</si>
  <si>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</si>
  <si>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</si>
  <si>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</si>
  <si>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</si>
  <si>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</si>
  <si>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</si>
  <si>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</si>
  <si>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</si>
  <si>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</si>
  <si>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</si>
  <si>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</si>
  <si>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</si>
  <si>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</si>
  <si>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</si>
  <si>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</si>
  <si>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</si>
  <si>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</si>
  <si>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</si>
  <si>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</si>
  <si>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</si>
  <si>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</si>
  <si>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</si>
  <si>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</si>
  <si>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</si>
  <si>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</si>
  <si>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</si>
  <si>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</si>
  <si>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</si>
  <si>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</si>
  <si>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</si>
  <si>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</si>
  <si>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source?</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</si>
  <si>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</si>
  <si>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</si>
  <si>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</si>
  <si>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</si>
  <si>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</si>
  <si>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</si>
  <si>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</si>
  <si>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</si>
  <si>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</si>
  <si>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</si>
  <si>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</si>
  <si>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</si>
  <si>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</si>
  <si>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</si>
  <si>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</si>
  <si>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</si>
  <si>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</si>
  <si>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</si>
  <si>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</si>
  <si>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</si>
  <si>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</si>
  <si>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</si>
  <si>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</si>
  <si>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</si>
  <si>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</si>
  <si>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</si>
  <si>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</si>
  <si>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</si>
  <si>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</si>
  <si>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</si>
  <si>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</si>
  <si>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</si>
  <si>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</si>
  <si>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</si>
  <si>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</si>
  <si>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</si>
  <si>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</si>
  <si>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</si>
  <si>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</si>
  <si>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</si>
  <si>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</si>
  <si>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</si>
  <si>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</si>
  <si>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</si>
  <si>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</si>
  <si>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</si>
  <si>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</si>
  <si>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</si>
  <si>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</si>
  <si>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</si>
  <si>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</si>
  <si>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</si>
  <si>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</si>
  <si>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</si>
  <si>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</si>
  <si>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</si>
  <si>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</si>
  <si>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</si>
  <si>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</si>
  <si>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</si>
  <si>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</si>
  <si>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</si>
  <si>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</si>
  <si>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</si>
  <si>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</si>
  <si>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</si>
  <si>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</si>
  <si>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</si>
  <si>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</si>
  <si>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</si>
  <si>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</si>
  <si>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</si>
  <si>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</si>
  <si>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</si>
  <si>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</si>
  <si>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</si>
  <si>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</si>
  <si>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</si>
  <si>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</si>
  <si>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</si>
  <si>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</si>
  <si>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</si>
  <si>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</si>
  <si>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</si>
  <si>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</si>
  <si>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</si>
  <si>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</si>
  <si>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</si>
  <si>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</si>
  <si>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</si>
  <si>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</si>
  <si>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</si>
  <si>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</si>
  <si>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</si>
  <si>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</si>
  <si>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</si>
  <si>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</si>
  <si>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</si>
  <si>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</si>
  <si>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</si>
  <si>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</si>
  <si>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</si>
  <si>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</si>
  <si>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</si>
  <si>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</si>
  <si>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</si>
  <si>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</si>
  <si>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</si>
  <si>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</si>
  <si>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</si>
  <si>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</si>
  <si>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</si>
  <si>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</si>
  <si>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</si>
  <si>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</si>
  <si>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</si>
  <si>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</si>
  <si>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</si>
  <si>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</si>
  <si>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</si>
  <si>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</si>
  <si>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</si>
  <si>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</si>
  <si>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</si>
  <si>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</si>
  <si>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</si>
  <si>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</si>
  <si>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</si>
  <si>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</si>
  <si>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</si>
  <si>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</si>
  <si>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</si>
  <si>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</si>
  <si>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</si>
  <si>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</si>
  <si>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</si>
  <si>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</si>
  <si>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</si>
  <si>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</si>
  <si>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</si>
  <si>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</si>
  <si>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</si>
  <si>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</si>
  <si>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</si>
  <si>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</si>
  <si>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</si>
  <si>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</si>
  <si>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</si>
  <si>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</si>
  <si>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</si>
  <si>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</si>
  <si>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</si>
  <si>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</si>
  <si>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</si>
  <si>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</si>
  <si>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</si>
  <si>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</si>
  <si>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</si>
  <si>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</si>
  <si>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</si>
  <si>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</si>
  <si>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</si>
  <si>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</si>
  <si>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</si>
  <si>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</si>
  <si>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</si>
  <si>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</si>
  <si>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</si>
  <si>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</si>
  <si>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</si>
  <si>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</si>
  <si>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</si>
  <si>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</si>
  <si>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</si>
  <si>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</si>
  <si>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</si>
  <si>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</si>
  <si>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</si>
  <si>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</si>
  <si>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</si>
  <si>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</si>
  <si>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</si>
  <si>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</si>
  <si>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</si>
  <si>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</si>
  <si>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</si>
  <si>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</si>
  <si>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</si>
  <si>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</si>
  <si>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</si>
  <si>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</si>
  <si>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</si>
  <si>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</si>
  <si>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</si>
  <si>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</si>
  <si>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</si>
  <si>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</si>
  <si>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</si>
  <si>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</si>
  <si>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</si>
  <si>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</si>
  <si>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</si>
  <si>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</si>
  <si>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</si>
  <si>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</si>
  <si>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</si>
  <si>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</si>
  <si>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</si>
  <si>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</si>
  <si>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</si>
  <si>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</si>
  <si>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</si>
  <si>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</si>
  <si>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</si>
  <si>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</si>
  <si>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</si>
  <si>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</si>
  <si>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</si>
  <si>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</si>
  <si>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</si>
  <si>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</si>
  <si>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</si>
  <si>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</si>
  <si>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</si>
  <si>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</si>
  <si>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</si>
  <si>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</si>
  <si>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</si>
  <si>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</si>
  <si>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</si>
  <si>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k.s1RS.w1RS</t>
  </si>
  <si>
    <t>S&amp;A run-off + erosion</t>
  </si>
  <si>
    <t>RUN-OFF of FREE ENP SPECIES (S) from AGRICULTURAL SOIL to (FRESH) WATER</t>
  </si>
  <si>
    <t>k.s2RS.w1RS</t>
  </si>
  <si>
    <t>RUN-OFF of FREE ENP SPECIES (S) from OTHER SOIL to (FRESH) WATER</t>
  </si>
  <si>
    <t>k.s3RS.w1RS</t>
  </si>
  <si>
    <t>RUN-OFF of AGGREGATED ENP SPECIES (A) from NATURAL SOIL to (FRESH) WATER</t>
  </si>
  <si>
    <t>k.s1RA.w1RA</t>
  </si>
  <si>
    <t>RUN-OFF of AGGREGATED ENP SPECIES (A) from AGRICULTURAL SOIL to (FRESH) WATER</t>
  </si>
  <si>
    <t>k.s2RA.w1RA</t>
  </si>
  <si>
    <t>RUN-OFF of AGGREGATED ENP SPECIES (A) from OTHER SOIL to (FRESH) WATER</t>
  </si>
  <si>
    <t>k.s3RA.w1RA</t>
  </si>
  <si>
    <t>EROSION of ATTACHED ENP SPECIES (P) from NATURAL SOIL to (FRESH) WATER</t>
  </si>
  <si>
    <t>k.s1RP.w1RP</t>
  </si>
  <si>
    <t>P only erosion</t>
  </si>
  <si>
    <t>EROSION of ATTACHED ENP SPECIES (P) from AGRICULTURAL SOIL to (FRESH) WATER</t>
  </si>
  <si>
    <t>k.s2RP.w1RP</t>
  </si>
  <si>
    <t>EROSION of ATTACHED ENP SPECIES (P) from OTHER SOIL to (FRESH) WATER</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</si>
  <si>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</si>
  <si>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</si>
  <si>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</si>
  <si>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</si>
  <si>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</si>
  <si>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</si>
  <si>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</si>
  <si>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</si>
  <si>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</si>
  <si>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</si>
  <si>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</si>
  <si>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</si>
  <si>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</si>
  <si>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</si>
  <si>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</si>
  <si>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</si>
  <si>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</si>
  <si>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</si>
  <si>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</si>
  <si>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</si>
  <si>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</si>
  <si>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</si>
  <si>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</si>
  <si>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</si>
  <si>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</si>
  <si>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</si>
  <si>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</si>
  <si>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</si>
  <si>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</si>
  <si>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</si>
  <si>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</si>
  <si>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</si>
  <si>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</si>
  <si>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</si>
  <si>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</si>
  <si>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</si>
  <si>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</si>
  <si>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</si>
  <si>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</si>
  <si>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</si>
  <si>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</si>
  <si>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</si>
  <si>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</si>
  <si>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</si>
  <si>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</si>
  <si>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</si>
  <si>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</si>
  <si>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</si>
  <si>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</si>
  <si>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</si>
  <si>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</si>
  <si>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</si>
  <si>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</si>
  <si>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</si>
  <si>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</si>
  <si>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</si>
  <si>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</si>
  <si>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</si>
  <si>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</si>
  <si>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</si>
  <si>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</si>
  <si>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</si>
  <si>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</si>
  <si>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</si>
  <si>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</si>
  <si>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</si>
  <si>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</si>
  <si>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</si>
  <si>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</si>
  <si>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</si>
  <si>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</si>
  <si>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</si>
  <si>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</si>
  <si>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</si>
  <si>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</si>
  <si>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</si>
  <si>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</si>
  <si>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</si>
  <si>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</si>
  <si>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</si>
  <si>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</si>
  <si>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</si>
  <si>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</si>
  <si>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</si>
  <si>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</si>
  <si>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</si>
  <si>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</si>
  <si>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</si>
  <si>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</si>
  <si>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</si>
  <si>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</si>
  <si>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</si>
  <si>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</si>
  <si>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</si>
  <si>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</si>
  <si>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</si>
  <si>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</si>
  <si>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</si>
  <si>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</si>
  <si>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</si>
  <si>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</si>
  <si>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</si>
  <si>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</si>
  <si>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</si>
  <si>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</si>
  <si>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</si>
  <si>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</si>
  <si>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</si>
  <si>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</si>
  <si>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</si>
  <si>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</si>
  <si>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</si>
  <si>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</si>
  <si>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</si>
  <si>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</si>
  <si>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</si>
  <si>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</si>
  <si>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</si>
  <si>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</si>
  <si>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</si>
  <si>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</si>
  <si>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</si>
  <si>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</si>
  <si>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</si>
  <si>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</si>
  <si>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</si>
  <si>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</si>
  <si>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</si>
  <si>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</si>
  <si>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</si>
  <si>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</si>
  <si>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</si>
  <si>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</si>
  <si>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</si>
  <si>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</si>
  <si>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</si>
  <si>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</si>
  <si>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</si>
  <si>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</si>
  <si>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</si>
  <si>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</si>
  <si>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</si>
  <si>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</si>
  <si>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</si>
  <si>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</si>
  <si>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</si>
  <si>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</si>
  <si>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</si>
  <si>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</si>
  <si>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</si>
  <si>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</si>
  <si>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</si>
  <si>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</si>
  <si>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</si>
  <si>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</si>
  <si>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</si>
  <si>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</si>
  <si>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</si>
  <si>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</si>
  <si>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</si>
  <si>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</si>
  <si>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</si>
  <si>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</si>
  <si>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</si>
  <si>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</si>
  <si>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</si>
  <si>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</si>
  <si>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</si>
  <si>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</si>
  <si>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</si>
  <si>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</si>
  <si>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</si>
  <si>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</si>
  <si>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</si>
  <si>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</si>
  <si>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</si>
  <si>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</si>
  <si>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</si>
  <si>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</si>
  <si>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</si>
  <si>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</si>
  <si>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</si>
  <si>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</si>
  <si>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</si>
  <si>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</si>
  <si>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</si>
  <si>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</si>
  <si>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</si>
  <si>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</si>
  <si>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</si>
  <si>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</si>
  <si>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</si>
  <si>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</si>
  <si>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</si>
  <si>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</si>
  <si>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</si>
  <si>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</si>
  <si>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</si>
  <si>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</si>
  <si>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</si>
  <si>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</si>
  <si>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</si>
  <si>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</si>
  <si>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</si>
  <si>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</si>
  <si>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</si>
  <si>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</si>
  <si>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</si>
  <si>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</si>
  <si>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</si>
  <si>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</si>
  <si>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</si>
  <si>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</si>
  <si>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</si>
  <si>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</si>
  <si>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</si>
  <si>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</si>
  <si>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</si>
  <si>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</si>
  <si>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</si>
  <si>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</si>
  <si>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</si>
  <si>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</si>
  <si>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</si>
  <si>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</si>
  <si>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</si>
  <si>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</si>
  <si>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</si>
  <si>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</si>
  <si>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</si>
  <si>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</si>
  <si>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</si>
  <si>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</si>
  <si>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</si>
  <si>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</si>
  <si>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</si>
  <si>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</si>
  <si>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</si>
  <si>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</si>
  <si>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</si>
  <si>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</si>
  <si>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</si>
  <si>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</si>
  <si>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</si>
  <si>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</si>
  <si>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</si>
  <si>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</si>
  <si>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</si>
  <si>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</si>
  <si>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</si>
  <si>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</si>
  <si>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</si>
  <si>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</si>
  <si>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</si>
  <si>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</si>
  <si>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</si>
  <si>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</si>
  <si>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</si>
  <si>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</si>
  <si>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</si>
  <si>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</si>
  <si>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</si>
  <si>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</si>
  <si>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</si>
  <si>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</si>
  <si>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</si>
  <si>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</si>
  <si>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</si>
  <si>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</si>
  <si>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</si>
  <si>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</si>
  <si>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</si>
  <si>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</si>
  <si>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</si>
  <si>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</si>
  <si>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TRANSFER rate natural soil - water</t>
  </si>
  <si>
    <t>k.s1C.w1C</t>
  </si>
  <si>
    <t>TRANSFER rate agricultural soil - water</t>
  </si>
  <si>
    <t>k.s2C.w1C</t>
  </si>
  <si>
    <t>TRANSFER rate other soil - water</t>
  </si>
  <si>
    <t>k.s3C.w1C</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</si>
  <si>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</si>
  <si>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</si>
  <si>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</si>
  <si>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</si>
  <si>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</si>
  <si>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</si>
  <si>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</si>
  <si>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</si>
  <si>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</si>
  <si>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</si>
  <si>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</si>
  <si>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</si>
  <si>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</si>
  <si>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</si>
  <si>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</si>
  <si>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</si>
  <si>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</si>
  <si>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</si>
  <si>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</si>
  <si>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</si>
  <si>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</si>
  <si>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</si>
  <si>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</si>
  <si>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</si>
  <si>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</si>
  <si>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</si>
  <si>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</si>
  <si>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</si>
  <si>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</si>
  <si>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</si>
  <si>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</si>
  <si>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</si>
  <si>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</si>
  <si>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</si>
  <si>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</si>
  <si>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</si>
  <si>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</si>
  <si>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</si>
  <si>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</si>
  <si>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</si>
  <si>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</si>
  <si>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</si>
  <si>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</si>
  <si>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</si>
  <si>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</si>
  <si>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</si>
  <si>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</si>
  <si>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</si>
  <si>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</si>
  <si>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</si>
  <si>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</si>
  <si>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</si>
  <si>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</si>
  <si>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</si>
  <si>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</si>
  <si>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</si>
  <si>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</si>
  <si>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</si>
  <si>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</si>
  <si>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</si>
  <si>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</si>
  <si>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</si>
  <si>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</si>
  <si>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</si>
  <si>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</si>
  <si>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</si>
  <si>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</si>
  <si>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</si>
  <si>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</si>
  <si>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</si>
  <si>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</si>
  <si>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</si>
  <si>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</si>
  <si>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</si>
  <si>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</si>
  <si>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</si>
  <si>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</si>
  <si>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</si>
  <si>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</si>
  <si>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</si>
  <si>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</si>
  <si>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</si>
  <si>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</si>
  <si>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</si>
  <si>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</si>
  <si>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</si>
  <si>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</si>
  <si>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</si>
  <si>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</si>
  <si>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</si>
  <si>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</si>
  <si>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</si>
  <si>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</si>
  <si>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Now assumed same as in water column</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</si>
  <si>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</si>
  <si>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</si>
  <si>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</si>
  <si>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</si>
  <si>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</si>
  <si>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</si>
  <si>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</si>
  <si>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</si>
  <si>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</si>
  <si>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</si>
  <si>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</si>
  <si>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</si>
  <si>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</si>
  <si>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</si>
  <si>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</si>
  <si>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</si>
  <si>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</si>
  <si>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</si>
  <si>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</si>
  <si>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</si>
  <si>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</si>
  <si>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</si>
  <si>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</si>
  <si>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</si>
  <si>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</si>
  <si>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</si>
  <si>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</si>
  <si>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</si>
  <si>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</si>
  <si>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</si>
  <si>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</si>
  <si>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</si>
  <si>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</si>
  <si>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</si>
  <si>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</si>
  <si>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</si>
  <si>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</si>
  <si>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</si>
  <si>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</si>
  <si>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</si>
  <si>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</si>
  <si>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</si>
  <si>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</si>
  <si>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</si>
  <si>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</si>
  <si>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</si>
  <si>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</si>
  <si>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</si>
  <si>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</si>
  <si>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</si>
  <si>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</si>
  <si>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</si>
  <si>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</si>
  <si>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</si>
  <si>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</si>
  <si>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</si>
  <si>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</si>
  <si>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</si>
  <si>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</si>
  <si>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</si>
  <si>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</si>
  <si>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</si>
  <si>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</si>
  <si>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</si>
  <si>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</si>
  <si>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</si>
  <si>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</si>
  <si>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</si>
  <si>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</si>
  <si>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</si>
  <si>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</si>
  <si>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</si>
  <si>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</si>
  <si>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</si>
  <si>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</si>
  <si>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</si>
  <si>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</si>
  <si>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</si>
  <si>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</si>
  <si>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</si>
  <si>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</si>
  <si>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</si>
  <si>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</si>
  <si>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</si>
  <si>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</si>
  <si>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</si>
  <si>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</si>
  <si>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</si>
  <si>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</si>
  <si>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</si>
  <si>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</si>
  <si>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</si>
  <si>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</si>
  <si>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</si>
  <si>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</si>
  <si>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</si>
  <si>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</si>
  <si>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</si>
  <si>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</si>
  <si>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</si>
  <si>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</si>
  <si>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</si>
  <si>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</si>
  <si>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</si>
  <si>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</si>
  <si>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</si>
  <si>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</si>
  <si>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</si>
  <si>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</si>
  <si>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</si>
  <si>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</si>
  <si>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</si>
  <si>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</si>
  <si>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</si>
  <si>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</si>
  <si>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</si>
  <si>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</si>
  <si>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</si>
  <si>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</si>
  <si>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</si>
  <si>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</si>
  <si>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</si>
  <si>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</si>
  <si>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</si>
  <si>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</si>
  <si>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</si>
  <si>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</si>
  <si>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</si>
  <si>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</si>
  <si>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</si>
  <si>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</si>
  <si>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</si>
  <si>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</si>
  <si>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</si>
  <si>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</si>
  <si>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</si>
  <si>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</si>
  <si>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</si>
  <si>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</si>
  <si>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</si>
  <si>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</si>
  <si>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</si>
  <si>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</si>
  <si>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</si>
  <si>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</si>
  <si>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</si>
  <si>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</si>
  <si>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</si>
  <si>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</si>
  <si>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</si>
  <si>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</si>
  <si>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</si>
  <si>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</si>
  <si>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</si>
  <si>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</si>
  <si>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</si>
  <si>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</si>
  <si>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</si>
  <si>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</si>
  <si>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</si>
  <si>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</si>
  <si>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</si>
  <si>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</si>
  <si>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</si>
  <si>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</si>
  <si>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</si>
  <si>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</si>
  <si>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</si>
  <si>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</si>
  <si>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</si>
  <si>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</si>
  <si>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</si>
  <si>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</si>
  <si>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</si>
  <si>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</si>
  <si>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</si>
  <si>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</si>
  <si>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</si>
  <si>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</si>
  <si>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</si>
  <si>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</si>
  <si>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</si>
  <si>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</si>
  <si>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</si>
  <si>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</si>
  <si>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</si>
  <si>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</si>
  <si>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</si>
  <si>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</si>
  <si>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</si>
  <si>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</si>
  <si>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</si>
  <si>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</si>
  <si>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</si>
  <si>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</si>
  <si>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</si>
  <si>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</si>
  <si>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</si>
  <si>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</si>
  <si>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</si>
  <si>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</si>
  <si>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</si>
  <si>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</si>
  <si>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</si>
  <si>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</si>
  <si>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</si>
  <si>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</si>
  <si>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</si>
  <si>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</si>
  <si>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</si>
  <si>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</si>
  <si>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</si>
  <si>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</si>
  <si>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</si>
  <si>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</si>
  <si>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</si>
  <si>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</si>
  <si>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</si>
  <si>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</si>
  <si>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</si>
  <si>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</si>
  <si>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</si>
  <si>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</si>
  <si>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</si>
  <si>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</si>
  <si>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</si>
  <si>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</si>
  <si>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</si>
  <si>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</si>
  <si>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</si>
  <si>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</si>
  <si>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</si>
  <si>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</si>
  <si>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</si>
  <si>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</si>
  <si>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</si>
  <si>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</si>
  <si>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</si>
  <si>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</si>
  <si>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</si>
  <si>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</si>
  <si>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</si>
  <si>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</si>
  <si>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</si>
  <si>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</si>
  <si>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</si>
  <si>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</si>
  <si>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</si>
  <si>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</si>
  <si>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</si>
  <si>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</si>
  <si>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</si>
  <si>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</si>
  <si>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</si>
  <si>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</si>
  <si>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</si>
  <si>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</si>
  <si>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</si>
  <si>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</si>
  <si>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</si>
  <si>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</si>
  <si>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</si>
  <si>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</si>
  <si>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</si>
  <si>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</si>
  <si>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</si>
  <si>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</si>
  <si>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</si>
  <si>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</si>
  <si>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</si>
  <si>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</si>
  <si>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</si>
  <si>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</si>
  <si>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</si>
  <si>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</si>
  <si>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</si>
  <si>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</si>
  <si>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</si>
  <si>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</si>
  <si>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</si>
  <si>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</si>
  <si>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</si>
  <si>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</si>
  <si>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</si>
  <si>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</si>
  <si>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</si>
  <si>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</si>
  <si>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</si>
  <si>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</si>
  <si>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</si>
  <si>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</si>
  <si>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</si>
  <si>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</si>
  <si>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</si>
  <si>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</si>
  <si>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</si>
  <si>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</si>
  <si>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</si>
  <si>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</si>
  <si>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</si>
  <si>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</si>
  <si>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</si>
  <si>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</si>
  <si>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</si>
  <si>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</si>
  <si>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</si>
  <si>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</si>
  <si>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</si>
  <si>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</si>
  <si>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</si>
  <si>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</si>
  <si>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</si>
  <si>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</si>
  <si>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</si>
  <si>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</si>
  <si>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</si>
  <si>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</si>
  <si>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</si>
  <si>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</si>
  <si>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</si>
  <si>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</si>
  <si>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</si>
  <si>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</si>
  <si>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</si>
  <si>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</si>
  <si>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</si>
  <si>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</si>
  <si>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</si>
  <si>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</si>
  <si>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</si>
  <si>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</si>
  <si>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</si>
  <si>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</si>
  <si>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</si>
  <si>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</si>
  <si>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</si>
  <si>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</si>
  <si>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</si>
  <si>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</si>
  <si>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</si>
  <si>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</si>
  <si>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</si>
  <si>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</si>
  <si>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</si>
  <si>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</si>
  <si>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</si>
  <si>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</si>
  <si>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</si>
  <si>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</si>
  <si>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</si>
  <si>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</si>
  <si>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</si>
  <si>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</si>
  <si>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</si>
  <si>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</si>
  <si>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</si>
  <si>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</si>
  <si>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</si>
  <si>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</si>
  <si>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</si>
  <si>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</si>
  <si>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</si>
  <si>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</si>
  <si>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</si>
  <si>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</si>
  <si>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</si>
  <si>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</si>
  <si>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</si>
  <si>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</si>
  <si>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</si>
  <si>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</si>
  <si>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</si>
  <si>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</si>
  <si>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</si>
  <si>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</si>
  <si>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</si>
  <si>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</si>
  <si>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</si>
  <si>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</si>
  <si>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</si>
  <si>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</si>
  <si>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</si>
  <si>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</si>
  <si>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</si>
  <si>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</si>
  <si>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</si>
  <si>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</si>
  <si>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</si>
  <si>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</si>
  <si>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</si>
  <si>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</si>
  <si>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</si>
  <si>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</si>
  <si>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</si>
  <si>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</si>
  <si>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</si>
  <si>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</si>
  <si>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</si>
  <si>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</si>
  <si>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</si>
  <si>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</si>
  <si>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</si>
  <si>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</si>
  <si>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</si>
  <si>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</si>
  <si>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</si>
  <si>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</si>
  <si>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</si>
  <si>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</si>
  <si>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</si>
  <si>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</si>
  <si>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</si>
  <si>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</si>
  <si>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</si>
  <si>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</si>
  <si>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</si>
  <si>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</si>
  <si>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</si>
  <si>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</si>
  <si>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</si>
  <si>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</si>
  <si>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</si>
  <si>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</si>
  <si>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</si>
  <si>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</si>
  <si>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</si>
  <si>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</si>
  <si>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</si>
  <si>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</si>
  <si>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</si>
  <si>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</si>
  <si>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</si>
  <si>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</si>
  <si>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</si>
  <si>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</si>
  <si>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</si>
  <si>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</si>
  <si>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</si>
  <si>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</si>
  <si>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</si>
  <si>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</si>
  <si>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</si>
  <si>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</si>
  <si>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</si>
  <si>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</si>
  <si>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</si>
  <si>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</si>
  <si>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</si>
  <si>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</si>
  <si>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</si>
  <si>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</si>
  <si>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</si>
  <si>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</si>
  <si>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</si>
  <si>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</si>
  <si>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</si>
  <si>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</si>
  <si>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</si>
  <si>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</si>
  <si>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</si>
  <si>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</si>
  <si>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</si>
  <si>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</si>
  <si>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</si>
  <si>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</si>
  <si>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</si>
  <si>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</si>
  <si>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</si>
  <si>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</si>
  <si>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</si>
  <si>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</si>
  <si>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</si>
  <si>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</si>
  <si>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</si>
  <si>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</si>
  <si>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</si>
  <si>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</si>
  <si>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</si>
  <si>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</si>
  <si>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</si>
  <si>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</si>
  <si>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</si>
  <si>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</si>
  <si>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</si>
  <si>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</si>
  <si>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</si>
  <si>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</si>
  <si>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</si>
  <si>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</si>
  <si>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</si>
  <si>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</si>
  <si>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</si>
  <si>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</si>
  <si>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</si>
  <si>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</si>
  <si>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</si>
  <si>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</si>
  <si>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</si>
  <si>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</si>
  <si>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</si>
  <si>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</si>
  <si>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</si>
  <si>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</si>
  <si>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</si>
  <si>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</si>
  <si>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</si>
  <si>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</si>
  <si>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</si>
  <si>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</si>
  <si>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</si>
  <si>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</si>
  <si>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</si>
  <si>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</si>
  <si>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</si>
  <si>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</si>
  <si>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</si>
  <si>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</si>
  <si>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</si>
  <si>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</si>
  <si>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</si>
  <si>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</si>
  <si>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</si>
  <si>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</si>
  <si>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</si>
  <si>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</si>
  <si>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</si>
  <si>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</si>
  <si>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</si>
  <si>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</si>
  <si>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</si>
  <si>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</si>
  <si>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</si>
  <si>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</si>
  <si>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</si>
  <si>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</si>
  <si>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</si>
  <si>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</si>
  <si>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</si>
  <si>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</si>
  <si>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</si>
  <si>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</si>
  <si>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</si>
  <si>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</si>
  <si>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</si>
  <si>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</si>
  <si>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</si>
  <si>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</si>
  <si>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</si>
  <si>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</si>
  <si>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</si>
  <si>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</si>
  <si>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</si>
  <si>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</si>
  <si>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</si>
  <si>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</si>
  <si>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</si>
  <si>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</si>
  <si>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</si>
  <si>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</si>
  <si>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</si>
  <si>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</si>
  <si>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</si>
  <si>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</si>
  <si>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</si>
  <si>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</si>
  <si>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</si>
  <si>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</si>
  <si>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</si>
  <si>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</si>
  <si>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</si>
  <si>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</si>
  <si>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</si>
  <si>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</si>
  <si>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</si>
  <si>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</si>
  <si>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</si>
  <si>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</si>
  <si>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</si>
  <si>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</si>
  <si>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</si>
  <si>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</si>
  <si>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</si>
  <si>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</si>
  <si>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</si>
  <si>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</si>
  <si>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</si>
  <si>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</si>
  <si>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</si>
  <si>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</si>
  <si>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</si>
  <si>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</si>
  <si>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</si>
  <si>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</si>
  <si>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</si>
  <si>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</si>
  <si>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</si>
  <si>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</si>
  <si>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</si>
  <si>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</si>
  <si>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</si>
  <si>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</si>
  <si>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</si>
  <si>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</si>
  <si>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</si>
  <si>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</si>
  <si>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</si>
  <si>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</si>
  <si>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</si>
  <si>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</si>
  <si>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</si>
  <si>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</si>
  <si>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</si>
  <si>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</si>
  <si>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</si>
  <si>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</si>
  <si>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</si>
  <si>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</si>
  <si>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</si>
  <si>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</si>
  <si>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</si>
  <si>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</si>
  <si>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</si>
  <si>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</si>
  <si>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</si>
  <si>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</si>
  <si>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</si>
  <si>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</si>
  <si>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</si>
  <si>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</si>
  <si>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</si>
  <si>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</si>
  <si>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</si>
  <si>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</si>
  <si>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</si>
  <si>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</si>
  <si>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</si>
  <si>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</si>
  <si>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</si>
  <si>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</si>
  <si>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</si>
  <si>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</si>
  <si>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</si>
  <si>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</si>
  <si>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</si>
  <si>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</si>
  <si>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</si>
  <si>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</si>
  <si>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</si>
  <si>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</si>
  <si>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</si>
  <si>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</si>
  <si>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</si>
  <si>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</si>
  <si>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</si>
  <si>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</si>
  <si>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</si>
  <si>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</si>
  <si>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</si>
  <si>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</si>
  <si>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</si>
  <si>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</si>
  <si>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</si>
  <si>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</si>
  <si>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</si>
  <si>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</si>
  <si>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</si>
  <si>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</si>
  <si>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</si>
  <si>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</si>
  <si>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</si>
  <si>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</si>
  <si>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</si>
  <si>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</si>
  <si>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</si>
  <si>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</si>
  <si>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</si>
  <si>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</si>
  <si>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</si>
  <si>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</si>
  <si>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</si>
  <si>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</si>
  <si>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</si>
  <si>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</si>
  <si>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</si>
  <si>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</si>
  <si>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</si>
  <si>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</si>
  <si>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</si>
  <si>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</si>
  <si>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</si>
  <si>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</si>
  <si>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</si>
  <si>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</si>
  <si>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</si>
  <si>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</si>
  <si>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</si>
  <si>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</si>
  <si>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</si>
  <si>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</si>
  <si>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</si>
  <si>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</si>
  <si>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</si>
  <si>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</si>
  <si>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</si>
  <si>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</si>
  <si>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</si>
  <si>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</si>
  <si>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</si>
  <si>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</si>
  <si>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</si>
  <si>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</si>
  <si>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</si>
  <si>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</si>
  <si>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</si>
  <si>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</si>
  <si>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</si>
  <si>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</si>
  <si>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</si>
  <si>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</si>
  <si>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</si>
  <si>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</si>
  <si>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</si>
  <si>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</si>
  <si>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</si>
  <si>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</si>
  <si>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</si>
  <si>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</si>
  <si>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</si>
  <si>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</si>
  <si>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</si>
  <si>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</si>
  <si>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</si>
  <si>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</si>
  <si>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</si>
  <si>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</si>
  <si>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</si>
  <si>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</si>
  <si>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</si>
  <si>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</si>
  <si>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</si>
  <si>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</si>
  <si>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</si>
  <si>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</si>
  <si>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</si>
  <si>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</si>
  <si>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</si>
  <si>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</si>
  <si>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</si>
  <si>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</si>
  <si>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</si>
  <si>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</si>
  <si>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</si>
  <si>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</si>
  <si>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</si>
  <si>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</si>
  <si>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</si>
  <si>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</si>
  <si>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</si>
  <si>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</si>
  <si>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</si>
  <si>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</si>
  <si>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</si>
  <si>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</si>
  <si>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</si>
  <si>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</si>
  <si>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</si>
  <si>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</si>
  <si>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</si>
  <si>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</si>
  <si>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</si>
  <si>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</si>
  <si>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</si>
  <si>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</si>
  <si>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</si>
  <si>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</si>
  <si>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</si>
  <si>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</si>
  <si>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</si>
  <si>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</si>
  <si>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</si>
  <si>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</si>
  <si>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</si>
  <si>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</si>
  <si>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</si>
  <si>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</si>
  <si>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</si>
  <si>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</si>
  <si>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</si>
  <si>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</si>
  <si>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</si>
  <si>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</si>
  <si>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</si>
  <si>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</si>
  <si>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</si>
  <si>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</si>
  <si>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</si>
  <si>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</si>
  <si>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</si>
  <si>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</si>
  <si>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</si>
  <si>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</si>
  <si>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</si>
  <si>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</si>
  <si>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</si>
  <si>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</si>
  <si>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</si>
  <si>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</si>
  <si>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</si>
  <si>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</si>
  <si>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</si>
  <si>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</si>
  <si>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</si>
  <si>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</si>
  <si>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</si>
  <si>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</si>
  <si>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</si>
  <si>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</si>
  <si>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</si>
  <si>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</si>
  <si>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</si>
  <si>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</si>
  <si>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</si>
  <si>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</si>
  <si>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</si>
  <si>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</si>
  <si>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</si>
  <si>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</si>
  <si>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</si>
  <si>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</si>
  <si>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</si>
  <si>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</si>
  <si>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</si>
  <si>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</si>
  <si>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</si>
  <si>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</si>
  <si>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</si>
  <si>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</si>
  <si>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</si>
  <si>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</si>
  <si>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</si>
  <si>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</si>
  <si>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</si>
  <si>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</si>
  <si>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</si>
  <si>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</si>
  <si>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</si>
  <si>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</si>
  <si>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</si>
  <si>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</si>
  <si>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</si>
  <si>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</si>
  <si>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</si>
  <si>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</si>
  <si>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</si>
  <si>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</si>
  <si>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</si>
  <si>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</si>
  <si>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</si>
  <si>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</si>
  <si>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</si>
  <si>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</si>
  <si>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</si>
  <si>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</si>
  <si>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</si>
  <si>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</si>
  <si>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</si>
  <si>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</si>
  <si>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</si>
  <si>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</si>
  <si>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</si>
  <si>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</si>
  <si>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</si>
  <si>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</si>
  <si>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</si>
  <si>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</si>
  <si>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</si>
  <si>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</si>
  <si>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</si>
  <si>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</si>
  <si>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</si>
  <si>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</si>
  <si>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</si>
  <si>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 Higher?</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</si>
  <si>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</si>
  <si>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</si>
  <si>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</si>
  <si>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</si>
  <si>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</si>
  <si>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</si>
  <si>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</si>
  <si>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</si>
  <si>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</si>
  <si>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</si>
  <si>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</si>
  <si>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</si>
  <si>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</si>
  <si>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</si>
  <si>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</si>
  <si>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</si>
  <si>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</si>
  <si>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</si>
  <si>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</si>
  <si>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</si>
  <si>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</si>
  <si>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</si>
  <si>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</si>
  <si>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</si>
  <si>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</si>
  <si>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</si>
  <si>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</si>
  <si>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</si>
  <si>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</si>
  <si>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</si>
  <si>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</si>
  <si>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</si>
  <si>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</si>
  <si>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</si>
  <si>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</si>
  <si>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</si>
  <si>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</si>
  <si>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</si>
  <si>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</si>
  <si>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</si>
  <si>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</si>
  <si>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</si>
  <si>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</si>
  <si>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</si>
  <si>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</si>
  <si>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</si>
  <si>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</si>
  <si>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</si>
  <si>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</si>
  <si>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</si>
  <si>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</si>
  <si>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</si>
  <si>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</si>
  <si>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</si>
  <si>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</si>
  <si>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</si>
  <si>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</si>
  <si>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</si>
  <si>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</si>
  <si>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</si>
  <si>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</si>
  <si>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</si>
  <si>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</si>
  <si>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</si>
  <si>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</si>
  <si>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</si>
  <si>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</si>
  <si>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</si>
  <si>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</si>
  <si>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</si>
  <si>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</si>
  <si>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</si>
  <si>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</si>
  <si>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</si>
  <si>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</si>
  <si>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</si>
  <si>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</si>
  <si>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</si>
  <si>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</si>
  <si>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</si>
  <si>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</si>
  <si>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</si>
  <si>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</si>
  <si>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</si>
  <si>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</si>
  <si>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</si>
  <si>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</si>
  <si>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</si>
  <si>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</si>
  <si>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</si>
  <si>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</si>
  <si>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</si>
  <si>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</si>
  <si>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</si>
  <si>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</si>
  <si>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</si>
  <si>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</si>
  <si>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</si>
  <si>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</si>
  <si>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</si>
  <si>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</si>
  <si>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</si>
  <si>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</si>
  <si>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</si>
  <si>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</si>
  <si>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</si>
  <si>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</si>
  <si>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</si>
  <si>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</si>
  <si>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</si>
  <si>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</si>
  <si>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</si>
  <si>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</si>
  <si>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</si>
  <si>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</si>
  <si>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</si>
  <si>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</si>
  <si>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</si>
  <si>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</si>
  <si>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</si>
  <si>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</si>
  <si>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</si>
  <si>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</si>
  <si>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</si>
  <si>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</si>
  <si>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</si>
  <si>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</si>
  <si>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</si>
  <si>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</si>
  <si>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</si>
  <si>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</si>
  <si>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</si>
  <si>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</si>
  <si>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</si>
  <si>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</si>
  <si>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</si>
  <si>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</si>
  <si>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</si>
  <si>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</si>
  <si>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</si>
  <si>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</si>
  <si>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</si>
  <si>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</si>
  <si>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</si>
  <si>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</si>
  <si>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</si>
  <si>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</si>
  <si>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</si>
  <si>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</si>
  <si>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</si>
  <si>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</si>
  <si>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</si>
  <si>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</si>
  <si>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</si>
  <si>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</si>
  <si>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</si>
  <si>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</si>
  <si>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</si>
  <si>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</si>
  <si>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</si>
  <si>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</si>
  <si>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</si>
  <si>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</si>
  <si>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</si>
  <si>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</si>
  <si>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</si>
  <si>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</si>
  <si>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</si>
  <si>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</si>
  <si>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</si>
  <si>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</si>
  <si>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</si>
  <si>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</si>
  <si>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</si>
  <si>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</si>
  <si>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</si>
  <si>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</si>
  <si>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</si>
  <si>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</si>
  <si>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</si>
  <si>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</si>
  <si>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</si>
  <si>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</si>
  <si>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</si>
  <si>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</si>
  <si>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</si>
  <si>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</si>
  <si>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</si>
  <si>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</si>
  <si>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</si>
  <si>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</si>
  <si>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</si>
  <si>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</si>
  <si>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</si>
  <si>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</si>
  <si>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</si>
  <si>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</si>
  <si>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</si>
  <si>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</si>
  <si>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</si>
  <si>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</si>
  <si>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</si>
  <si>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</si>
  <si>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</si>
  <si>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</si>
  <si>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</si>
  <si>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</si>
  <si>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</si>
  <si>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</si>
  <si>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</si>
  <si>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</si>
  <si>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</si>
  <si>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</si>
  <si>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</si>
  <si>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</si>
  <si>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</si>
  <si>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</si>
  <si>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fix formula</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</si>
  <si>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</si>
  <si>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</si>
  <si>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</si>
  <si>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</si>
  <si>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</si>
  <si>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</si>
  <si>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</si>
  <si>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</si>
  <si>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</si>
  <si>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</si>
  <si>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</si>
  <si>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</si>
  <si>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</si>
  <si>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</si>
  <si>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</si>
  <si>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</si>
  <si>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</si>
  <si>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</si>
  <si>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</si>
  <si>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</si>
  <si>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</si>
  <si>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</si>
  <si>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</si>
  <si>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</si>
  <si>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</si>
  <si>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</si>
  <si>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</si>
  <si>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</si>
  <si>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</si>
  <si>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</si>
  <si>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</si>
  <si>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</si>
  <si>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</si>
  <si>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</si>
  <si>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</si>
  <si>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</si>
  <si>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</si>
  <si>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</si>
  <si>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</si>
  <si>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</si>
  <si>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</si>
  <si>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</si>
  <si>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</si>
  <si>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</si>
  <si>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</si>
  <si>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</si>
  <si>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</si>
  <si>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</si>
  <si>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</si>
  <si>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</si>
  <si>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</si>
  <si>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</si>
  <si>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</si>
  <si>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</si>
  <si>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</si>
  <si>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</si>
  <si>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</si>
  <si>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</si>
  <si>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</si>
  <si>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</si>
  <si>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</si>
  <si>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</si>
  <si>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</si>
  <si>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</si>
  <si>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</si>
  <si>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</si>
  <si>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</si>
  <si>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</si>
  <si>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</si>
  <si>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</si>
  <si>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</si>
  <si>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</si>
  <si>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</si>
  <si>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</si>
  <si>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</si>
  <si>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</si>
  <si>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</si>
  <si>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</si>
  <si>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</si>
  <si>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</si>
  <si>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</si>
  <si>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</si>
  <si>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</si>
  <si>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</si>
  <si>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</si>
  <si>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</si>
  <si>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</si>
  <si>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</si>
  <si>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</si>
  <si>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</si>
  <si>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</si>
  <si>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</si>
  <si>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</si>
  <si>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</si>
  <si>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</si>
  <si>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</si>
  <si>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</si>
  <si>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</si>
  <si>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</si>
  <si>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</si>
  <si>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</si>
  <si>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</si>
  <si>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</si>
  <si>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</si>
  <si>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</si>
  <si>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</si>
  <si>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</si>
  <si>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</si>
  <si>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</si>
  <si>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</si>
  <si>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</si>
  <si>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</si>
  <si>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</si>
  <si>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</si>
  <si>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</si>
  <si>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</si>
  <si>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</si>
  <si>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</si>
  <si>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</si>
  <si>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</si>
  <si>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</si>
  <si>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</si>
  <si>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</si>
  <si>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</si>
  <si>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</si>
  <si>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</si>
  <si>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</si>
  <si>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</si>
  <si>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</si>
  <si>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</si>
  <si>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</si>
  <si>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</si>
  <si>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</si>
  <si>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</si>
  <si>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</si>
  <si>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</si>
  <si>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</si>
  <si>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</si>
  <si>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</si>
  <si>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</si>
  <si>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</si>
  <si>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</si>
  <si>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</si>
  <si>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</si>
  <si>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</si>
  <si>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</si>
  <si>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</si>
  <si>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</si>
  <si>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</si>
  <si>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</si>
  <si>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</si>
  <si>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</si>
  <si>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</si>
  <si>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</si>
  <si>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</si>
  <si>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</si>
  <si>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</si>
  <si>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</si>
  <si>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</si>
  <si>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</si>
  <si>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</si>
  <si>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</si>
  <si>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</si>
  <si>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</si>
  <si>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</si>
  <si>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</si>
  <si>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</si>
  <si>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</si>
  <si>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</si>
  <si>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</si>
  <si>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</si>
  <si>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</si>
  <si>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</si>
  <si>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</si>
  <si>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</si>
  <si>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</si>
  <si>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</si>
  <si>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</si>
  <si>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</si>
  <si>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</si>
  <si>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</si>
  <si>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</si>
  <si>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</si>
  <si>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</si>
  <si>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</si>
  <si>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</si>
  <si>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</si>
  <si>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</si>
  <si>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</si>
  <si>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</si>
  <si>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</si>
  <si>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</si>
  <si>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</si>
  <si>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</si>
  <si>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</si>
  <si>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</si>
  <si>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</si>
  <si>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</si>
  <si>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</si>
  <si>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</si>
  <si>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</si>
  <si>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</si>
  <si>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</si>
  <si>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</si>
  <si>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</si>
  <si>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</si>
  <si>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</si>
  <si>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</si>
  <si>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</si>
  <si>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</si>
  <si>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</si>
  <si>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</si>
  <si>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</si>
  <si>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</si>
  <si>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</si>
  <si>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</si>
  <si>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</si>
  <si>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</si>
  <si>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</si>
  <si>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</si>
  <si>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</si>
  <si>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</si>
  <si>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</si>
  <si>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</si>
  <si>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</si>
  <si>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</si>
  <si>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</si>
  <si>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</si>
  <si>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</si>
  <si>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</si>
  <si>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</si>
  <si>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</si>
  <si>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</si>
  <si>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</si>
  <si>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</si>
  <si>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</si>
  <si>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</si>
  <si>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</si>
  <si>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</si>
  <si>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</si>
  <si>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</si>
  <si>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</si>
  <si>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</si>
  <si>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</si>
  <si>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</si>
  <si>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</si>
  <si>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</si>
  <si>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</si>
  <si>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</si>
  <si>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</si>
  <si>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</si>
  <si>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</si>
  <si>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</si>
  <si>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</si>
  <si>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</si>
  <si>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</si>
  <si>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</si>
  <si>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</si>
  <si>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</si>
  <si>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</si>
  <si>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</si>
  <si>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</si>
  <si>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</si>
  <si>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</si>
  <si>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</si>
  <si>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</si>
  <si>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</si>
  <si>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</si>
  <si>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</si>
  <si>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</si>
  <si>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</si>
  <si>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</si>
  <si>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</si>
  <si>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</si>
  <si>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</si>
  <si>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</si>
  <si>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</si>
  <si>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</si>
  <si>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</si>
  <si>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</si>
  <si>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</si>
  <si>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</si>
  <si>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</si>
  <si>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</si>
  <si>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</si>
  <si>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</si>
  <si>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</si>
  <si>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</si>
  <si>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</si>
  <si>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</si>
  <si>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</si>
  <si>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</si>
  <si>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</si>
  <si>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</si>
  <si>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</si>
  <si>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</si>
  <si>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</si>
  <si>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</si>
  <si>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</si>
  <si>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</si>
  <si>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</si>
  <si>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</si>
  <si>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</si>
  <si>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</si>
  <si>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</si>
  <si>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</si>
  <si>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</si>
  <si>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</si>
  <si>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</si>
  <si>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</si>
  <si>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</si>
  <si>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</si>
  <si>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</si>
  <si>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</si>
  <si>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</si>
  <si>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</si>
  <si>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</si>
  <si>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</si>
  <si>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</si>
  <si>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</si>
  <si>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</si>
  <si>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</si>
  <si>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</si>
  <si>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</si>
  <si>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</si>
  <si>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</si>
  <si>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</si>
  <si>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</si>
  <si>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</si>
  <si>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</si>
  <si>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</si>
  <si>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</si>
  <si>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</si>
  <si>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</si>
  <si>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</si>
  <si>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</si>
  <si>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</si>
  <si>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</si>
  <si>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</si>
  <si>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</si>
  <si>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</si>
  <si>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</si>
  <si>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</si>
  <si>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</si>
  <si>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</si>
  <si>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</si>
  <si>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</si>
  <si>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</si>
  <si>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</si>
  <si>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</si>
  <si>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</si>
  <si>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</si>
  <si>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</si>
  <si>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</si>
  <si>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</si>
  <si>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</si>
  <si>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</si>
  <si>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</si>
  <si>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</si>
  <si>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</si>
  <si>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</si>
  <si>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</si>
  <si>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</si>
  <si>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</si>
  <si>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</si>
  <si>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</si>
  <si>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</si>
  <si>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</si>
  <si>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</si>
  <si>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</si>
  <si>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</si>
  <si>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</si>
  <si>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</si>
  <si>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</si>
  <si>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</si>
  <si>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</si>
  <si>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</si>
  <si>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</si>
  <si>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</si>
  <si>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</si>
  <si>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</si>
  <si>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</si>
  <si>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</si>
  <si>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</si>
  <si>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</si>
  <si>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</si>
  <si>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</si>
  <si>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</si>
  <si>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</si>
  <si>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</si>
  <si>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</si>
  <si>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</si>
  <si>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</si>
  <si>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</si>
  <si>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</si>
  <si>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</si>
  <si>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</si>
  <si>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</si>
  <si>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</si>
  <si>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</si>
  <si>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</si>
  <si>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</si>
  <si>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</si>
  <si>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</si>
  <si>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</si>
  <si>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</si>
  <si>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</si>
  <si>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</si>
  <si>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</si>
  <si>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</si>
  <si>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</si>
  <si>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</si>
  <si>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</si>
  <si>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</si>
  <si>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</si>
  <si>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</si>
  <si>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</si>
  <si>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</si>
  <si>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</si>
  <si>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</si>
  <si>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</si>
  <si>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</si>
  <si>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</si>
  <si>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</si>
  <si>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</si>
  <si>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</si>
  <si>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</si>
  <si>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</si>
  <si>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</si>
  <si>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</si>
  <si>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</si>
  <si>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</si>
  <si>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</si>
  <si>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</si>
  <si>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</si>
  <si>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</si>
  <si>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</si>
  <si>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</si>
  <si>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</si>
  <si>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</si>
  <si>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</si>
  <si>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</si>
  <si>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</si>
  <si>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</si>
  <si>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</si>
  <si>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</si>
  <si>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</si>
  <si>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</si>
  <si>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</si>
  <si>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</si>
  <si>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</si>
  <si>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</si>
  <si>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</si>
  <si>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</si>
  <si>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</si>
  <si>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</si>
  <si>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</si>
  <si>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</si>
  <si>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</si>
  <si>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</si>
  <si>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</si>
  <si>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</si>
  <si>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</si>
  <si>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</si>
  <si>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</si>
  <si>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</si>
  <si>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</si>
  <si>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</si>
  <si>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</si>
  <si>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</si>
  <si>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</si>
  <si>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</si>
  <si>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</si>
  <si>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</si>
  <si>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</si>
  <si>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</si>
  <si>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</si>
  <si>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</si>
  <si>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</si>
  <si>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</si>
  <si>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</si>
  <si>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</si>
  <si>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</si>
  <si>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</si>
  <si>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</si>
  <si>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</si>
  <si>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</si>
  <si>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</si>
  <si>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</si>
  <si>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</si>
  <si>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</si>
  <si>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</si>
  <si>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</si>
  <si>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</si>
  <si>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</si>
  <si>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</si>
  <si>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</si>
  <si>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</si>
  <si>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</si>
  <si>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</si>
  <si>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</si>
  <si>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</si>
  <si>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</si>
  <si>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</si>
  <si>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</si>
  <si>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</si>
  <si>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</si>
  <si>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</si>
  <si>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</si>
  <si>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</si>
  <si>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</si>
  <si>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</si>
  <si>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</si>
  <si>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</si>
  <si>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</si>
  <si>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</si>
  <si>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</si>
  <si>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</si>
  <si>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</si>
  <si>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</si>
  <si>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</si>
  <si>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</si>
  <si>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</si>
  <si>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</si>
  <si>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</si>
  <si>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</si>
  <si>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</si>
  <si>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</si>
  <si>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</si>
  <si>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</si>
  <si>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</si>
  <si>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</si>
  <si>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</si>
  <si>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</si>
  <si>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</si>
  <si>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</si>
  <si>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</si>
  <si>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</si>
  <si>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</si>
  <si>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</si>
  <si>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</si>
  <si>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</si>
  <si>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</si>
  <si>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</si>
  <si>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</si>
  <si>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</si>
  <si>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</si>
  <si>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</si>
  <si>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</si>
  <si>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</si>
  <si>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</si>
  <si>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</si>
  <si>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</si>
  <si>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</si>
  <si>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</si>
  <si>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</si>
  <si>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</si>
  <si>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</si>
  <si>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</si>
  <si>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</si>
  <si>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</si>
  <si>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</si>
  <si>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</si>
  <si>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</si>
  <si>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</si>
  <si>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</si>
  <si>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</si>
  <si>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</si>
  <si>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</si>
  <si>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</si>
  <si>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</si>
  <si>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</si>
  <si>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</si>
  <si>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</si>
  <si>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</si>
  <si>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</si>
  <si>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</si>
  <si>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</si>
  <si>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</si>
  <si>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</si>
  <si>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</si>
  <si>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</si>
  <si>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</si>
  <si>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</si>
  <si>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</si>
  <si>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</si>
  <si>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</si>
  <si>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</si>
  <si>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</si>
  <si>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</si>
  <si>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</si>
  <si>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</si>
  <si>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</si>
  <si>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</si>
  <si>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</si>
  <si>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</si>
  <si>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</si>
  <si>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</si>
  <si>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</si>
  <si>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</si>
  <si>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</si>
  <si>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</si>
  <si>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</si>
  <si>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</si>
  <si>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</si>
  <si>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</si>
  <si>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</si>
  <si>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</si>
  <si>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</si>
  <si>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</si>
  <si>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</si>
  <si>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</si>
  <si>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</si>
  <si>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</si>
  <si>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</si>
  <si>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</si>
  <si>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</si>
  <si>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</si>
  <si>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</si>
  <si>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</si>
  <si>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</si>
  <si>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</si>
  <si>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</si>
  <si>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</si>
  <si>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</si>
  <si>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</si>
  <si>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</si>
  <si>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</si>
  <si>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</si>
  <si>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</si>
  <si>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</si>
  <si>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</si>
  <si>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</si>
  <si>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</si>
  <si>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</si>
  <si>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</si>
  <si>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</si>
  <si>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</si>
  <si>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</si>
  <si>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</si>
  <si>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</si>
  <si>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</si>
  <si>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</si>
  <si>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</si>
  <si>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</si>
  <si>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</si>
  <si>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</si>
  <si>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</si>
  <si>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</si>
  <si>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</si>
  <si>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</si>
  <si>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</si>
  <si>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</si>
  <si>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</si>
  <si>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</si>
  <si>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</si>
  <si>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</si>
  <si>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</si>
  <si>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</si>
  <si>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</si>
  <si>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</si>
  <si>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</si>
  <si>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</si>
  <si>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</si>
  <si>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</si>
  <si>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</si>
  <si>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</si>
  <si>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</si>
  <si>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</si>
  <si>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</si>
  <si>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</si>
  <si>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</si>
  <si>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</si>
  <si>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</si>
  <si>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</si>
  <si>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</si>
  <si>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</si>
  <si>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</si>
  <si>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</si>
  <si>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</si>
  <si>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</si>
  <si>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</si>
  <si>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</si>
  <si>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</si>
  <si>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</si>
  <si>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</si>
  <si>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</si>
  <si>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</si>
  <si>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</si>
  <si>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</si>
  <si>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</si>
  <si>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</si>
  <si>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</si>
  <si>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</si>
  <si>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</si>
  <si>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</si>
  <si>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</si>
  <si>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</si>
  <si>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</si>
  <si>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</si>
  <si>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</si>
  <si>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</si>
  <si>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</si>
  <si>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</si>
  <si>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</si>
  <si>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</si>
  <si>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</si>
  <si>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</si>
  <si>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</si>
  <si>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</si>
  <si>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</si>
  <si>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</si>
  <si>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</si>
  <si>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</si>
  <si>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</si>
  <si>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</si>
  <si>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</si>
  <si>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</si>
  <si>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</si>
  <si>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</si>
  <si>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</si>
  <si>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</si>
  <si>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</si>
  <si>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</si>
  <si>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</si>
  <si>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</si>
  <si>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</si>
  <si>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</si>
  <si>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</si>
  <si>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</si>
  <si>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</si>
  <si>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</si>
  <si>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</si>
  <si>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</si>
  <si>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</si>
  <si>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</si>
  <si>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</si>
  <si>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</si>
  <si>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</si>
  <si>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</si>
  <si>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</si>
  <si>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</si>
  <si>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</si>
  <si>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</si>
  <si>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</si>
  <si>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</si>
  <si>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</si>
  <si>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</si>
  <si>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</si>
  <si>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</si>
  <si>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</si>
  <si>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</si>
  <si>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</si>
  <si>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</si>
  <si>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</si>
  <si>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</si>
  <si>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</si>
  <si>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</si>
  <si>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</si>
  <si>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</si>
  <si>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</si>
  <si>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</si>
  <si>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</si>
  <si>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</si>
  <si>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</si>
  <si>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</si>
  <si>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</si>
  <si>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</si>
  <si>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</si>
  <si>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</si>
  <si>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</si>
  <si>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</si>
  <si>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</si>
  <si>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</si>
  <si>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</si>
  <si>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</si>
  <si>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</si>
  <si>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</si>
  <si>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</si>
  <si>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</si>
  <si>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</si>
  <si>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</si>
  <si>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</si>
  <si>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</si>
  <si>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</si>
  <si>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</si>
  <si>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</si>
  <si>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</si>
  <si>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</si>
  <si>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</si>
  <si>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</si>
  <si>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</si>
  <si>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</si>
  <si>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</si>
  <si>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</si>
  <si>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</si>
  <si>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</si>
  <si>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</si>
  <si>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</si>
  <si>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</si>
  <si>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</si>
  <si>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</si>
  <si>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</si>
  <si>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</si>
  <si>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</si>
  <si>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</si>
  <si>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</si>
  <si>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</si>
  <si>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</si>
  <si>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</si>
  <si>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</si>
  <si>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</si>
  <si>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</si>
  <si>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</si>
  <si>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</si>
  <si>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</si>
  <si>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</si>
  <si>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</si>
  <si>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</si>
  <si>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</si>
  <si>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</si>
  <si>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</si>
  <si>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</si>
  <si>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</si>
  <si>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</si>
  <si>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</si>
  <si>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</si>
  <si>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</si>
  <si>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</si>
  <si>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</si>
  <si>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</si>
  <si>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</si>
  <si>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</si>
  <si>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</si>
  <si>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</si>
  <si>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</si>
  <si>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</si>
  <si>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</si>
  <si>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</si>
  <si>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</si>
  <si>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</si>
  <si>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</si>
  <si>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</si>
  <si>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</si>
  <si>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</si>
  <si>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</si>
  <si>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</si>
  <si>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</si>
  <si>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</si>
  <si>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</si>
  <si>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</si>
  <si>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</si>
  <si>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</si>
  <si>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</si>
  <si>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</si>
  <si>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</si>
  <si>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</si>
  <si>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</si>
  <si>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</si>
  <si>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</si>
  <si>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</si>
  <si>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</si>
  <si>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</si>
  <si>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</si>
  <si>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</si>
  <si>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</si>
  <si>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</si>
  <si>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</si>
  <si>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</si>
  <si>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</si>
  <si>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</si>
  <si>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</si>
  <si>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</si>
  <si>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</si>
  <si>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</si>
  <si>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</si>
  <si>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</si>
  <si>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</si>
  <si>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</si>
  <si>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</si>
  <si>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</si>
  <si>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</si>
  <si>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</si>
  <si>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</si>
  <si>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</si>
  <si>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</si>
  <si>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</si>
  <si>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</si>
  <si>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</si>
  <si>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</si>
  <si>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</si>
  <si>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</si>
  <si>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</si>
  <si>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</si>
  <si>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</si>
  <si>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</si>
  <si>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</si>
  <si>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</si>
  <si>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</si>
  <si>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</si>
  <si>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</si>
  <si>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</si>
  <si>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</si>
  <si>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</si>
  <si>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</si>
  <si>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</si>
  <si>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</si>
  <si>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</si>
  <si>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</si>
  <si>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</si>
  <si>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</si>
  <si>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</si>
  <si>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</si>
  <si>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</si>
  <si>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</si>
  <si>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</si>
  <si>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</si>
  <si>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</si>
  <si>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</si>
  <si>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</si>
  <si>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</si>
  <si>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</si>
  <si>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</si>
  <si>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</si>
  <si>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</si>
  <si>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</si>
  <si>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</si>
  <si>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</si>
  <si>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</si>
  <si>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</si>
  <si>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</si>
  <si>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</si>
  <si>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</si>
  <si>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</si>
  <si>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</si>
  <si>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</si>
  <si>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</si>
  <si>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</si>
  <si>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</si>
  <si>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</si>
  <si>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</si>
  <si>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</si>
  <si>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</si>
  <si>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</si>
  <si>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</si>
  <si>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</si>
  <si>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</si>
  <si>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</si>
  <si>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</si>
  <si>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</si>
  <si>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</si>
  <si>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</si>
  <si>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</si>
  <si>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</si>
  <si>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</si>
  <si>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</si>
  <si>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</si>
  <si>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</si>
  <si>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</si>
  <si>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</si>
  <si>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</si>
  <si>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</si>
  <si>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</si>
  <si>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</si>
  <si>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</si>
  <si>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</si>
  <si>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</si>
  <si>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</si>
  <si>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</si>
  <si>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</si>
  <si>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</si>
  <si>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</si>
  <si>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</si>
  <si>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</si>
  <si>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</si>
  <si>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</si>
  <si>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</si>
  <si>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</si>
  <si>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</si>
  <si>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</si>
  <si>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</si>
  <si>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Thames 2000</t>
  </si>
  <si>
    <t>Thames 2015</t>
  </si>
  <si>
    <t>CaLIBRAte nTiO2 p25 case</t>
  </si>
  <si>
    <t>Heteroagglomerates:</t>
  </si>
  <si>
    <t>Degradation rate constant of ENPs (S) in natural soil pore water</t>
  </si>
  <si>
    <t>Degradation rate constant of ENPs (S) in agricultural soil pore water</t>
  </si>
  <si>
    <t>Degradation rate constant of ENPs (S) in other soil pore water</t>
  </si>
  <si>
    <r>
      <t>Gas WASHOUT</t>
    </r>
    <r>
      <rPr>
        <sz val="10"/>
        <rFont val="Calibri"/>
        <family val="2"/>
      </rPr>
      <t xml:space="preserve"> gaseous species</t>
    </r>
  </si>
  <si>
    <r>
      <t>GasWashout.R</t>
    </r>
    <r>
      <rPr>
        <sz val="10"/>
        <rFont val="Calibri"/>
        <family val="2"/>
      </rPr>
      <t>G</t>
    </r>
  </si>
  <si>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</si>
  <si>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</si>
  <si>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</si>
  <si>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</si>
  <si>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</si>
  <si>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</si>
  <si>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</si>
  <si>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</si>
  <si>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</si>
  <si>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</si>
  <si>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</si>
  <si>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</si>
  <si>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</si>
  <si>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</si>
  <si>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</si>
  <si>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</si>
  <si>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</si>
  <si>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</si>
  <si>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</si>
  <si>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</si>
  <si>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</si>
  <si>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</si>
  <si>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</si>
  <si>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</si>
  <si>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</si>
  <si>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</si>
  <si>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</si>
  <si>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</si>
  <si>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</si>
  <si>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</si>
  <si>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</si>
  <si>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</si>
  <si>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</si>
  <si>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</si>
  <si>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</si>
  <si>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</si>
  <si>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</si>
  <si>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</si>
  <si>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</si>
  <si>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</si>
  <si>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</si>
  <si>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</si>
  <si>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</si>
  <si>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</si>
  <si>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</si>
  <si>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</si>
  <si>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</si>
  <si>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</si>
  <si>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</si>
  <si>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</si>
  <si>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</si>
  <si>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</si>
  <si>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</si>
  <si>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</si>
  <si>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</si>
  <si>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</si>
  <si>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</si>
  <si>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</si>
  <si>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</si>
  <si>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</si>
  <si>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</si>
  <si>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</si>
  <si>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</si>
  <si>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</si>
  <si>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</si>
  <si>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</si>
  <si>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</si>
  <si>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</si>
  <si>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</si>
  <si>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</si>
  <si>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</si>
  <si>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</si>
  <si>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</si>
  <si>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</si>
  <si>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</si>
  <si>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</si>
  <si>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</si>
  <si>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</si>
  <si>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</si>
  <si>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</si>
  <si>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</si>
  <si>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</si>
  <si>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</si>
  <si>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</si>
  <si>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</si>
  <si>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</si>
  <si>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</si>
  <si>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</si>
  <si>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</si>
  <si>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</si>
  <si>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</si>
  <si>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</si>
  <si>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</si>
  <si>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</si>
  <si>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</si>
  <si>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</si>
  <si>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</si>
  <si>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</si>
  <si>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</si>
  <si>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</si>
  <si>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</si>
  <si>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</si>
  <si>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</si>
  <si>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</si>
  <si>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</si>
  <si>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</si>
  <si>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</si>
  <si>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</si>
  <si>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</si>
  <si>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</si>
  <si>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</si>
  <si>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</si>
  <si>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</si>
  <si>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</si>
  <si>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</si>
  <si>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</si>
  <si>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</si>
  <si>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</si>
  <si>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</si>
  <si>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</si>
  <si>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</si>
  <si>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</si>
  <si>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</si>
  <si>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</si>
  <si>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</si>
  <si>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</si>
  <si>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</si>
  <si>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</si>
  <si>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</si>
  <si>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</si>
  <si>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</si>
  <si>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</si>
  <si>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</si>
  <si>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</si>
  <si>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</si>
  <si>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</si>
  <si>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</si>
  <si>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</si>
  <si>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</si>
  <si>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</si>
  <si>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</si>
  <si>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</si>
  <si>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</si>
  <si>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</si>
  <si>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</si>
  <si>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</si>
  <si>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</si>
  <si>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</si>
  <si>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</si>
  <si>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</si>
  <si>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</si>
  <si>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</si>
  <si>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</si>
  <si>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</si>
  <si>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</si>
  <si>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</si>
  <si>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</si>
  <si>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</si>
  <si>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</si>
  <si>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k.s1R</t>
  </si>
  <si>
    <t>k.s1R.aR</t>
  </si>
  <si>
    <t>k.s1R.w1R</t>
  </si>
  <si>
    <t>k.s2C.aC</t>
  </si>
  <si>
    <t>k.s2R</t>
  </si>
  <si>
    <t>k.s2R.aR</t>
  </si>
  <si>
    <t>k.s2R.w1R</t>
  </si>
  <si>
    <t>k.s3C.aC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</si>
  <si>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</si>
  <si>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</si>
  <si>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</si>
  <si>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</si>
  <si>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</si>
  <si>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</si>
  <si>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</si>
  <si>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</si>
  <si>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</si>
  <si>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</si>
  <si>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</si>
  <si>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</si>
  <si>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</si>
  <si>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</si>
  <si>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</si>
  <si>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</si>
  <si>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</si>
  <si>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</si>
  <si>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</si>
  <si>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</si>
  <si>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</si>
  <si>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</si>
  <si>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</si>
  <si>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</si>
  <si>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</si>
  <si>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</si>
  <si>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</si>
  <si>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</si>
  <si>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</si>
  <si>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</si>
  <si>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</si>
  <si>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</si>
  <si>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</si>
  <si>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</si>
  <si>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</si>
  <si>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</si>
  <si>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</si>
  <si>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</si>
  <si>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</si>
  <si>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</si>
  <si>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</si>
  <si>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</si>
  <si>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</si>
  <si>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</si>
  <si>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</si>
  <si>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</si>
  <si>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</si>
  <si>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</si>
  <si>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</si>
  <si>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</si>
  <si>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</si>
  <si>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</si>
  <si>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</si>
  <si>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</si>
  <si>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</si>
  <si>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</si>
  <si>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</si>
  <si>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</si>
  <si>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</si>
  <si>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</si>
  <si>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</si>
  <si>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</si>
  <si>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</si>
  <si>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</si>
  <si>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</si>
  <si>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</si>
  <si>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</si>
  <si>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</si>
  <si>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</si>
  <si>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</si>
  <si>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</si>
  <si>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</si>
  <si>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</si>
  <si>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</si>
  <si>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</si>
  <si>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</si>
  <si>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</si>
  <si>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</si>
  <si>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</si>
  <si>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</si>
  <si>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</si>
  <si>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</si>
  <si>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</si>
  <si>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</si>
  <si>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</si>
  <si>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</si>
  <si>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</si>
  <si>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</si>
  <si>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</si>
  <si>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</si>
  <si>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</si>
  <si>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</si>
  <si>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</si>
  <si>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</si>
  <si>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</si>
  <si>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</si>
  <si>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</si>
  <si>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</si>
  <si>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</si>
  <si>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</si>
  <si>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</si>
  <si>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</si>
  <si>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</si>
  <si>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</si>
  <si>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</si>
  <si>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</si>
  <si>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</si>
  <si>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</si>
  <si>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</si>
  <si>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</si>
  <si>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</si>
  <si>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</si>
  <si>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</si>
  <si>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</si>
  <si>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</si>
  <si>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</si>
  <si>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</si>
  <si>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</si>
  <si>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</si>
  <si>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</si>
  <si>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</si>
  <si>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</si>
  <si>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</si>
  <si>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</si>
  <si>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</si>
  <si>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</si>
  <si>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</si>
  <si>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</si>
  <si>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</si>
  <si>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</si>
  <si>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</si>
  <si>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</si>
  <si>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</si>
  <si>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</si>
  <si>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</si>
  <si>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</si>
  <si>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</si>
  <si>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</si>
  <si>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</si>
  <si>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</si>
  <si>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</si>
  <si>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</si>
  <si>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</si>
  <si>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</si>
  <si>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</si>
  <si>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</si>
  <si>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</si>
  <si>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</si>
  <si>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</si>
  <si>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</si>
  <si>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</si>
  <si>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</si>
  <si>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</si>
  <si>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</si>
  <si>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</si>
  <si>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</si>
  <si>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</si>
  <si>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</si>
  <si>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</si>
  <si>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</si>
  <si>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</si>
  <si>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</si>
  <si>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</si>
  <si>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</si>
  <si>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</si>
  <si>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</si>
  <si>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</si>
  <si>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</si>
  <si>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</si>
  <si>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</si>
  <si>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</si>
  <si>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</si>
  <si>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</si>
  <si>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</si>
  <si>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</si>
  <si>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</si>
  <si>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</si>
  <si>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</si>
  <si>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</si>
  <si>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</si>
  <si>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</si>
  <si>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</si>
  <si>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</si>
  <si>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</si>
  <si>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</si>
  <si>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</si>
  <si>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</si>
  <si>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</si>
  <si>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</si>
  <si>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</si>
  <si>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</si>
  <si>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</si>
  <si>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</si>
  <si>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</si>
  <si>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</si>
  <si>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</si>
  <si>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</si>
  <si>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</si>
  <si>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</si>
  <si>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</si>
  <si>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Total Surface Area land at continental scale</t>
  </si>
  <si>
    <t>Total Surface Area sea at continental scale</t>
  </si>
  <si>
    <t>TOTAREAland.C</t>
  </si>
  <si>
    <t>TOTAREAsea.C</t>
  </si>
  <si>
    <r>
      <t>[km</t>
    </r>
    <r>
      <rPr>
        <vertAlign val="superscript"/>
        <sz val="10"/>
        <color rgb="FFFF0000"/>
        <rFont val="Calibri"/>
        <family val="2"/>
      </rPr>
      <t>2</t>
    </r>
    <r>
      <rPr>
        <sz val="10"/>
        <color rgb="FFFF0000"/>
        <rFont val="Calibri"/>
        <family val="2"/>
      </rPr>
      <t>]</t>
    </r>
  </si>
  <si>
    <r>
      <t>km</t>
    </r>
    <r>
      <rPr>
        <vertAlign val="superscript"/>
        <sz val="10"/>
        <color rgb="FFFF0000"/>
        <rFont val="Calibri"/>
        <family val="2"/>
      </rPr>
      <t>2</t>
    </r>
  </si>
  <si>
    <t>[change] calculation of input arealand.C and areasea.C and SYSTEMAREA.C</t>
  </si>
  <si>
    <t>k.s1CD.w1CD</t>
  </si>
  <si>
    <t>k.s2CD.w1CD</t>
  </si>
  <si>
    <t>k.s3CD.w1CD</t>
  </si>
  <si>
    <t>k.aCG</t>
  </si>
  <si>
    <t>k.w0CD</t>
  </si>
  <si>
    <t>k.w1CD</t>
  </si>
  <si>
    <t>k.w2CD</t>
  </si>
  <si>
    <t>k.sd1CD</t>
  </si>
  <si>
    <t>k.sd2CD</t>
  </si>
  <si>
    <t>k.s1CD</t>
  </si>
  <si>
    <t>k.s2CD</t>
  </si>
  <si>
    <t>k.s3CD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</si>
</sst>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2"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i/>
      <sz val="10"/>
      <color rgb="FFFF0000"/>
      <name val="Calibri"/>
      <family val="2"/>
    </font>
    <font>
      <sz val="10"/>
      <color rgb="FFFF0000"/>
      <name val="Calibri"/>
      <family val="2"/>
      <charset val="161"/>
    </font>
    <font>
      <vertAlign val="superscript"/>
      <sz val="10"/>
      <color rgb="FFFF0000"/>
      <name val="Calibri"/>
      <family val="2"/>
    </font>
  </fonts>
  <fills count="21">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9" tint="0.79998168889431442"/>
        <bgColor indexed="64"/>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20" borderId="44" applyNumberFormat="0" applyAlignment="0" applyProtection="0"/>
    <xf numFmtId="0" fontId="67" fillId="19" borderId="0" applyNumberFormat="0" applyBorder="0" applyAlignment="0" applyProtection="0"/>
  </cellStyleXfs>
  <cellXfs count="1010">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40"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1" fontId="0" fillId="15" borderId="5" xfId="0" applyNumberFormat="1" applyFill="1" applyBorder="1"/>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7" borderId="8" xfId="9" applyNumberFormat="1" applyFont="1" applyFill="1" applyBorder="1" applyAlignment="1" applyProtection="1">
      <alignment horizontal="righ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44" fillId="17" borderId="0" xfId="0" applyNumberFormat="1" applyFont="1" applyFill="1"/>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8"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8" xfId="0" applyNumberFormat="1" applyFont="1" applyFill="1" applyBorder="1"/>
    <xf numFmtId="11" fontId="40" fillId="15" borderId="0" xfId="0" applyNumberFormat="1" applyFont="1" applyFill="1"/>
    <xf numFmtId="11" fontId="40" fillId="15" borderId="3" xfId="0" applyNumberFormat="1" applyFont="1" applyFill="1" applyBorder="1"/>
    <xf numFmtId="164" fontId="3" fillId="0" borderId="0" xfId="1" applyNumberFormat="1" applyAlignment="1" applyProtection="1">
      <alignment horizontal="left"/>
    </xf>
    <xf numFmtId="11" fontId="40" fillId="2" borderId="8" xfId="0" applyNumberFormat="1" applyFont="1" applyFill="1" applyBorder="1" applyAlignment="1">
      <alignment horizontal="righ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1" fontId="40" fillId="7" borderId="8" xfId="0" applyNumberFormat="1" applyFont="1" applyFill="1" applyBorder="1" applyAlignment="1">
      <alignment horizontal="right"/>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40" fillId="2" borderId="0" xfId="0" applyNumberFormat="1" applyFont="1" applyFill="1"/>
    <xf numFmtId="14" fontId="10" fillId="2" borderId="0" xfId="0" applyNumberFormat="1" applyFont="1" applyFill="1"/>
    <xf numFmtId="164" fontId="68" fillId="2" borderId="0" xfId="0" applyFont="1" applyFill="1"/>
    <xf numFmtId="11" fontId="40" fillId="2" borderId="8" xfId="0" applyNumberFormat="1" applyFont="1" applyFill="1" applyBorder="1" applyAlignment="1">
      <alignment horizontal="left"/>
    </xf>
    <xf numFmtId="11" fontId="40" fillId="2" borderId="6" xfId="0" applyNumberFormat="1" applyFont="1" applyFill="1" applyBorder="1" applyAlignment="1">
      <alignment horizontal="left"/>
    </xf>
    <xf numFmtId="164" fontId="41" fillId="2" borderId="0" xfId="0" applyFont="1" applyFill="1"/>
    <xf numFmtId="11" fontId="69" fillId="2" borderId="8" xfId="0" applyNumberFormat="1" applyFont="1" applyFill="1" applyBorder="1" applyAlignment="1">
      <alignment horizontal="left"/>
    </xf>
    <xf numFmtId="164" fontId="40" fillId="2" borderId="8" xfId="0"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67" fontId="70" fillId="2" borderId="0" xfId="9" applyNumberFormat="1" applyFont="1" applyFill="1" applyBorder="1" applyAlignment="1">
      <alignment horizontal="left"/>
    </xf>
    <xf numFmtId="164" fontId="40" fillId="7" borderId="0" xfId="0" quotePrefix="1" applyFont="1" applyFill="1" applyAlignment="1">
      <alignment horizontal="left"/>
    </xf>
    <xf numFmtId="11" fontId="40" fillId="8" borderId="6" xfId="0" applyNumberFormat="1" applyFont="1" applyFill="1" applyBorder="1" applyAlignment="1" applyProtection="1">
      <alignment horizontal="right"/>
      <protection locked="0"/>
    </xf>
    <xf numFmtId="11" fontId="40" fillId="2" borderId="6" xfId="0" applyNumberFormat="1" applyFont="1" applyFill="1" applyBorder="1" applyAlignment="1">
      <alignment horizontal="right"/>
    </xf>
    <xf numFmtId="11" fontId="40" fillId="2" borderId="8" xfId="0" applyNumberFormat="1" applyFont="1" applyFill="1" applyBorder="1"/>
    <xf numFmtId="11" fontId="40" fillId="6" borderId="5"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14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6"/>
        </patternFill>
      </fill>
    </dxf>
    <dxf>
      <fill>
        <patternFill>
          <bgColor theme="0" tint="-0.24994659260841701"/>
        </patternFill>
      </fill>
    </dxf>
    <dxf>
      <font>
        <strike val="0"/>
        <color auto="1"/>
      </font>
      <numFmt numFmtId="1" formatCode="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 formatCode="0"/>
    </dxf>
    <dxf>
      <numFmt numFmtId="180" formatCode=";;"/>
      <fill>
        <patternFill>
          <bgColor rgb="FFFFFF00"/>
        </patternFill>
      </fill>
    </dxf>
    <dxf>
      <font>
        <strike val="0"/>
        <color auto="1"/>
      </font>
      <numFmt numFmtId="1" formatCode="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font>
        <color rgb="FF008000"/>
      </font>
      <numFmt numFmtId="15" formatCode="0.00E+00"/>
    </dxf>
    <dxf>
      <font>
        <color rgb="FFCC00CC"/>
      </font>
    </dxf>
    <dxf>
      <font>
        <color rgb="FFCC00CC"/>
      </font>
    </dxf>
    <dxf>
      <font>
        <color rgb="FF008C00"/>
      </font>
    </dxf>
    <dxf>
      <font>
        <color rgb="FFCC00CC"/>
      </font>
    </dxf>
    <dxf>
      <font>
        <color rgb="FFCC00CC"/>
      </font>
    </dxf>
    <dxf>
      <font>
        <color rgb="FFCC00CC"/>
      </font>
    </dxf>
    <dxf>
      <font>
        <color rgb="FFCC00CC"/>
      </font>
    </dxf>
    <dxf>
      <font>
        <color rgb="FFCC00CC"/>
      </font>
    </dxf>
    <dxf>
      <font>
        <color rgb="FFCC00CC"/>
      </font>
    </dxf>
    <dxf>
      <font>
        <color rgb="FF008000"/>
      </font>
      <numFmt numFmtId="15" formatCode="0.00E+00"/>
    </dxf>
    <dxf>
      <font>
        <color rgb="FFCC00CC"/>
      </font>
    </dxf>
    <dxf>
      <font>
        <color rgb="FFCC00CC"/>
      </font>
    </dxf>
    <dxf>
      <fill>
        <patternFill>
          <bgColor rgb="FFFF0000"/>
        </patternFill>
      </fill>
    </dxf>
    <dxf>
      <fill>
        <patternFill>
          <bgColor rgb="FFFF0000"/>
        </patternFill>
      </fill>
    </dxf>
    <dxf>
      <fill>
        <patternFill>
          <bgColor rgb="FFFF0000"/>
        </patternFill>
      </fill>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numFmt numFmtId="164" formatCode="General_)"/>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numFmt numFmtId="164" formatCode="General_)"/>
    </dxf>
    <dxf>
      <numFmt numFmtId="164" formatCode="General_)"/>
    </dxf>
    <dxf>
      <font>
        <color rgb="FF008000"/>
      </font>
      <numFmt numFmtId="15" formatCode="0.00E+00"/>
    </dxf>
    <dxf>
      <font>
        <color rgb="FFCC00CC"/>
      </font>
      <numFmt numFmtId="15" formatCode="0.00E+00"/>
    </dxf>
    <dxf>
      <font>
        <color rgb="FF008000"/>
      </font>
    </dxf>
    <dxf>
      <font>
        <color rgb="FFCC00CC"/>
      </font>
    </dxf>
    <dxf>
      <font>
        <color rgb="FFCC00CC"/>
      </font>
    </dxf>
    <dxf>
      <font>
        <color rgb="FFEAEAEA"/>
      </font>
    </dxf>
    <dxf>
      <font>
        <color rgb="FF0000FF"/>
      </font>
    </dxf>
    <dxf>
      <font>
        <color rgb="FFFF33CC"/>
      </font>
    </dxf>
    <dxf>
      <font>
        <color rgb="FF0000FF"/>
      </font>
    </dxf>
    <dxf>
      <font>
        <color rgb="FFCC00CC"/>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1.4814047868664651E-7</c:v>
                </c:pt>
                <c:pt idx="1">
                  <c:v>1.7575864413570237E-8</c:v>
                </c:pt>
                <c:pt idx="2">
                  <c:v>1.3067065018123306E-9</c:v>
                </c:pt>
                <c:pt idx="3">
                  <c:v>5.7302503712988652E-10</c:v>
                </c:pt>
                <c:pt idx="4">
                  <c:v>3.370742260506614E-10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1.3479104345056883E-7</c:v>
                </c:pt>
                <c:pt idx="1">
                  <c:v>8.8859505756944899E-8</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4.0095111733271508E-4</c:v>
                </c:pt>
                <c:pt idx="1">
                  <c:v>1.4110705277967616E-6</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5.0977161757877651E-5</c:v>
                </c:pt>
                <c:pt idx="1">
                  <c:v>1.2087707482525102E-5</c:v>
                </c:pt>
                <c:pt idx="2">
                  <c:v>1.2068240799812223E-5</c:v>
                </c:pt>
                <c:pt idx="3">
                  <c:v>1.4677466787318339E-5</c:v>
                </c:pt>
                <c:pt idx="4">
                  <c:v>1.2086490288191691E-5</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1.2088609529636293E-5</c:v>
                </c:pt>
                <c:pt idx="3">
                  <c:v>1.2067720853131519E-5</c:v>
                </c:pt>
                <c:pt idx="4">
                  <c:v>1.3006464604111069E-5</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1.0504035913089988E-5</c:v>
                </c:pt>
                <c:pt idx="1">
                  <c:v>6.7833874468674538E-7</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8.7598446529555218E-5</c:v>
                </c:pt>
                <c:pt idx="1">
                  <c:v>3.7269135953297673E-7</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1.0504035913089988E-5</c:v>
                </c:pt>
                <c:pt idx="1">
                  <c:v>6.7833874468674548E-7</c:v>
                </c:pt>
                <c:pt idx="2">
                  <c:v>4.8591710053365388E-8</c:v>
                </c:pt>
                <c:pt idx="3">
                  <c:v>4.8818518638235283E-8</c:v>
                </c:pt>
                <c:pt idx="4">
                  <c:v>7.742836603394522E-9</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5.8544018148953837E-5</c:v>
                </c:pt>
                <c:pt idx="1">
                  <c:v>3.8885510767368543E-5</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1.7136967830524104E-2</c:v>
                </c:pt>
                <c:pt idx="1">
                  <c:v>6.133956642627328E-5</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6.5405166376999611E-3</c:v>
                </c:pt>
                <c:pt idx="1">
                  <c:v>1.576359797596665E-3</c:v>
                </c:pt>
                <c:pt idx="2">
                  <c:v>1.5764774338246509E-3</c:v>
                </c:pt>
                <c:pt idx="3">
                  <c:v>1.5737533382989E-3</c:v>
                </c:pt>
                <c:pt idx="4">
                  <c:v>1.6963237729508088E-3</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15549706863.75351</c:v>
                </c:pt>
                <c:pt idx="1">
                  <c:v>294706155416.12128</c:v>
                </c:pt>
                <c:pt idx="2">
                  <c:v>195804951066444.44</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19834.485140858316</c:v>
                </c:pt>
                <c:pt idx="1">
                  <c:v>14416888.628978848</c:v>
                </c:pt>
                <c:pt idx="2">
                  <c:v>4594082.6010091798</c:v>
                </c:pt>
                <c:pt idx="3">
                  <c:v>196614703.5183045</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4853.2499357005527</c:v>
                </c:pt>
                <c:pt idx="1">
                  <c:v>4809.8135296917872</c:v>
                </c:pt>
                <c:pt idx="2">
                  <c:v>1.4314292847482936E-3</c:v>
                </c:pt>
                <c:pt idx="3">
                  <c:v>2.629383302972006</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29155.359756389829</c:v>
                </c:pt>
                <c:pt idx="1">
                  <c:v>8073409.3445704002</c:v>
                </c:pt>
                <c:pt idx="2">
                  <c:v>4457363.8350031842</c:v>
                </c:pt>
                <c:pt idx="3">
                  <c:v>4160070.8034800254</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18.458018935187482</c:v>
                </c:pt>
                <c:pt idx="1">
                  <c:v>105579.09893003883</c:v>
                </c:pt>
                <c:pt idx="2">
                  <c:v>35042335.841728583</c:v>
                </c:pt>
                <c:pt idx="3">
                  <c:v>15282183756.084309</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4853.2499357005527</c:v>
                </c:pt>
                <c:pt idx="1">
                  <c:v>4809.8135296917872</c:v>
                </c:pt>
                <c:pt idx="2">
                  <c:v>1.4314292847482936E-3</c:v>
                </c:pt>
                <c:pt idx="3">
                  <c:v>2.629383302972006</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29155.359756389829</c:v>
                </c:pt>
                <c:pt idx="1">
                  <c:v>8073409.3445704002</c:v>
                </c:pt>
                <c:pt idx="2">
                  <c:v>4457363.8350031842</c:v>
                </c:pt>
                <c:pt idx="3">
                  <c:v>4160070.8034800254</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18.458018935187482</c:v>
                </c:pt>
                <c:pt idx="1">
                  <c:v>105579.09893003883</c:v>
                </c:pt>
                <c:pt idx="2">
                  <c:v>35042335.841728583</c:v>
                </c:pt>
                <c:pt idx="3">
                  <c:v>15282183756.084309</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19750.913828623812</c:v>
                </c:pt>
                <c:pt idx="1">
                  <c:v>283883661021.60364</c:v>
                </c:pt>
                <c:pt idx="2">
                  <c:v>1517907161.0363684</c:v>
                </c:pt>
                <c:pt idx="3">
                  <c:v>26646318.010278631</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774.358168003017</c:v>
                </c:pt>
                <c:pt idx="1">
                  <c:v>1.9230303611256603</c:v>
                </c:pt>
                <c:pt idx="2">
                  <c:v>1.4702863208258701E-7</c:v>
                </c:pt>
                <c:pt idx="3">
                  <c:v>1.2081739772556849E-2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125758.68371138113</c:v>
                </c:pt>
                <c:pt idx="1">
                  <c:v>8977806002.3208752</c:v>
                </c:pt>
                <c:pt idx="2">
                  <c:v>228535677.05697003</c:v>
                </c:pt>
                <c:pt idx="3">
                  <c:v>339391.09882754902</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5.506942589822696</c:v>
                </c:pt>
                <c:pt idx="1">
                  <c:v>364497.95103256078</c:v>
                </c:pt>
                <c:pt idx="2">
                  <c:v>5694839.2510539275</c:v>
                </c:pt>
                <c:pt idx="3">
                  <c:v>65054216.394516654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3394.5795284244523</c:v>
                </c:pt>
                <c:pt idx="1">
                  <c:v>189723878481894.31</c:v>
                </c:pt>
                <c:pt idx="2">
                  <c:v>65444284137.917244</c:v>
                </c:pt>
                <c:pt idx="3">
                  <c:v>2847228.4838516181</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18.631548869811304</c:v>
                </c:pt>
                <c:pt idx="1">
                  <c:v>8.4327771452449747E-3</c:v>
                </c:pt>
                <c:pt idx="2">
                  <c:v>9.3563930228439055E-19</c:v>
                </c:pt>
                <c:pt idx="3">
                  <c:v>3.0770269768738196E-4</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168674.66160984914</c:v>
                </c:pt>
                <c:pt idx="1">
                  <c:v>6004359951773.041</c:v>
                </c:pt>
                <c:pt idx="2">
                  <c:v>9854216355.9472122</c:v>
                </c:pt>
                <c:pt idx="3">
                  <c:v>255912.59883127394</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0.18206812602295061</c:v>
                </c:pt>
                <c:pt idx="1">
                  <c:v>704488414.24902761</c:v>
                </c:pt>
                <c:pt idx="2">
                  <c:v>705733679.92275071</c:v>
                </c:pt>
                <c:pt idx="3">
                  <c:v>634959.9113878276</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774.358168003017</c:v>
                </c:pt>
                <c:pt idx="1">
                  <c:v>1.9230303611256603</c:v>
                </c:pt>
                <c:pt idx="2">
                  <c:v>1.4702863208258701E-7</c:v>
                </c:pt>
                <c:pt idx="3">
                  <c:v>1.2081739772556849E-2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125758.68371138113</c:v>
                </c:pt>
                <c:pt idx="1">
                  <c:v>8977806002.3208752</c:v>
                </c:pt>
                <c:pt idx="2">
                  <c:v>228535677.05697003</c:v>
                </c:pt>
                <c:pt idx="3">
                  <c:v>339391.09882754902</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5.506942589822696</c:v>
                </c:pt>
                <c:pt idx="1">
                  <c:v>364497.95103256078</c:v>
                </c:pt>
                <c:pt idx="2">
                  <c:v>5694839.2510539275</c:v>
                </c:pt>
                <c:pt idx="3">
                  <c:v>65054216.394516654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18.631548869811304</c:v>
                </c:pt>
                <c:pt idx="1">
                  <c:v>8.4327771452449747E-3</c:v>
                </c:pt>
                <c:pt idx="2">
                  <c:v>9.3563930228439055E-19</c:v>
                </c:pt>
                <c:pt idx="3">
                  <c:v>3.0770269768738196E-4</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168674.66160984914</c:v>
                </c:pt>
                <c:pt idx="1">
                  <c:v>6004359951773.041</c:v>
                </c:pt>
                <c:pt idx="2">
                  <c:v>9854216355.9472122</c:v>
                </c:pt>
                <c:pt idx="3">
                  <c:v>255912.59883127394</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0.18206812602295061</c:v>
                </c:pt>
                <c:pt idx="1">
                  <c:v>704488414.24902761</c:v>
                </c:pt>
                <c:pt idx="2">
                  <c:v>705733679.92275071</c:v>
                </c:pt>
                <c:pt idx="3">
                  <c:v>634959.9113878276</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53861.552851883891</c:v>
                </c:pt>
                <c:pt idx="1">
                  <c:v>146289.46265059779</c:v>
                </c:pt>
                <c:pt idx="2" formatCode="0.00E+00">
                  <c:v>172088.05475526943</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22600686.886008978</c:v>
                </c:pt>
                <c:pt idx="1">
                  <c:v>292861831523.79858</c:v>
                </c:pt>
                <c:pt idx="2">
                  <c:v>195728942922081.63</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44093782.279172376</c:v>
                </c:pt>
                <c:pt idx="1">
                  <c:v>1752137677.3443925</c:v>
                </c:pt>
                <c:pt idx="2">
                  <c:v>76004234173.787201</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15482958533.035475</c:v>
                </c:pt>
                <c:pt idx="1">
                  <c:v>92039925.515704587</c:v>
                </c:pt>
                <c:pt idx="2">
                  <c:v>3738100.9943784224</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215645509.2334334</c:v>
                </c:pt>
                <c:pt idx="1">
                  <c:v>285428234251.56409</c:v>
                </c:pt>
                <c:pt idx="2">
                  <c:v>189789325616655.31</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9665.6942801245968</c:v>
                </c:pt>
                <c:pt idx="1">
                  <c:v>776.29328025094401</c:v>
                </c:pt>
                <c:pt idx="2">
                  <c:v>18.640289349654239</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16719999.342810001</c:v>
                </c:pt>
                <c:pt idx="1">
                  <c:v>9206806829.1603832</c:v>
                </c:pt>
                <c:pt idx="2">
                  <c:v>6014214592716.249</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15317331689.482986</c:v>
                </c:pt>
                <c:pt idx="1">
                  <c:v>71113559.103545725</c:v>
                </c:pt>
                <c:pt idx="2">
                  <c:v>1410857054.2652345</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9665.6942801245968</c:v>
                </c:pt>
                <c:pt idx="1">
                  <c:v>776.29328025094401</c:v>
                </c:pt>
                <c:pt idx="2">
                  <c:v>18.640289349654239</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16719999.342810001</c:v>
                </c:pt>
                <c:pt idx="1">
                  <c:v>9206806829.1603832</c:v>
                </c:pt>
                <c:pt idx="2">
                  <c:v>6014214592716.249</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15317331689.482986</c:v>
                </c:pt>
                <c:pt idx="1">
                  <c:v>71113559.103545725</c:v>
                </c:pt>
                <c:pt idx="2">
                  <c:v>1410857054.2652345</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53861.552851883891</c:v>
                </c:pt>
                <c:pt idx="1">
                  <c:v>22600686.886008978</c:v>
                </c:pt>
                <c:pt idx="2">
                  <c:v>44093782.279172376</c:v>
                </c:pt>
                <c:pt idx="3">
                  <c:v>15482958533.035475</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146289.46265059779</c:v>
                </c:pt>
                <c:pt idx="1">
                  <c:v>292861831523.79858</c:v>
                </c:pt>
                <c:pt idx="2">
                  <c:v>1752137677.3443925</c:v>
                </c:pt>
                <c:pt idx="3">
                  <c:v>92039925.515704587</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172088.05475526943</c:v>
                </c:pt>
                <c:pt idx="1">
                  <c:v>195728942922081.63</c:v>
                </c:pt>
                <c:pt idx="2">
                  <c:v>76004234173.787201</c:v>
                </c:pt>
                <c:pt idx="3">
                  <c:v>3738100.9943784224</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9665.6942801245968</c:v>
                </c:pt>
                <c:pt idx="1">
                  <c:v>16719999.342810001</c:v>
                </c:pt>
                <c:pt idx="2">
                  <c:v>15317331689.482986</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776.29328025094401</c:v>
                </c:pt>
                <c:pt idx="1">
                  <c:v>9206806829.1603832</c:v>
                </c:pt>
                <c:pt idx="2">
                  <c:v>71113559.103545725</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18.640289349654239</c:v>
                </c:pt>
                <c:pt idx="1">
                  <c:v>6014214592716.249</c:v>
                </c:pt>
                <c:pt idx="2">
                  <c:v>1410857054.2652345</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4853.2499357005527</c:v>
                </c:pt>
                <c:pt idx="1">
                  <c:v>29155.359756389829</c:v>
                </c:pt>
                <c:pt idx="2">
                  <c:v>18.458018935187482</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4809.8135296917872</c:v>
                </c:pt>
                <c:pt idx="1">
                  <c:v>8073409.3445704002</c:v>
                </c:pt>
                <c:pt idx="2">
                  <c:v>105579.09893003883</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1.4314292847482936E-3</c:v>
                </c:pt>
                <c:pt idx="1">
                  <c:v>4457363.8350031842</c:v>
                </c:pt>
                <c:pt idx="2">
                  <c:v>35042335.841728583</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2.629383302972006</c:v>
                </c:pt>
                <c:pt idx="1">
                  <c:v>4160070.8034800254</c:v>
                </c:pt>
                <c:pt idx="2">
                  <c:v>15282183756.084309</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18.631548869811304</c:v>
                </c:pt>
                <c:pt idx="1">
                  <c:v>168674.66160984914</c:v>
                </c:pt>
                <c:pt idx="2">
                  <c:v>0.18206812602295061</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8.4327771452449747E-3</c:v>
                </c:pt>
                <c:pt idx="1">
                  <c:v>6004359951773.041</c:v>
                </c:pt>
                <c:pt idx="2">
                  <c:v>704488414.24902761</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9.3563930228439055E-19</c:v>
                </c:pt>
                <c:pt idx="1">
                  <c:v>9854216355.9472122</c:v>
                </c:pt>
                <c:pt idx="2">
                  <c:v>705733679.92275071</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3.0770269768738196E-4</c:v>
                </c:pt>
                <c:pt idx="1">
                  <c:v>255912.59883127394</c:v>
                </c:pt>
                <c:pt idx="2">
                  <c:v>634959.9113878276</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774.358168003017</c:v>
                </c:pt>
                <c:pt idx="1">
                  <c:v>125758.68371138113</c:v>
                </c:pt>
                <c:pt idx="2">
                  <c:v>5.506942589822696</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1.9230303611256603</c:v>
                </c:pt>
                <c:pt idx="1">
                  <c:v>8977806002.3208752</c:v>
                </c:pt>
                <c:pt idx="2">
                  <c:v>364497.95103256078</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1.4702863208258701E-7</c:v>
                </c:pt>
                <c:pt idx="1">
                  <c:v>228535677.05697003</c:v>
                </c:pt>
                <c:pt idx="2">
                  <c:v>5694839.2510539275</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1.2081739772556849E-2</c:v>
                </c:pt>
                <c:pt idx="1">
                  <c:v>339391.09882754902</c:v>
                </c:pt>
                <c:pt idx="2">
                  <c:v>65054216.394516654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47433019688620.875</c:v>
                </c:pt>
                <c:pt idx="1">
                  <c:v>31403303735471.875</c:v>
                </c:pt>
                <c:pt idx="2">
                  <c:v>116968627642351.69</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008904" y="195543"/>
          <a:ext cx="2701739"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(4.01-nano)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9816149" y="7412521"/>
          <a:ext cx="314325" cy="1822174"/>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9787574" y="17498253"/>
          <a:ext cx="314325" cy="1822174"/>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9758999" y="26784300"/>
          <a:ext cx="314325" cy="1793599"/>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176028" y="815009"/>
          <a:ext cx="10979840" cy="6142382"/>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176028" y="10754139"/>
          <a:ext cx="10979840" cy="6142383"/>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9987599" y="20763672"/>
          <a:ext cx="3864251" cy="5418896"/>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4261425" y="20763672"/>
          <a:ext cx="3864251" cy="5418896"/>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8535251" y="20763672"/>
          <a:ext cx="3922229" cy="5418896"/>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50"/>
  <sheetViews>
    <sheetView topLeftCell="A13" zoomScaleNormal="100" workbookViewId="0">
      <selection activeCell="C32" sqref="C32"/>
    </sheetView>
  </sheetViews>
  <sheetFormatPr defaultColWidth="9.140625" defaultRowHeight="12.75" customHeight="1" x14ac:dyDescent="0.2"/>
  <cols>
    <col min="1" max="1" width="3.5703125" style="2" customWidth="1" collapsed="1"/>
    <col min="2" max="2" width="15.7109375" style="2" customWidth="1" collapsed="1"/>
    <col min="3" max="3" width="10.85546875" style="2" customWidth="1" collapsed="1"/>
    <col min="4" max="16" width="11.7109375" style="2" customWidth="1" collapsed="1"/>
    <col min="17" max="16384" width="9.140625" style="2" collapsed="1"/>
  </cols>
  <sheetData>
    <row r="2" spans="2:23" ht="12.75" customHeight="1" x14ac:dyDescent="0.25">
      <c r="B2" s="1" t="s">
        <v>0</v>
      </c>
    </row>
    <row r="3" spans="2:23" ht="12.75" customHeight="1" x14ac:dyDescent="0.2">
      <c r="B3" s="691" t="str">
        <f>C25</f>
        <v>vs 4.02-nano</v>
      </c>
      <c r="C3" s="692">
        <f>B25</f>
        <v>44497</v>
      </c>
      <c r="E3" s="16"/>
      <c r="F3" s="3"/>
    </row>
    <row r="4" spans="2:23" ht="12.75" customHeight="1" x14ac:dyDescent="0.2">
      <c r="B4" s="693" t="s">
        <v>1</v>
      </c>
      <c r="C4" s="279"/>
    </row>
    <row r="5" spans="2:23" ht="12.75" customHeight="1" x14ac:dyDescent="0.2">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2">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2">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2">
      <c r="B8" s="2" t="s">
        <v>4</v>
      </c>
      <c r="O8" s="240"/>
    </row>
    <row r="9" spans="2:23" ht="12.75" customHeight="1" x14ac:dyDescent="0.2">
      <c r="B9" s="2" t="s">
        <v>5</v>
      </c>
      <c r="O9" s="240"/>
    </row>
    <row r="10" spans="2:23" ht="12.75" customHeight="1" x14ac:dyDescent="0.2">
      <c r="B10" s="700" t="s">
        <v>6</v>
      </c>
      <c r="D10" s="693"/>
      <c r="O10" s="240"/>
    </row>
    <row r="11" spans="2:23" ht="12.75" customHeight="1" x14ac:dyDescent="0.2">
      <c r="O11" s="240"/>
    </row>
    <row r="12" spans="2:23" ht="12.75" customHeight="1" x14ac:dyDescent="0.2">
      <c r="O12" s="240"/>
    </row>
    <row r="13" spans="2:23" ht="12.75" customHeight="1" x14ac:dyDescent="0.2">
      <c r="B13" s="3" t="s">
        <v>7</v>
      </c>
      <c r="O13" s="240"/>
    </row>
    <row r="14" spans="2:23" ht="12.75" customHeight="1" x14ac:dyDescent="0.2">
      <c r="B14" s="17" t="s">
        <v>8</v>
      </c>
      <c r="O14" s="240"/>
    </row>
    <row r="15" spans="2:23" ht="12.75" customHeight="1" x14ac:dyDescent="0.2">
      <c r="B15" s="17" t="s">
        <v>9</v>
      </c>
      <c r="O15" s="240"/>
    </row>
    <row r="16" spans="2:23" ht="12.75" customHeight="1" x14ac:dyDescent="0.2">
      <c r="B16" s="17" t="s">
        <v>10</v>
      </c>
      <c r="C16" s="695"/>
      <c r="D16" s="695"/>
      <c r="E16" s="695"/>
      <c r="F16" s="695"/>
      <c r="G16" s="695"/>
      <c r="H16" s="695"/>
      <c r="I16" s="695"/>
      <c r="J16" s="695"/>
      <c r="O16" s="240"/>
    </row>
    <row r="17" spans="2:15" ht="12.75" customHeight="1" x14ac:dyDescent="0.2">
      <c r="B17" s="3" t="s">
        <v>11</v>
      </c>
      <c r="O17" s="240"/>
    </row>
    <row r="18" spans="2:15" ht="12.75" customHeight="1" x14ac:dyDescent="0.2">
      <c r="B18" s="17" t="s">
        <v>12</v>
      </c>
      <c r="C18" s="694"/>
      <c r="D18" s="694"/>
      <c r="E18" s="694"/>
      <c r="F18" s="694"/>
      <c r="G18" s="694"/>
      <c r="H18" s="694"/>
      <c r="I18" s="694"/>
      <c r="J18" s="694"/>
      <c r="O18" s="240"/>
    </row>
    <row r="19" spans="2:15" ht="12.75" customHeight="1" x14ac:dyDescent="0.2">
      <c r="B19" s="17" t="s">
        <v>13</v>
      </c>
      <c r="C19" s="695"/>
      <c r="D19" s="695"/>
      <c r="E19" s="695"/>
      <c r="F19" s="695"/>
      <c r="G19" s="695"/>
      <c r="H19" s="695"/>
      <c r="I19" s="695"/>
      <c r="J19" s="695"/>
      <c r="O19" s="240"/>
    </row>
    <row r="20" spans="2:15" ht="12.75" customHeight="1" x14ac:dyDescent="0.2">
      <c r="B20" s="17" t="s">
        <v>14</v>
      </c>
      <c r="O20" s="240"/>
    </row>
    <row r="21" spans="2:15" ht="12.75" customHeight="1" x14ac:dyDescent="0.2">
      <c r="B21" s="17" t="s">
        <v>15</v>
      </c>
      <c r="O21" s="240"/>
    </row>
    <row r="22" spans="2:15" ht="12.75" customHeight="1" x14ac:dyDescent="0.2">
      <c r="B22" s="2" t="s">
        <v>16</v>
      </c>
      <c r="O22" s="240"/>
    </row>
    <row r="23" spans="2:15" ht="12.75" customHeight="1" x14ac:dyDescent="0.2">
      <c r="O23" s="240"/>
    </row>
    <row r="24" spans="2:15" ht="12.75" customHeight="1" x14ac:dyDescent="0.2">
      <c r="B24" s="3" t="s">
        <v>17</v>
      </c>
      <c r="O24" s="240"/>
    </row>
    <row r="25" spans="2:15" ht="12.75" customHeight="1" x14ac:dyDescent="0.2">
      <c r="B25" s="946">
        <v>44497</v>
      </c>
      <c r="C25" s="2" t="s">
        <v>18</v>
      </c>
      <c r="D25" s="141" t="s">
        <v>19</v>
      </c>
      <c r="O25" s="240"/>
    </row>
    <row r="26" spans="2:15" ht="12.75" customHeight="1" x14ac:dyDescent="0.2">
      <c r="B26" s="946"/>
      <c r="D26" s="141" t="s">
        <v>20</v>
      </c>
      <c r="O26" s="240"/>
    </row>
    <row r="27" spans="2:15" ht="12.75" customHeight="1" x14ac:dyDescent="0.2">
      <c r="B27" s="946"/>
      <c r="D27" s="141" t="s">
        <v>21</v>
      </c>
      <c r="O27" s="240"/>
    </row>
    <row r="28" spans="2:15" ht="12.75" customHeight="1" x14ac:dyDescent="0.2">
      <c r="B28" s="946"/>
      <c r="D28" s="141" t="s">
        <v>22</v>
      </c>
      <c r="O28" s="240"/>
    </row>
    <row r="29" spans="2:15" ht="12.75" customHeight="1" x14ac:dyDescent="0.2">
      <c r="B29" s="946"/>
      <c r="D29" s="141" t="s">
        <v>23</v>
      </c>
      <c r="O29" s="240"/>
    </row>
    <row r="30" spans="2:15" ht="12.75" customHeight="1" x14ac:dyDescent="0.2">
      <c r="B30" s="946"/>
      <c r="D30" s="141" t="s">
        <v>24</v>
      </c>
      <c r="O30" s="240"/>
    </row>
    <row r="31" spans="2:15" ht="12.75" customHeight="1" x14ac:dyDescent="0.2">
      <c r="B31" s="946"/>
      <c r="D31" s="141" t="s">
        <v>25</v>
      </c>
      <c r="O31" s="240"/>
    </row>
    <row r="32" spans="2:15" ht="12.75" customHeight="1" x14ac:dyDescent="0.2">
      <c r="B32" s="946"/>
      <c r="D32" s="141" t="s">
        <v>26</v>
      </c>
      <c r="O32" s="240"/>
    </row>
    <row r="33" spans="2:18" ht="12.75" customHeight="1" x14ac:dyDescent="0.2">
      <c r="B33" s="946"/>
      <c r="D33" s="141" t="s">
        <v>4725</v>
      </c>
      <c r="O33" s="240"/>
    </row>
    <row r="34" spans="2:18" ht="12.75" customHeight="1" x14ac:dyDescent="0.2">
      <c r="B34" s="946"/>
      <c r="D34" s="950" t="s">
        <v>27</v>
      </c>
      <c r="O34" s="240"/>
    </row>
    <row r="35" spans="2:18" ht="12.75" customHeight="1" x14ac:dyDescent="0.2">
      <c r="B35" s="946"/>
      <c r="D35" s="950" t="s">
        <v>28</v>
      </c>
      <c r="O35" s="240"/>
    </row>
    <row r="36" spans="2:18" s="141" customFormat="1" ht="12.75" customHeight="1" x14ac:dyDescent="0.2">
      <c r="B36" s="945">
        <v>44266</v>
      </c>
      <c r="C36" s="141" t="s">
        <v>29</v>
      </c>
      <c r="D36" s="141" t="s">
        <v>30</v>
      </c>
      <c r="O36" s="943"/>
    </row>
    <row r="37" spans="2:18" s="141" customFormat="1" ht="12.75" customHeight="1" x14ac:dyDescent="0.2">
      <c r="B37" s="945"/>
      <c r="D37" s="141" t="s">
        <v>31</v>
      </c>
      <c r="O37" s="943"/>
    </row>
    <row r="38" spans="2:18" ht="12.75" customHeight="1" x14ac:dyDescent="0.2">
      <c r="B38" s="849">
        <v>44139</v>
      </c>
      <c r="C38" s="17" t="s">
        <v>29</v>
      </c>
      <c r="D38" s="17" t="s">
        <v>32</v>
      </c>
      <c r="N38" s="141"/>
      <c r="O38" s="240"/>
      <c r="Q38" s="17"/>
    </row>
    <row r="39" spans="2:18" ht="12.75" customHeight="1" x14ac:dyDescent="0.2">
      <c r="B39" s="849">
        <v>44074</v>
      </c>
      <c r="C39" s="17" t="s">
        <v>29</v>
      </c>
      <c r="D39" s="17" t="s">
        <v>33</v>
      </c>
      <c r="N39" s="141"/>
      <c r="O39" s="240"/>
      <c r="Q39" s="17"/>
    </row>
    <row r="40" spans="2:18" ht="12.75" customHeight="1" x14ac:dyDescent="0.2">
      <c r="B40" s="849">
        <v>43738</v>
      </c>
      <c r="C40" s="17" t="s">
        <v>29</v>
      </c>
      <c r="D40" s="17" t="s">
        <v>34</v>
      </c>
      <c r="N40" s="141"/>
      <c r="O40" s="240"/>
      <c r="Q40" s="17"/>
    </row>
    <row r="41" spans="2:18" ht="12.75" customHeight="1" x14ac:dyDescent="0.2">
      <c r="B41" s="849">
        <v>43707</v>
      </c>
      <c r="C41" s="17" t="s">
        <v>29</v>
      </c>
      <c r="D41" s="17" t="s">
        <v>35</v>
      </c>
      <c r="N41" s="141"/>
      <c r="O41" s="240"/>
      <c r="Q41" s="17"/>
    </row>
    <row r="42" spans="2:18" ht="12.75" customHeight="1" x14ac:dyDescent="0.2">
      <c r="B42" s="849">
        <v>43601</v>
      </c>
      <c r="C42" s="17" t="s">
        <v>36</v>
      </c>
      <c r="D42" s="17" t="s">
        <v>37</v>
      </c>
      <c r="N42" s="141"/>
      <c r="O42" s="240"/>
      <c r="Q42" s="17"/>
    </row>
    <row r="43" spans="2:18" ht="12.75" customHeight="1" x14ac:dyDescent="0.2">
      <c r="B43" s="849">
        <v>43482</v>
      </c>
      <c r="C43" s="17" t="s">
        <v>36</v>
      </c>
      <c r="D43" s="17" t="s">
        <v>38</v>
      </c>
      <c r="N43" s="141"/>
      <c r="O43" s="240"/>
      <c r="Q43" s="17" t="s">
        <v>39</v>
      </c>
    </row>
    <row r="44" spans="2:18" ht="12.75" customHeight="1" x14ac:dyDescent="0.2">
      <c r="B44" s="849">
        <v>43406</v>
      </c>
      <c r="C44" s="17" t="s">
        <v>36</v>
      </c>
      <c r="D44" s="17" t="s">
        <v>40</v>
      </c>
      <c r="O44" s="240"/>
      <c r="R44" s="17" t="s">
        <v>41</v>
      </c>
    </row>
    <row r="45" spans="2:18" ht="12.75" customHeight="1" x14ac:dyDescent="0.2">
      <c r="B45" s="780">
        <v>43178</v>
      </c>
      <c r="C45" s="17" t="s">
        <v>36</v>
      </c>
      <c r="D45" s="17" t="s">
        <v>42</v>
      </c>
      <c r="O45" s="240"/>
      <c r="R45" s="17" t="s">
        <v>43</v>
      </c>
    </row>
    <row r="46" spans="2:18" ht="12.75" customHeight="1" x14ac:dyDescent="0.2">
      <c r="B46" s="780">
        <v>42703</v>
      </c>
      <c r="C46" s="17" t="s">
        <v>36</v>
      </c>
      <c r="D46" s="17" t="s">
        <v>44</v>
      </c>
      <c r="O46" s="240"/>
      <c r="R46" s="17" t="s">
        <v>45</v>
      </c>
    </row>
    <row r="47" spans="2:18" ht="12.75" customHeight="1" x14ac:dyDescent="0.2">
      <c r="B47" s="780">
        <v>42450</v>
      </c>
      <c r="C47" s="17" t="s">
        <v>36</v>
      </c>
      <c r="D47" s="17" t="s">
        <v>46</v>
      </c>
      <c r="O47" s="240"/>
    </row>
    <row r="48" spans="2:18" ht="12.75" customHeight="1" x14ac:dyDescent="0.2">
      <c r="B48" s="740">
        <v>42094</v>
      </c>
      <c r="C48" s="17" t="s">
        <v>47</v>
      </c>
      <c r="D48" s="17" t="s">
        <v>48</v>
      </c>
      <c r="O48" s="240"/>
    </row>
    <row r="49" spans="2:15" ht="12.75" customHeight="1" x14ac:dyDescent="0.2">
      <c r="B49" s="850">
        <v>41804</v>
      </c>
      <c r="C49" s="17" t="s">
        <v>49</v>
      </c>
      <c r="D49" s="17" t="s">
        <v>50</v>
      </c>
      <c r="O49" s="240"/>
    </row>
    <row r="50" spans="2:15" ht="12.75" customHeight="1" x14ac:dyDescent="0.2">
      <c r="B50" s="850">
        <v>38152</v>
      </c>
      <c r="C50" s="2" t="s">
        <v>51</v>
      </c>
      <c r="D50" s="2" t="s">
        <v>52</v>
      </c>
      <c r="O50" s="240"/>
    </row>
    <row r="51" spans="2:15" ht="12.75" customHeight="1" x14ac:dyDescent="0.2">
      <c r="B51" s="850">
        <v>35462</v>
      </c>
      <c r="C51" s="2" t="s">
        <v>53</v>
      </c>
      <c r="D51" s="2" t="s">
        <v>54</v>
      </c>
      <c r="O51" s="240"/>
    </row>
    <row r="52" spans="2:15" ht="12.75" customHeight="1" x14ac:dyDescent="0.2">
      <c r="B52" s="850">
        <v>34182</v>
      </c>
      <c r="C52" s="2" t="s">
        <v>55</v>
      </c>
      <c r="D52" s="2" t="s">
        <v>56</v>
      </c>
      <c r="O52" s="240"/>
    </row>
    <row r="53" spans="2:15" ht="12.75" customHeight="1" x14ac:dyDescent="0.2">
      <c r="B53" s="3"/>
      <c r="O53" s="240"/>
    </row>
    <row r="54" spans="2:15" ht="12.75" customHeight="1" x14ac:dyDescent="0.2">
      <c r="O54" s="240"/>
    </row>
    <row r="55" spans="2:15" ht="12.75" customHeight="1" x14ac:dyDescent="0.2">
      <c r="B55" s="30"/>
      <c r="C55" s="17"/>
      <c r="O55" s="240"/>
    </row>
    <row r="56" spans="2:15" ht="12.75" customHeight="1" x14ac:dyDescent="0.2">
      <c r="B56" s="30"/>
      <c r="C56" s="17"/>
      <c r="D56" s="17"/>
      <c r="E56" s="17"/>
      <c r="F56" s="17"/>
      <c r="G56" s="17"/>
      <c r="H56" s="17"/>
      <c r="I56" s="17"/>
      <c r="J56" s="17"/>
      <c r="O56" s="240"/>
    </row>
    <row r="57" spans="2:15" ht="12.75" customHeight="1" x14ac:dyDescent="0.2">
      <c r="B57" s="30"/>
      <c r="C57" s="17"/>
      <c r="D57" s="31"/>
      <c r="E57" s="17"/>
      <c r="F57" s="17"/>
      <c r="G57" s="17"/>
      <c r="H57" s="17"/>
      <c r="I57" s="17"/>
      <c r="J57" s="17"/>
      <c r="K57" s="17"/>
      <c r="L57" s="17"/>
      <c r="M57" s="17"/>
      <c r="N57" s="31"/>
    </row>
    <row r="58" spans="2:15" ht="12.75" customHeight="1" x14ac:dyDescent="0.2">
      <c r="B58" s="30"/>
      <c r="C58" s="17"/>
      <c r="D58" s="17"/>
      <c r="E58" s="17"/>
      <c r="F58" s="17"/>
      <c r="G58" s="17"/>
      <c r="H58" s="17"/>
      <c r="I58" s="17"/>
      <c r="J58" s="17"/>
      <c r="K58" s="17"/>
      <c r="L58" s="17"/>
      <c r="M58" s="17"/>
      <c r="N58" s="31"/>
    </row>
    <row r="59" spans="2:15" ht="12.75" customHeight="1" x14ac:dyDescent="0.2">
      <c r="B59" s="30"/>
      <c r="C59" s="17"/>
      <c r="K59" s="17"/>
      <c r="L59" s="17"/>
      <c r="M59" s="17"/>
      <c r="N59" s="31"/>
    </row>
    <row r="60" spans="2:15" ht="12.75" customHeight="1" x14ac:dyDescent="0.2">
      <c r="B60" s="30"/>
      <c r="C60" s="17"/>
      <c r="E60" s="17"/>
      <c r="F60" s="17"/>
      <c r="G60" s="17"/>
      <c r="H60" s="17"/>
      <c r="I60" s="17"/>
      <c r="J60" s="17"/>
      <c r="K60" s="17"/>
      <c r="L60" s="17"/>
      <c r="M60" s="17"/>
      <c r="N60" s="31"/>
    </row>
    <row r="61" spans="2:15" ht="12.75" customHeight="1" x14ac:dyDescent="0.2">
      <c r="B61" s="30"/>
      <c r="C61" s="17"/>
      <c r="D61" s="17"/>
      <c r="E61" s="17"/>
      <c r="F61" s="17"/>
      <c r="G61" s="17"/>
      <c r="H61" s="17"/>
      <c r="I61" s="17"/>
      <c r="J61" s="17"/>
      <c r="K61" s="17"/>
      <c r="L61" s="17"/>
      <c r="M61" s="17"/>
      <c r="N61" s="31"/>
    </row>
    <row r="62" spans="2:15" ht="12.75" customHeight="1" x14ac:dyDescent="0.2">
      <c r="B62" s="30"/>
      <c r="C62" s="17"/>
      <c r="D62" s="17"/>
      <c r="E62" s="17"/>
      <c r="F62" s="17"/>
      <c r="G62" s="17"/>
      <c r="H62" s="17"/>
      <c r="I62" s="17"/>
      <c r="J62" s="17"/>
      <c r="K62" s="17"/>
      <c r="L62" s="17"/>
      <c r="M62" s="17"/>
      <c r="N62" s="31"/>
    </row>
    <row r="63" spans="2:15" ht="12.75" customHeight="1" x14ac:dyDescent="0.2">
      <c r="B63" s="30"/>
      <c r="C63" s="17"/>
      <c r="E63" s="17"/>
      <c r="F63" s="17"/>
      <c r="G63" s="17"/>
      <c r="H63" s="17"/>
      <c r="I63" s="17"/>
      <c r="J63" s="17"/>
      <c r="K63" s="17"/>
      <c r="L63" s="17"/>
      <c r="M63" s="17"/>
      <c r="N63" s="31"/>
    </row>
    <row r="64" spans="2:15" ht="12.75" customHeight="1" x14ac:dyDescent="0.2">
      <c r="B64" s="30"/>
      <c r="C64" s="17"/>
      <c r="E64" s="17"/>
      <c r="F64" s="17"/>
      <c r="G64" s="17"/>
      <c r="H64" s="17"/>
      <c r="I64" s="17"/>
      <c r="J64" s="17"/>
      <c r="K64" s="17"/>
      <c r="L64" s="17"/>
      <c r="M64" s="17"/>
      <c r="N64" s="17"/>
      <c r="O64" s="31"/>
    </row>
    <row r="65" spans="2:18" ht="12.75" customHeight="1" x14ac:dyDescent="0.2">
      <c r="B65" s="30"/>
      <c r="C65" s="17"/>
      <c r="E65" s="17"/>
      <c r="F65" s="17"/>
      <c r="G65" s="17"/>
      <c r="H65" s="17"/>
      <c r="I65" s="17"/>
      <c r="J65" s="17"/>
      <c r="K65" s="17"/>
      <c r="L65" s="17"/>
      <c r="M65" s="17"/>
      <c r="N65" s="17"/>
      <c r="O65" s="31"/>
    </row>
    <row r="66" spans="2:18" ht="12.75" customHeight="1" x14ac:dyDescent="0.2">
      <c r="B66" s="30"/>
      <c r="C66" s="17"/>
      <c r="D66" s="31"/>
      <c r="E66" s="17"/>
      <c r="F66" s="17"/>
      <c r="G66" s="17"/>
      <c r="H66" s="17"/>
      <c r="I66" s="17"/>
      <c r="J66" s="17"/>
      <c r="K66" s="17"/>
      <c r="L66" s="17"/>
      <c r="M66" s="17"/>
      <c r="N66" s="17"/>
      <c r="O66" s="31"/>
    </row>
    <row r="67" spans="2:18" ht="12.75" customHeight="1" x14ac:dyDescent="0.2">
      <c r="B67" s="30"/>
      <c r="C67" s="17"/>
      <c r="D67" s="31"/>
      <c r="E67" s="17"/>
      <c r="F67" s="17"/>
      <c r="G67" s="17"/>
      <c r="H67" s="17"/>
      <c r="I67" s="17"/>
      <c r="J67" s="17"/>
      <c r="K67" s="17"/>
      <c r="L67" s="17"/>
      <c r="M67" s="17"/>
      <c r="N67" s="17"/>
      <c r="O67" s="31"/>
    </row>
    <row r="68" spans="2:18" ht="12.75" customHeight="1" x14ac:dyDescent="0.2">
      <c r="B68" s="30"/>
      <c r="C68" s="17"/>
      <c r="D68" s="31"/>
      <c r="E68" s="17"/>
      <c r="F68" s="17"/>
      <c r="G68" s="17"/>
      <c r="H68" s="17"/>
      <c r="I68" s="17"/>
      <c r="J68" s="17"/>
      <c r="K68" s="17"/>
      <c r="L68" s="17"/>
      <c r="M68" s="17"/>
      <c r="N68" s="17"/>
      <c r="O68" s="31"/>
    </row>
    <row r="69" spans="2:18" ht="12.75" customHeight="1" x14ac:dyDescent="0.2">
      <c r="B69" s="30"/>
      <c r="C69" s="17"/>
      <c r="D69" s="31"/>
      <c r="E69" s="17"/>
      <c r="F69" s="17"/>
      <c r="G69" s="17"/>
      <c r="H69" s="17"/>
      <c r="I69" s="17"/>
      <c r="J69" s="17"/>
      <c r="K69" s="17"/>
      <c r="L69" s="17"/>
      <c r="M69" s="17"/>
      <c r="N69" s="17"/>
      <c r="O69" s="31"/>
    </row>
    <row r="70" spans="2:18" ht="12.75" customHeight="1" x14ac:dyDescent="0.2">
      <c r="B70" s="30"/>
      <c r="C70" s="17"/>
      <c r="D70" s="31"/>
      <c r="E70" s="17"/>
      <c r="F70" s="17"/>
      <c r="G70" s="17"/>
      <c r="H70" s="17"/>
      <c r="I70" s="17"/>
      <c r="J70" s="17"/>
      <c r="K70" s="17"/>
      <c r="L70" s="17"/>
      <c r="M70" s="17"/>
      <c r="N70" s="17"/>
      <c r="O70" s="31"/>
    </row>
    <row r="71" spans="2:18" ht="12.75" customHeight="1" x14ac:dyDescent="0.2">
      <c r="B71" s="30"/>
      <c r="C71" s="17"/>
      <c r="D71" s="146"/>
      <c r="E71" s="17"/>
      <c r="F71" s="141"/>
      <c r="G71" s="141"/>
      <c r="H71" s="141"/>
      <c r="I71" s="141"/>
      <c r="K71" s="17"/>
      <c r="L71" s="17"/>
      <c r="M71" s="17"/>
      <c r="N71" s="17"/>
      <c r="O71" s="31"/>
    </row>
    <row r="72" spans="2:18" ht="12.75" customHeight="1" x14ac:dyDescent="0.2">
      <c r="B72" s="30"/>
      <c r="C72" s="17"/>
      <c r="D72" s="17"/>
      <c r="F72" s="141"/>
      <c r="G72" s="141"/>
      <c r="H72" s="141"/>
      <c r="I72" s="141"/>
      <c r="O72" s="240"/>
      <c r="P72" s="17"/>
      <c r="Q72" s="17"/>
      <c r="R72" s="17"/>
    </row>
    <row r="73" spans="2:18" ht="12.75" customHeight="1" x14ac:dyDescent="0.2">
      <c r="B73" s="6"/>
      <c r="C73" s="17"/>
      <c r="D73" s="38"/>
      <c r="E73" s="17"/>
      <c r="F73" s="17"/>
      <c r="G73" s="17"/>
      <c r="H73" s="17"/>
      <c r="I73" s="17"/>
      <c r="J73" s="17"/>
      <c r="O73" s="240"/>
      <c r="P73" s="17"/>
      <c r="Q73" s="17"/>
      <c r="R73" s="17"/>
    </row>
    <row r="74" spans="2:18" s="17" customFormat="1" ht="12.75" customHeight="1" x14ac:dyDescent="0.2">
      <c r="B74" s="6"/>
      <c r="D74" s="31"/>
      <c r="E74" s="2"/>
      <c r="F74" s="2"/>
      <c r="G74" s="2"/>
      <c r="H74" s="2"/>
      <c r="I74" s="2"/>
      <c r="J74" s="2"/>
      <c r="O74" s="31"/>
    </row>
    <row r="75" spans="2:18" ht="12.75" customHeight="1" x14ac:dyDescent="0.2">
      <c r="D75" s="31"/>
      <c r="P75" s="17"/>
      <c r="Q75" s="17"/>
      <c r="R75" s="17"/>
    </row>
    <row r="76" spans="2:18" ht="12.75" customHeight="1" x14ac:dyDescent="0.2">
      <c r="D76" s="31"/>
      <c r="P76" s="17"/>
      <c r="Q76" s="17"/>
      <c r="R76" s="17"/>
    </row>
    <row r="77" spans="2:18" ht="12.75" customHeight="1" x14ac:dyDescent="0.2">
      <c r="D77" s="31"/>
      <c r="P77" s="17"/>
      <c r="Q77" s="17"/>
      <c r="R77" s="17"/>
    </row>
    <row r="78" spans="2:18" ht="12.75" customHeight="1" x14ac:dyDescent="0.2">
      <c r="D78" s="31"/>
      <c r="P78" s="17"/>
      <c r="Q78" s="17"/>
      <c r="R78" s="17"/>
    </row>
    <row r="79" spans="2:18" ht="12.75" customHeight="1" x14ac:dyDescent="0.2">
      <c r="D79" s="31"/>
      <c r="P79" s="17"/>
      <c r="Q79" s="17"/>
      <c r="R79" s="17"/>
    </row>
    <row r="80" spans="2:18" ht="12.75" customHeight="1" x14ac:dyDescent="0.2">
      <c r="B80" s="6"/>
      <c r="C80" s="17"/>
      <c r="D80" s="31"/>
    </row>
    <row r="81" spans="1:15" ht="12.75" customHeight="1" x14ac:dyDescent="0.2">
      <c r="D81" s="31"/>
    </row>
    <row r="82" spans="1:15" ht="12.75" customHeight="1" x14ac:dyDescent="0.2">
      <c r="B82" s="288"/>
      <c r="C82" s="141"/>
      <c r="D82" s="943"/>
      <c r="E82" s="141"/>
      <c r="F82" s="141"/>
      <c r="G82" s="141"/>
      <c r="H82" s="141"/>
      <c r="I82" s="141"/>
      <c r="J82" s="141"/>
    </row>
    <row r="83" spans="1:15" s="141" customFormat="1" ht="12.75" customHeight="1" x14ac:dyDescent="0.2">
      <c r="B83" s="288"/>
      <c r="D83" s="943"/>
    </row>
    <row r="84" spans="1:15" s="141" customFormat="1" ht="12.75" customHeight="1" x14ac:dyDescent="0.2">
      <c r="B84" s="288"/>
      <c r="D84" s="943"/>
    </row>
    <row r="85" spans="1:15" s="141" customFormat="1" ht="12.75" customHeight="1" x14ac:dyDescent="0.2">
      <c r="B85" s="288"/>
      <c r="D85" s="943"/>
    </row>
    <row r="86" spans="1:15" s="141" customFormat="1" ht="12.75" customHeight="1" x14ac:dyDescent="0.2">
      <c r="B86" s="288"/>
      <c r="D86" s="943"/>
    </row>
    <row r="87" spans="1:15" s="141" customFormat="1" ht="12.75" customHeight="1" x14ac:dyDescent="0.2">
      <c r="B87" s="2"/>
      <c r="C87" s="2"/>
      <c r="D87" s="2"/>
      <c r="E87" s="2"/>
      <c r="F87" s="2"/>
      <c r="G87" s="2"/>
      <c r="H87" s="2"/>
      <c r="I87" s="2"/>
      <c r="J87" s="2"/>
    </row>
    <row r="88" spans="1:15" s="141" customFormat="1" ht="12.75" customHeight="1" x14ac:dyDescent="0.2">
      <c r="A88" s="2"/>
      <c r="B88" s="35"/>
      <c r="C88" s="36"/>
      <c r="D88" s="34"/>
      <c r="E88" s="17"/>
      <c r="J88" s="2"/>
      <c r="K88" s="2"/>
      <c r="L88" s="2"/>
      <c r="M88" s="2"/>
      <c r="N88" s="2"/>
    </row>
    <row r="89" spans="1:15" s="141" customFormat="1" ht="12.75" customHeight="1" x14ac:dyDescent="0.2">
      <c r="A89" s="2"/>
      <c r="B89" s="35"/>
      <c r="C89" s="36"/>
      <c r="D89" s="34"/>
      <c r="E89" s="36"/>
      <c r="F89" s="36"/>
      <c r="G89" s="36"/>
      <c r="H89" s="2"/>
      <c r="I89" s="2"/>
      <c r="J89" s="2"/>
      <c r="K89" s="2"/>
      <c r="L89" s="2"/>
      <c r="M89" s="2"/>
      <c r="N89" s="2"/>
    </row>
    <row r="90" spans="1:15" ht="12.75" customHeight="1" x14ac:dyDescent="0.2">
      <c r="B90" s="35"/>
      <c r="C90" s="36"/>
      <c r="D90" s="34"/>
      <c r="E90" s="36"/>
      <c r="F90" s="36"/>
      <c r="G90" s="36"/>
    </row>
    <row r="91" spans="1:15" ht="12.75" customHeight="1" x14ac:dyDescent="0.2">
      <c r="B91" s="35"/>
      <c r="C91" s="36"/>
      <c r="D91" s="34"/>
      <c r="E91" s="36"/>
      <c r="F91" s="36"/>
      <c r="G91" s="36"/>
      <c r="O91" s="240"/>
    </row>
    <row r="92" spans="1:15" ht="12.75" customHeight="1" x14ac:dyDescent="0.2">
      <c r="B92" s="35"/>
      <c r="C92" s="36"/>
      <c r="D92" s="37"/>
      <c r="E92" s="36"/>
      <c r="F92" s="36"/>
      <c r="G92" s="36"/>
      <c r="O92" s="240"/>
    </row>
    <row r="93" spans="1:15" ht="12.75" customHeight="1" x14ac:dyDescent="0.2">
      <c r="B93" s="35"/>
      <c r="C93" s="36"/>
      <c r="D93" s="37"/>
      <c r="E93" s="36"/>
      <c r="F93" s="36"/>
      <c r="G93" s="36"/>
      <c r="O93" s="240"/>
    </row>
    <row r="94" spans="1:15" ht="12.75" customHeight="1" x14ac:dyDescent="0.2">
      <c r="B94" s="35"/>
      <c r="C94" s="36"/>
      <c r="D94" s="37"/>
      <c r="E94" s="36"/>
      <c r="F94" s="36"/>
      <c r="G94" s="36"/>
      <c r="O94" s="240"/>
    </row>
    <row r="95" spans="1:15" ht="12.75" customHeight="1" x14ac:dyDescent="0.2">
      <c r="B95" s="35"/>
      <c r="C95" s="36"/>
      <c r="D95" s="37"/>
      <c r="E95" s="36"/>
      <c r="F95" s="36"/>
      <c r="G95" s="36"/>
      <c r="O95" s="240"/>
    </row>
    <row r="96" spans="1:15" ht="12.75" customHeight="1" x14ac:dyDescent="0.2">
      <c r="B96" s="35"/>
      <c r="C96" s="36"/>
      <c r="D96" s="37"/>
      <c r="E96" s="36"/>
      <c r="F96" s="36"/>
      <c r="G96" s="36"/>
      <c r="O96" s="240"/>
    </row>
    <row r="97" spans="2:15" ht="12.75" customHeight="1" x14ac:dyDescent="0.2">
      <c r="B97" s="6"/>
      <c r="D97" s="37"/>
      <c r="E97" s="36"/>
      <c r="F97" s="36"/>
      <c r="G97" s="36"/>
      <c r="O97" s="240"/>
    </row>
    <row r="98" spans="2:15" ht="12.75" customHeight="1" x14ac:dyDescent="0.2">
      <c r="B98" s="6"/>
      <c r="D98" s="37"/>
      <c r="E98" s="36"/>
      <c r="F98" s="36"/>
      <c r="O98" s="240"/>
    </row>
    <row r="99" spans="2:15" ht="12.75" customHeight="1" x14ac:dyDescent="0.2">
      <c r="B99" s="6"/>
      <c r="D99" s="37"/>
      <c r="O99" s="240"/>
    </row>
    <row r="100" spans="2:15" ht="12.75" customHeight="1" x14ac:dyDescent="0.2">
      <c r="B100" s="6"/>
      <c r="D100" s="37"/>
      <c r="O100" s="240"/>
    </row>
    <row r="101" spans="2:15" ht="12.75" customHeight="1" x14ac:dyDescent="0.2">
      <c r="B101" s="6"/>
      <c r="D101" s="37"/>
      <c r="O101" s="240"/>
    </row>
    <row r="102" spans="2:15" ht="12.75" customHeight="1" x14ac:dyDescent="0.2">
      <c r="B102" s="6"/>
      <c r="D102" s="37"/>
      <c r="O102" s="240"/>
    </row>
    <row r="103" spans="2:15" ht="12.75" customHeight="1" x14ac:dyDescent="0.2">
      <c r="B103" s="6"/>
      <c r="E103" s="7"/>
      <c r="F103" s="7"/>
      <c r="G103" s="7"/>
      <c r="O103" s="240"/>
    </row>
    <row r="104" spans="2:15" ht="12.75" customHeight="1" x14ac:dyDescent="0.2">
      <c r="B104" s="6"/>
      <c r="D104" s="37"/>
      <c r="O104" s="240"/>
    </row>
    <row r="105" spans="2:15" ht="12.75" customHeight="1" x14ac:dyDescent="0.2">
      <c r="B105" s="6"/>
      <c r="D105" s="37"/>
      <c r="O105" s="240"/>
    </row>
    <row r="106" spans="2:15" ht="12.75" customHeight="1" x14ac:dyDescent="0.2">
      <c r="B106" s="6"/>
      <c r="E106" s="7"/>
      <c r="F106" s="7"/>
      <c r="G106" s="7"/>
      <c r="O106" s="240"/>
    </row>
    <row r="107" spans="2:15" ht="12.75" customHeight="1" x14ac:dyDescent="0.2">
      <c r="B107" s="6"/>
      <c r="E107" s="7"/>
      <c r="F107" s="7"/>
      <c r="G107" s="7"/>
      <c r="O107" s="240"/>
    </row>
    <row r="108" spans="2:15" ht="12.75" customHeight="1" x14ac:dyDescent="0.2">
      <c r="B108" s="6"/>
      <c r="E108" s="7"/>
      <c r="F108" s="7"/>
      <c r="G108" s="7"/>
      <c r="O108" s="240"/>
    </row>
    <row r="109" spans="2:15" ht="12.75" customHeight="1" x14ac:dyDescent="0.2">
      <c r="B109" s="6"/>
      <c r="O109" s="240"/>
    </row>
    <row r="110" spans="2:15" ht="12.75" customHeight="1" x14ac:dyDescent="0.2">
      <c r="B110" s="6"/>
      <c r="E110" s="7"/>
      <c r="F110" s="7"/>
      <c r="G110" s="7"/>
      <c r="O110" s="240"/>
    </row>
    <row r="111" spans="2:15" ht="12.75" customHeight="1" x14ac:dyDescent="0.2">
      <c r="B111" s="6"/>
      <c r="E111" s="7"/>
      <c r="F111" s="7"/>
      <c r="G111" s="7"/>
      <c r="O111" s="240"/>
    </row>
    <row r="112" spans="2:15" ht="12.75" customHeight="1" x14ac:dyDescent="0.2">
      <c r="O112" s="240"/>
    </row>
    <row r="113" spans="2:15" ht="12.75" customHeight="1" x14ac:dyDescent="0.2">
      <c r="O113" s="240"/>
    </row>
    <row r="114" spans="2:15" ht="12.75" customHeight="1" x14ac:dyDescent="0.2">
      <c r="B114" s="6"/>
      <c r="O114" s="240"/>
    </row>
    <row r="115" spans="2:15" ht="12.75" customHeight="1" x14ac:dyDescent="0.2">
      <c r="B115" s="6"/>
      <c r="E115" s="7"/>
      <c r="F115" s="7"/>
      <c r="G115" s="7"/>
      <c r="O115" s="240"/>
    </row>
    <row r="116" spans="2:15" ht="12.75" customHeight="1" x14ac:dyDescent="0.2">
      <c r="B116" s="6"/>
      <c r="D116" s="7"/>
      <c r="E116" s="7"/>
      <c r="F116" s="7"/>
      <c r="G116" s="7"/>
      <c r="O116" s="240"/>
    </row>
    <row r="117" spans="2:15" ht="12.75" customHeight="1" x14ac:dyDescent="0.2">
      <c r="B117" s="6"/>
      <c r="O117" s="240"/>
    </row>
    <row r="118" spans="2:15" ht="12.75" customHeight="1" x14ac:dyDescent="0.2">
      <c r="B118" s="6"/>
      <c r="D118" s="18"/>
      <c r="E118" s="7"/>
      <c r="F118" s="7"/>
      <c r="G118" s="7"/>
      <c r="O118" s="240"/>
    </row>
    <row r="119" spans="2:15" ht="12.75" customHeight="1" x14ac:dyDescent="0.2">
      <c r="B119" s="6"/>
      <c r="D119" s="7"/>
      <c r="F119" s="7"/>
      <c r="G119" s="7"/>
      <c r="O119" s="240"/>
    </row>
    <row r="120" spans="2:15" ht="12.75" customHeight="1" x14ac:dyDescent="0.2">
      <c r="B120" s="6"/>
      <c r="F120" s="7"/>
      <c r="G120" s="7"/>
      <c r="O120" s="240"/>
    </row>
    <row r="121" spans="2:15" ht="12.75" customHeight="1" x14ac:dyDescent="0.2">
      <c r="O121" s="240"/>
    </row>
    <row r="122" spans="2:15" ht="12.75" customHeight="1" x14ac:dyDescent="0.2">
      <c r="O122" s="240"/>
    </row>
    <row r="123" spans="2:15" ht="12.75" customHeight="1" x14ac:dyDescent="0.2">
      <c r="B123" s="6"/>
      <c r="G123" s="7"/>
      <c r="O123" s="240"/>
    </row>
    <row r="124" spans="2:15" ht="12.75" customHeight="1" x14ac:dyDescent="0.2">
      <c r="B124" s="6"/>
      <c r="D124" s="7"/>
      <c r="F124" s="7"/>
      <c r="G124" s="7"/>
      <c r="O124" s="240"/>
    </row>
    <row r="125" spans="2:15" ht="12.75" customHeight="1" x14ac:dyDescent="0.2">
      <c r="B125" s="6"/>
      <c r="D125" s="7"/>
      <c r="F125" s="7"/>
      <c r="G125" s="7"/>
      <c r="O125" s="240"/>
    </row>
    <row r="126" spans="2:15" ht="12.75" customHeight="1" x14ac:dyDescent="0.2">
      <c r="B126" s="6"/>
      <c r="D126" s="18"/>
      <c r="F126" s="7"/>
      <c r="G126" s="7"/>
      <c r="O126" s="240"/>
    </row>
    <row r="127" spans="2:15" ht="12.75" customHeight="1" x14ac:dyDescent="0.2">
      <c r="B127" s="6"/>
      <c r="D127" s="7"/>
      <c r="F127" s="7"/>
      <c r="O127" s="240"/>
    </row>
    <row r="128" spans="2:15" ht="12.75" customHeight="1" x14ac:dyDescent="0.2">
      <c r="B128" s="6"/>
      <c r="F128" s="7"/>
      <c r="O128" s="240"/>
    </row>
    <row r="129" spans="2:15" ht="12.75" customHeight="1" x14ac:dyDescent="0.2">
      <c r="O129" s="240"/>
    </row>
    <row r="132" spans="2:15" ht="12.75" customHeight="1" x14ac:dyDescent="0.2">
      <c r="B132" s="6"/>
    </row>
    <row r="133" spans="2:15" ht="12.75" customHeight="1" x14ac:dyDescent="0.2">
      <c r="B133" s="6"/>
      <c r="D133" s="8"/>
      <c r="O133" s="240"/>
    </row>
    <row r="134" spans="2:15" ht="12.75" customHeight="1" x14ac:dyDescent="0.2">
      <c r="B134" s="6"/>
      <c r="D134" s="8"/>
      <c r="E134" s="8"/>
    </row>
    <row r="135" spans="2:15" ht="12.75" customHeight="1" x14ac:dyDescent="0.2">
      <c r="B135" s="6"/>
      <c r="D135" s="8"/>
      <c r="E135" s="8"/>
    </row>
    <row r="136" spans="2:15" ht="12.75" customHeight="1" x14ac:dyDescent="0.2">
      <c r="B136" s="6"/>
      <c r="D136" s="8"/>
      <c r="E136" s="8"/>
    </row>
    <row r="137" spans="2:15" ht="12.75" customHeight="1" x14ac:dyDescent="0.2">
      <c r="B137" s="6"/>
      <c r="D137" s="8"/>
    </row>
    <row r="138" spans="2:15" ht="12.75" customHeight="1" x14ac:dyDescent="0.2">
      <c r="B138" s="6"/>
      <c r="D138" s="7"/>
    </row>
    <row r="139" spans="2:15" ht="12.75" customHeight="1" x14ac:dyDescent="0.2">
      <c r="B139" s="6"/>
      <c r="D139" s="7"/>
    </row>
    <row r="140" spans="2:15" ht="12.75" customHeight="1" x14ac:dyDescent="0.2">
      <c r="B140" s="6"/>
    </row>
    <row r="141" spans="2:15" ht="12.75" customHeight="1" x14ac:dyDescent="0.2">
      <c r="B141" s="6"/>
    </row>
    <row r="142" spans="2:15" ht="12.75" customHeight="1" x14ac:dyDescent="0.2">
      <c r="B142" s="6"/>
      <c r="C142" s="4"/>
    </row>
    <row r="143" spans="2:15" ht="12.75" customHeight="1" x14ac:dyDescent="0.2">
      <c r="B143" s="9"/>
    </row>
    <row r="144" spans="2:15" ht="12.75" customHeight="1" x14ac:dyDescent="0.2">
      <c r="B144" s="6"/>
    </row>
    <row r="145" spans="1:15" ht="12.75" customHeight="1" x14ac:dyDescent="0.2">
      <c r="B145" s="6"/>
      <c r="O145" s="240"/>
    </row>
    <row r="146" spans="1:15" ht="12.75" customHeight="1" x14ac:dyDescent="0.2">
      <c r="B146" s="6"/>
      <c r="O146" s="240"/>
    </row>
    <row r="147" spans="1:15" ht="12.75" customHeight="1" x14ac:dyDescent="0.2">
      <c r="B147" s="6"/>
      <c r="O147" s="240"/>
    </row>
    <row r="148" spans="1:15" ht="12.75" customHeight="1" x14ac:dyDescent="0.2">
      <c r="B148" s="6"/>
      <c r="O148" s="240"/>
    </row>
    <row r="149" spans="1:15" ht="12.75" customHeight="1" x14ac:dyDescent="0.2">
      <c r="A149" s="7"/>
      <c r="O149" s="240"/>
    </row>
    <row r="150" spans="1:15" ht="12.75" customHeight="1" x14ac:dyDescent="0.2">
      <c r="D150"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zoomScale="115" zoomScaleNormal="115" workbookViewId="0"/>
  </sheetViews>
  <sheetFormatPr defaultColWidth="9.140625" defaultRowHeight="12.75" customHeight="1" x14ac:dyDescent="0.2"/>
  <cols>
    <col min="1" max="1" width="2.5703125" style="26" customWidth="1" collapsed="1"/>
    <col min="2" max="2" width="45.42578125" style="26" customWidth="1" collapsed="1"/>
    <col min="3" max="3" width="12.5703125" style="29" customWidth="1" collapsed="1"/>
    <col min="4" max="12" width="8.7109375" style="29" customWidth="1" collapsed="1"/>
    <col min="13" max="14" width="8.7109375" style="23" customWidth="1" collapsed="1"/>
    <col min="15" max="15" width="13.140625" style="23" customWidth="1" collapsed="1"/>
    <col min="16" max="17" width="8.7109375" style="23" customWidth="1" collapsed="1"/>
    <col min="18" max="23" width="8.7109375" style="29" customWidth="1" collapsed="1"/>
    <col min="24" max="26" width="3.7109375" style="26" customWidth="1" collapsed="1"/>
    <col min="27" max="27" width="21" style="26" customWidth="1" collapsed="1"/>
    <col min="28" max="32" width="10.7109375" style="26" customWidth="1" collapsed="1"/>
    <col min="33" max="33" width="10.7109375" style="26" customWidth="1"/>
    <col min="34" max="42" width="10.7109375" style="26" customWidth="1" collapsed="1"/>
    <col min="43" max="43" width="3.28515625" style="26" customWidth="1" collapsed="1"/>
    <col min="44" max="44" width="3.7109375" style="26" customWidth="1" collapsed="1"/>
    <col min="45" max="45" width="4" style="26" hidden="1" customWidth="1" collapsed="1"/>
    <col min="46" max="46" width="25.85546875" style="26" hidden="1" customWidth="1" collapsed="1"/>
    <col min="47" max="62" width="0" style="26" hidden="1" customWidth="1" collapsed="1"/>
    <col min="63" max="63" width="3.5703125" style="26" hidden="1" customWidth="1" collapsed="1"/>
    <col min="64" max="64" width="0" style="26" hidden="1" customWidth="1" collapsed="1"/>
    <col min="65" max="65" width="3.28515625" style="26" customWidth="1" collapsed="1"/>
    <col min="66" max="82" width="10.7109375" style="26" customWidth="1" collapsed="1"/>
    <col min="83" max="83" width="11.5703125" style="26" customWidth="1" collapsed="1"/>
    <col min="84" max="84" width="9.140625" style="26"/>
    <col min="85" max="16384" width="9.140625" style="26" collapsed="1"/>
  </cols>
  <sheetData>
    <row r="1" spans="1:83" ht="12.75" customHeight="1" x14ac:dyDescent="0.2">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25">
      <c r="A2" s="17"/>
      <c r="B2" s="47" t="s">
        <v>57</v>
      </c>
      <c r="C2" s="38"/>
      <c r="D2" s="38"/>
      <c r="E2" s="38"/>
      <c r="F2" s="38"/>
      <c r="G2" s="38"/>
      <c r="H2" s="38"/>
      <c r="I2" s="38"/>
      <c r="J2" s="38"/>
      <c r="K2" s="38"/>
      <c r="L2" s="38"/>
      <c r="M2" s="38"/>
      <c r="N2" s="38"/>
      <c r="O2" s="38"/>
      <c r="P2" s="38"/>
      <c r="Q2" s="38"/>
      <c r="R2" s="38"/>
      <c r="S2" s="38"/>
      <c r="T2" s="38"/>
      <c r="U2" s="38"/>
      <c r="V2" s="38"/>
      <c r="W2" s="38"/>
      <c r="X2" s="17"/>
      <c r="Y2" s="156"/>
      <c r="Z2" s="17"/>
      <c r="AA2" s="47" t="s">
        <v>58</v>
      </c>
      <c r="AB2" s="17"/>
      <c r="AC2" s="17"/>
      <c r="AD2" s="17"/>
      <c r="AE2" s="17"/>
      <c r="AF2" s="17"/>
      <c r="AG2" s="17"/>
      <c r="AH2" s="17"/>
      <c r="AI2" s="17"/>
      <c r="AJ2" s="17"/>
      <c r="AK2" s="17"/>
      <c r="AL2" s="17"/>
      <c r="AM2" s="17"/>
      <c r="AN2" s="17"/>
      <c r="AO2" s="17"/>
      <c r="AP2" s="17"/>
      <c r="AQ2" s="17"/>
      <c r="AR2" s="46"/>
      <c r="AS2" s="2"/>
      <c r="AT2" s="47" t="s">
        <v>59</v>
      </c>
      <c r="AU2" s="2"/>
      <c r="AV2" s="2"/>
      <c r="AW2" s="2"/>
      <c r="AX2" s="2"/>
      <c r="AY2" s="2"/>
      <c r="AZ2" s="2"/>
      <c r="BA2" s="2"/>
      <c r="BB2" s="2"/>
      <c r="BC2" s="2"/>
      <c r="BD2" s="2"/>
      <c r="BE2" s="2"/>
      <c r="BF2" s="2"/>
      <c r="BG2" s="2"/>
      <c r="BH2" s="2"/>
      <c r="BI2" s="2"/>
      <c r="BJ2" s="2"/>
      <c r="BK2" s="2"/>
      <c r="BL2" s="46"/>
      <c r="BM2" s="2"/>
      <c r="BN2" s="47" t="s">
        <v>60</v>
      </c>
      <c r="BO2" s="2"/>
      <c r="BP2" s="2"/>
      <c r="BQ2" s="2"/>
      <c r="BR2" s="2"/>
      <c r="BS2" s="215"/>
      <c r="BT2" s="2" t="s">
        <v>61</v>
      </c>
      <c r="BU2" s="111" t="str">
        <f>ChemName</f>
        <v>nTiO2_10nm</v>
      </c>
      <c r="BV2" s="2"/>
      <c r="BW2" s="2" t="s">
        <v>62</v>
      </c>
      <c r="BX2" s="2" t="str">
        <f>CONCATENATE(version!$B$2," ",version!$B$3," ",version!$C$3)</f>
        <v>SimpleBox4nano vs 4.02-nano 44497</v>
      </c>
      <c r="BY2" s="2"/>
      <c r="BZ2" s="2"/>
      <c r="CA2" s="2"/>
      <c r="CB2" s="2"/>
      <c r="CC2" s="2"/>
      <c r="CD2" s="2"/>
      <c r="CE2" s="2"/>
    </row>
    <row r="3" spans="1:83" ht="12.75" customHeight="1" x14ac:dyDescent="0.2">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63</v>
      </c>
      <c r="BO3" s="2"/>
      <c r="BP3" s="2"/>
      <c r="BQ3" s="2"/>
      <c r="BR3" s="2"/>
      <c r="BS3" s="215"/>
      <c r="BT3" s="2"/>
      <c r="BU3" s="45"/>
      <c r="BV3" s="2"/>
      <c r="BW3" s="2" t="s">
        <v>64</v>
      </c>
      <c r="BX3" s="6">
        <f ca="1">TODAY()</f>
        <v>45336</v>
      </c>
      <c r="BY3" s="2"/>
      <c r="BZ3" s="2"/>
      <c r="CA3" s="2"/>
      <c r="CB3" s="2"/>
      <c r="CC3" s="2"/>
      <c r="CD3" s="2"/>
      <c r="CE3" s="2"/>
    </row>
    <row r="4" spans="1:83" ht="12.75" customHeight="1" x14ac:dyDescent="0.2">
      <c r="A4" s="17"/>
      <c r="B4" s="21" t="s">
        <v>62</v>
      </c>
      <c r="C4" s="38" t="str">
        <f>CONCATENATE(version!$B$2," ",version!$B$3," ",version!$C$3)</f>
        <v>SimpleBox4nano vs 4.02-nano 44497</v>
      </c>
      <c r="D4" s="38"/>
      <c r="E4" s="38"/>
      <c r="F4" s="38"/>
      <c r="G4" s="21"/>
      <c r="H4" s="21"/>
      <c r="I4" s="21"/>
      <c r="J4" s="21"/>
      <c r="K4" s="38"/>
      <c r="L4" s="38"/>
      <c r="M4" s="38"/>
      <c r="N4" s="38"/>
      <c r="O4" s="38"/>
      <c r="P4" s="38"/>
      <c r="Q4" s="38"/>
      <c r="R4" s="38"/>
      <c r="S4" s="38"/>
      <c r="T4" s="38"/>
      <c r="U4" s="38"/>
      <c r="V4" s="38"/>
      <c r="W4" s="38"/>
      <c r="X4" s="17"/>
      <c r="Y4" s="156"/>
      <c r="Z4" s="17"/>
      <c r="AA4" s="21" t="s">
        <v>62</v>
      </c>
      <c r="AB4" s="38" t="str">
        <f>CONCATENATE(version!$B$2," ",version!$B$3," ",version!$C$3)</f>
        <v>SimpleBox4nano vs 4.02-nano 44497</v>
      </c>
      <c r="AC4" s="38"/>
      <c r="AD4" s="38"/>
      <c r="AE4" s="38"/>
      <c r="AF4" s="21"/>
      <c r="AG4" s="21"/>
      <c r="AH4" s="21"/>
      <c r="AI4" s="21"/>
      <c r="AJ4" s="21"/>
      <c r="AK4" s="38"/>
      <c r="AL4" s="924"/>
      <c r="AM4" s="925"/>
      <c r="AN4" s="17"/>
      <c r="AO4" s="17"/>
      <c r="AP4" s="17"/>
      <c r="AQ4" s="17"/>
      <c r="AR4" s="46"/>
      <c r="AS4" s="2"/>
      <c r="AT4" s="21" t="s">
        <v>62</v>
      </c>
      <c r="AU4" s="9" t="s">
        <v>65</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7.265885259832188E-6</v>
      </c>
      <c r="CE4" s="2"/>
    </row>
    <row r="5" spans="1:83" ht="12.75" customHeight="1" x14ac:dyDescent="0.3">
      <c r="A5" s="17"/>
      <c r="B5" s="21" t="s">
        <v>66</v>
      </c>
      <c r="C5" s="926" t="str">
        <f>ChemName</f>
        <v>nTiO2_10nm</v>
      </c>
      <c r="D5" s="38"/>
      <c r="E5" s="38"/>
      <c r="F5" s="38"/>
      <c r="G5" s="447"/>
      <c r="H5" s="448"/>
      <c r="I5" s="448"/>
      <c r="J5" s="448"/>
      <c r="K5" s="38"/>
      <c r="L5" s="38"/>
      <c r="M5" s="38"/>
      <c r="N5" s="38"/>
      <c r="O5" s="38"/>
      <c r="P5" s="450"/>
      <c r="Q5" s="38"/>
      <c r="R5" s="38"/>
      <c r="S5" s="38"/>
      <c r="T5" s="38"/>
      <c r="U5" s="38"/>
      <c r="V5" s="38"/>
      <c r="W5" s="38"/>
      <c r="X5" s="17"/>
      <c r="Y5" s="156"/>
      <c r="Z5" s="17"/>
      <c r="AA5" s="21" t="s">
        <v>66</v>
      </c>
      <c r="AB5" s="926" t="str">
        <f>ChemName</f>
        <v>nTiO2_10nm</v>
      </c>
      <c r="AC5" s="38"/>
      <c r="AD5" s="38"/>
      <c r="AE5" s="38"/>
      <c r="AF5" s="21"/>
      <c r="AG5" s="21"/>
      <c r="AH5" s="21"/>
      <c r="AI5" s="21"/>
      <c r="AJ5" s="21"/>
      <c r="AK5" s="38"/>
      <c r="AL5" s="927"/>
      <c r="AM5" s="925"/>
      <c r="AN5" s="17"/>
      <c r="AO5" s="17"/>
      <c r="AP5" s="17"/>
      <c r="AQ5" s="17"/>
      <c r="AR5" s="46"/>
      <c r="AS5" s="2"/>
      <c r="AT5" s="21" t="s">
        <v>66</v>
      </c>
      <c r="AU5" s="56" t="s">
        <v>67</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25">
      <c r="A6" s="17"/>
      <c r="B6" s="21" t="s">
        <v>68</v>
      </c>
      <c r="C6" s="942"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68</v>
      </c>
      <c r="AB6" s="942" t="str">
        <f>ScenarioName</f>
        <v>default scenario</v>
      </c>
      <c r="AC6" s="38"/>
      <c r="AD6" s="38"/>
      <c r="AE6" s="38"/>
      <c r="AF6" s="21"/>
      <c r="AG6" s="21"/>
      <c r="AH6" s="21"/>
      <c r="AI6" s="21"/>
      <c r="AJ6" s="21"/>
      <c r="AK6" s="38"/>
      <c r="AL6" s="927"/>
      <c r="AM6" s="925"/>
      <c r="AN6" s="17"/>
      <c r="AO6" s="17"/>
      <c r="AP6" s="17"/>
      <c r="AQ6" s="17"/>
      <c r="AR6" s="46"/>
      <c r="AS6" s="2"/>
      <c r="AT6" s="21" t="s">
        <v>68</v>
      </c>
      <c r="AU6" s="56" t="s">
        <v>69</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25">
      <c r="A7" s="17"/>
      <c r="B7" s="21" t="s">
        <v>70</v>
      </c>
      <c r="C7" s="942"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70</v>
      </c>
      <c r="AB7" s="942" t="str">
        <f>CaseName</f>
        <v>defaults only</v>
      </c>
      <c r="AC7" s="38"/>
      <c r="AD7" s="38"/>
      <c r="AE7" s="940"/>
      <c r="AF7" s="941"/>
      <c r="AG7" s="941"/>
      <c r="AH7" s="21"/>
      <c r="AI7" s="21"/>
      <c r="AJ7" s="21"/>
      <c r="AK7" s="38"/>
      <c r="AL7" s="927"/>
      <c r="AM7" s="925"/>
      <c r="AN7" s="17"/>
      <c r="AO7" s="17"/>
      <c r="AP7" s="17"/>
      <c r="AQ7" s="17"/>
      <c r="AR7" s="46"/>
      <c r="AS7" s="2"/>
      <c r="AT7" s="21" t="s">
        <v>70</v>
      </c>
      <c r="AU7" s="56" t="s">
        <v>71</v>
      </c>
      <c r="AV7" s="9"/>
      <c r="AW7" s="9"/>
      <c r="AX7" s="9"/>
      <c r="AY7" s="21"/>
      <c r="AZ7" s="21"/>
      <c r="BA7" s="21"/>
      <c r="BB7" s="21"/>
      <c r="BC7" s="9"/>
      <c r="BD7" s="57"/>
      <c r="BE7" s="54"/>
      <c r="BF7" s="2"/>
      <c r="BG7" s="2"/>
      <c r="BH7" s="2"/>
      <c r="BI7" s="2"/>
      <c r="BJ7" s="2"/>
      <c r="BK7" s="2"/>
      <c r="BL7" s="46"/>
      <c r="BM7" s="2"/>
      <c r="BN7" s="2"/>
      <c r="BO7" s="2"/>
      <c r="BP7" s="2"/>
      <c r="BQ7" s="113"/>
      <c r="BR7" s="84"/>
      <c r="BS7" s="76" t="s">
        <v>72</v>
      </c>
      <c r="BT7" s="77">
        <f>IF(ISERROR(D12),0,D12)</f>
        <v>1.2755536367757942E-6</v>
      </c>
      <c r="BU7" s="113"/>
      <c r="BV7" s="113"/>
      <c r="BW7" s="113"/>
      <c r="BX7" s="2"/>
      <c r="BY7" s="2"/>
      <c r="BZ7" s="2"/>
      <c r="CA7" s="2"/>
      <c r="CB7" s="113"/>
      <c r="CC7" s="113"/>
      <c r="CD7" s="113"/>
      <c r="CE7" s="2"/>
    </row>
    <row r="8" spans="1:83" ht="12.75" customHeight="1" thickBot="1" x14ac:dyDescent="0.3">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25">
      <c r="A9" s="17"/>
      <c r="B9" s="157"/>
      <c r="C9" s="105" t="s">
        <v>73</v>
      </c>
      <c r="D9" s="79"/>
      <c r="E9" s="79"/>
      <c r="F9" s="79"/>
      <c r="G9" s="79"/>
      <c r="H9" s="79"/>
      <c r="I9" s="79"/>
      <c r="J9" s="79"/>
      <c r="K9" s="79"/>
      <c r="L9" s="102"/>
      <c r="M9" s="105" t="s">
        <v>74</v>
      </c>
      <c r="N9" s="79"/>
      <c r="O9" s="79"/>
      <c r="P9" s="79"/>
      <c r="Q9" s="79"/>
      <c r="R9" s="102"/>
      <c r="S9" s="105" t="s">
        <v>75</v>
      </c>
      <c r="T9" s="79"/>
      <c r="U9" s="79"/>
      <c r="V9" s="79"/>
      <c r="W9" s="102"/>
      <c r="X9" s="17"/>
      <c r="Y9" s="156"/>
      <c r="Z9" s="17"/>
      <c r="AA9" s="944" t="s">
        <v>76</v>
      </c>
      <c r="AB9" s="928"/>
      <c r="AC9" s="929" t="s">
        <v>77</v>
      </c>
      <c r="AD9" s="930" t="s">
        <v>78</v>
      </c>
      <c r="AE9" s="930" t="s">
        <v>79</v>
      </c>
      <c r="AF9" s="930" t="s">
        <v>80</v>
      </c>
      <c r="AG9" s="930" t="s">
        <v>81</v>
      </c>
      <c r="AH9" s="931" t="s">
        <v>82</v>
      </c>
      <c r="AI9" s="930" t="s">
        <v>83</v>
      </c>
      <c r="AJ9" s="930" t="s">
        <v>84</v>
      </c>
      <c r="AK9" s="930" t="s">
        <v>85</v>
      </c>
      <c r="AL9" s="930" t="s">
        <v>86</v>
      </c>
      <c r="AM9" s="930" t="s">
        <v>87</v>
      </c>
      <c r="AN9" s="930" t="s">
        <v>88</v>
      </c>
      <c r="AO9" s="931" t="s">
        <v>89</v>
      </c>
      <c r="AP9" s="929" t="s">
        <v>90</v>
      </c>
      <c r="AQ9" s="17"/>
      <c r="AR9" s="46"/>
      <c r="AS9" s="2"/>
      <c r="AT9" s="58"/>
      <c r="AU9" s="48" t="s">
        <v>91</v>
      </c>
      <c r="AV9" s="48" t="s">
        <v>92</v>
      </c>
      <c r="AW9" s="48" t="s">
        <v>93</v>
      </c>
      <c r="AX9" s="48" t="s">
        <v>94</v>
      </c>
      <c r="AY9" s="48" t="s">
        <v>95</v>
      </c>
      <c r="AZ9" s="48" t="s">
        <v>96</v>
      </c>
      <c r="BA9" s="48" t="s">
        <v>97</v>
      </c>
      <c r="BB9" s="50" t="s">
        <v>98</v>
      </c>
      <c r="BC9" s="49" t="s">
        <v>99</v>
      </c>
      <c r="BD9" s="48" t="s">
        <v>100</v>
      </c>
      <c r="BE9" s="48" t="s">
        <v>101</v>
      </c>
      <c r="BF9" s="48" t="s">
        <v>102</v>
      </c>
      <c r="BG9" s="48" t="s">
        <v>103</v>
      </c>
      <c r="BH9" s="48" t="s">
        <v>104</v>
      </c>
      <c r="BI9" s="48" t="s">
        <v>105</v>
      </c>
      <c r="BJ9" s="50" t="s">
        <v>106</v>
      </c>
      <c r="BK9" s="2"/>
      <c r="BL9" s="46"/>
      <c r="BM9" s="2"/>
      <c r="BN9" s="128" t="s">
        <v>107</v>
      </c>
      <c r="BO9" s="129"/>
      <c r="BP9" s="130">
        <f>AD12</f>
        <v>5.9329755269127869E-3</v>
      </c>
      <c r="BQ9" s="113"/>
      <c r="BR9" s="78"/>
      <c r="BS9" s="113"/>
      <c r="BT9" s="113"/>
      <c r="BU9" s="113"/>
      <c r="BV9" s="113"/>
      <c r="BW9" s="113"/>
      <c r="BX9" s="2"/>
      <c r="BY9" s="2"/>
      <c r="BZ9" s="2"/>
      <c r="CA9" s="2"/>
      <c r="CB9" s="113"/>
      <c r="CC9" s="113"/>
      <c r="CD9" s="113"/>
      <c r="CE9" s="2"/>
    </row>
    <row r="10" spans="1:83" ht="12.75" customHeight="1" thickBot="1" x14ac:dyDescent="0.25">
      <c r="A10" s="17"/>
      <c r="B10" s="158"/>
      <c r="C10" s="43" t="s">
        <v>108</v>
      </c>
      <c r="D10" s="43"/>
      <c r="E10" s="43" t="s">
        <v>109</v>
      </c>
      <c r="F10" s="43"/>
      <c r="G10" s="43" t="s">
        <v>110</v>
      </c>
      <c r="H10" s="43"/>
      <c r="I10" s="43" t="s">
        <v>111</v>
      </c>
      <c r="J10" s="43"/>
      <c r="K10" s="43" t="s">
        <v>112</v>
      </c>
      <c r="L10" s="44"/>
      <c r="M10" s="81" t="s">
        <v>108</v>
      </c>
      <c r="N10" s="81" t="s">
        <v>109</v>
      </c>
      <c r="O10" s="81" t="s">
        <v>110</v>
      </c>
      <c r="P10" s="81" t="s">
        <v>111</v>
      </c>
      <c r="Q10" s="81" t="s">
        <v>112</v>
      </c>
      <c r="R10" s="103"/>
      <c r="S10" s="81" t="s">
        <v>108</v>
      </c>
      <c r="T10" s="81" t="s">
        <v>109</v>
      </c>
      <c r="U10" s="81" t="s">
        <v>110</v>
      </c>
      <c r="V10" s="81" t="s">
        <v>111</v>
      </c>
      <c r="W10" s="103" t="s">
        <v>112</v>
      </c>
      <c r="X10" s="17"/>
      <c r="Y10" s="156"/>
      <c r="Z10" s="17"/>
      <c r="AA10" s="932"/>
      <c r="AB10" s="933"/>
      <c r="AC10" s="916"/>
      <c r="AD10" s="357"/>
      <c r="AE10" s="357"/>
      <c r="AF10" s="357"/>
      <c r="AG10" s="357"/>
      <c r="AH10" s="843"/>
      <c r="AI10" s="357" t="s">
        <v>113</v>
      </c>
      <c r="AJ10" s="357" t="s">
        <v>113</v>
      </c>
      <c r="AK10" s="357" t="s">
        <v>113</v>
      </c>
      <c r="AL10" s="357" t="s">
        <v>113</v>
      </c>
      <c r="AM10" s="357" t="s">
        <v>113</v>
      </c>
      <c r="AN10" s="357" t="s">
        <v>113</v>
      </c>
      <c r="AO10" s="843" t="s">
        <v>113</v>
      </c>
      <c r="AP10" s="916" t="s">
        <v>114</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0.18684368119433517</v>
      </c>
      <c r="BO10" s="132"/>
      <c r="BP10" s="132" t="s">
        <v>115</v>
      </c>
      <c r="BQ10" s="113"/>
      <c r="BR10" s="113"/>
      <c r="BS10" s="113"/>
      <c r="BT10" s="113"/>
      <c r="BU10" s="2"/>
      <c r="BV10" s="113"/>
      <c r="BW10" s="113"/>
      <c r="BX10" s="2"/>
      <c r="BY10" s="17" t="s">
        <v>116</v>
      </c>
      <c r="BZ10" s="2"/>
      <c r="CA10" s="2"/>
      <c r="CB10" s="113"/>
      <c r="CC10" s="113"/>
      <c r="CD10" s="113"/>
      <c r="CE10" s="2"/>
    </row>
    <row r="11" spans="1:83" ht="12.75" customHeight="1" x14ac:dyDescent="0.2">
      <c r="A11" s="17"/>
      <c r="B11" s="452" t="s">
        <v>117</v>
      </c>
      <c r="C11" s="453">
        <f>SUM(C12,C15:C17)</f>
        <v>53861.552851883891</v>
      </c>
      <c r="D11" s="446">
        <f t="shared" ref="D11:D17" si="0">C11/$C$103</f>
        <v>3.4638307540983682E-6</v>
      </c>
      <c r="E11" s="453">
        <f>SUM(E12,E15:E17)</f>
        <v>146289.46265059779</v>
      </c>
      <c r="F11" s="446">
        <f t="shared" ref="F11:F17" si="1">E11/$E$103</f>
        <v>4.9639093029475058E-7</v>
      </c>
      <c r="G11" s="445">
        <f>SUM(G12,G15:G17)</f>
        <v>104391.194073911</v>
      </c>
      <c r="H11" s="446">
        <f t="shared" ref="H11:H17" si="2">G11/$G$103</f>
        <v>2.2008127409808217E-9</v>
      </c>
      <c r="I11" s="445">
        <f>SUM(I12,I15:I17)</f>
        <v>24485.455159098739</v>
      </c>
      <c r="J11" s="446">
        <f t="shared" ref="J11:J17" si="3">I11/$I$103</f>
        <v>7.7970952882390464E-10</v>
      </c>
      <c r="K11" s="445">
        <f>SUM(K12,K15:K17)</f>
        <v>43211.405522259709</v>
      </c>
      <c r="L11" s="461">
        <f t="shared" ref="L11:L17" si="4">K11/$K$103</f>
        <v>3.6942731049546691E-10</v>
      </c>
      <c r="M11" s="459">
        <f xml:space="preserve"> (M.aRG+M.aRS+M.aRA+M.aRP+M.cwRS+M.cwRA+M.cwRP)*(Molweight*1000)/(VOLUME.aR+VOLUME.cwR)</f>
        <v>2.3461930065726672E-7</v>
      </c>
      <c r="N11" s="459">
        <f xml:space="preserve"> (M.aCG+M.aCS+M.aCA+M.aCP+M.cwCS+M.cwCA+M.cwCP)*Molweight*1000/(VOLUME.aC+VOLUME.cwC)</f>
        <v>2.0320097600529353E-8</v>
      </c>
      <c r="O11" s="459">
        <f xml:space="preserve"> (M.aMG+M.aMS+M.aMA+M.aMP+M.cwMS+M.cwMA+M.cwMP)*Molweight*1000/(VOLUME.aM+VOLUME.cwM)</f>
        <v>1.345747145704376E-9</v>
      </c>
      <c r="P11" s="459">
        <f xml:space="preserve"> (M.aAG+M.aAS+M.aAA+M.aAP+M.cwAS+M.cwAA+M.cwAP)*Molweight*1000/(VOLUME.aA+VOLUME.cwA)</f>
        <v>5.7612835668472803E-10</v>
      </c>
      <c r="Q11" s="459">
        <f xml:space="preserve"> (M.aTG+M.aTS+M.aTA+M.aTP+M.cwTS+M.cwTA+M.cwTP)*Molweight*1000/(VOLUME.aT+VOLUME.cwT)</f>
        <v>3.3891298448834188E-10</v>
      </c>
      <c r="R11" s="160" t="s">
        <v>118</v>
      </c>
      <c r="S11" s="442"/>
      <c r="T11" s="21"/>
      <c r="U11" s="21"/>
      <c r="V11" s="21"/>
      <c r="W11" s="21"/>
      <c r="X11" s="17"/>
      <c r="Y11" s="156"/>
      <c r="Z11" s="17"/>
      <c r="AA11" s="915" t="s">
        <v>119</v>
      </c>
      <c r="AB11" s="304"/>
      <c r="AC11" s="917"/>
      <c r="AD11" s="918"/>
      <c r="AE11" s="918"/>
      <c r="AF11" s="918"/>
      <c r="AG11" s="918"/>
      <c r="AH11" s="919"/>
      <c r="AI11" s="38"/>
      <c r="AJ11" s="38"/>
      <c r="AK11" s="38"/>
      <c r="AL11" s="38"/>
      <c r="AM11" s="38"/>
      <c r="AN11" s="38"/>
      <c r="AO11" s="160"/>
      <c r="AP11" s="934"/>
      <c r="AQ11" s="17"/>
      <c r="AR11" s="46"/>
      <c r="AS11" s="2"/>
      <c r="AT11" s="58" t="s">
        <v>77</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120</v>
      </c>
      <c r="BZ11" s="2"/>
      <c r="CA11" s="2"/>
      <c r="CB11" s="113"/>
      <c r="CC11" s="113"/>
      <c r="CD11" s="113"/>
      <c r="CE11" s="2"/>
    </row>
    <row r="12" spans="1:83" ht="12.75" customHeight="1" thickBot="1" x14ac:dyDescent="0.25">
      <c r="A12" s="17"/>
      <c r="B12" s="443" t="s">
        <v>121</v>
      </c>
      <c r="C12" s="295">
        <f>(M.aRG)*Molweight</f>
        <v>19834.485140858316</v>
      </c>
      <c r="D12" s="446">
        <f t="shared" si="0"/>
        <v>1.2755536367757942E-6</v>
      </c>
      <c r="E12" s="296">
        <f>(M.aCG)*Molweight</f>
        <v>19750.913828623812</v>
      </c>
      <c r="F12" s="446">
        <f t="shared" si="1"/>
        <v>6.7019006782317719E-8</v>
      </c>
      <c r="G12" s="296">
        <f>(M.aMG)*Molweight</f>
        <v>3028.251774849517</v>
      </c>
      <c r="H12" s="446">
        <f t="shared" si="2"/>
        <v>6.3842694281932699E-11</v>
      </c>
      <c r="I12" s="296">
        <f>(M.aAG)*Molweight</f>
        <v>131.88737978947134</v>
      </c>
      <c r="J12" s="446">
        <f t="shared" si="3"/>
        <v>4.1997931459834525E-12</v>
      </c>
      <c r="K12" s="296">
        <f>(M.aTG)*Molweight</f>
        <v>234.44037378546398</v>
      </c>
      <c r="L12" s="461">
        <f t="shared" si="4"/>
        <v>2.0043013114789972E-12</v>
      </c>
      <c r="M12" s="124">
        <f>(M.aRG)*(Molweight*1000)/(VOLUME.aR + VOLUME.cwR)</f>
        <v>8.6398419396524368E-8</v>
      </c>
      <c r="N12" s="124">
        <f>(M.aCG)*(Molweight*1000)/(VOLUME.aC + VOLUME.cwC)</f>
        <v>2.7434682541411384E-9</v>
      </c>
      <c r="O12" s="124">
        <f>(M.aMG)*(Molweight*1000)/(VOLUME.aM + VOLUME.cwM)</f>
        <v>3.903836160349487E-11</v>
      </c>
      <c r="P12" s="124">
        <f>(M.aAG)*(Molweight*1000)/(VOLUME.aA + VOLUME.cwA)</f>
        <v>3.1032324656348987E-12</v>
      </c>
      <c r="Q12" s="124">
        <f>(M.aTG)*(Molweight*1000)/(VOLUME.aT + VOLUME.cwT)</f>
        <v>1.838748029690079E-12</v>
      </c>
      <c r="R12" s="160" t="s">
        <v>118</v>
      </c>
      <c r="S12" s="163">
        <f>F.aR</f>
        <v>4.322001650767999E-6</v>
      </c>
      <c r="T12" s="163">
        <f>F.aC</f>
        <v>1.3723948199571568E-7</v>
      </c>
      <c r="U12" s="163">
        <f>F.aM</f>
        <v>1.9528582174545003E-9</v>
      </c>
      <c r="V12" s="163">
        <f>F.aA</f>
        <v>1.4325319920650589E-10</v>
      </c>
      <c r="W12" s="162">
        <f>F.aT</f>
        <v>9.6177338655699091E-11</v>
      </c>
      <c r="X12" s="17"/>
      <c r="Y12" s="156"/>
      <c r="Z12" s="17"/>
      <c r="AA12" s="312" t="s">
        <v>122</v>
      </c>
      <c r="AB12" s="162" t="s">
        <v>91</v>
      </c>
      <c r="AC12" s="161">
        <f>E.aRG*Molweight</f>
        <v>0.3170979198376459</v>
      </c>
      <c r="AD12" s="163">
        <f>k.aC.aR*M.aC*Molweight</f>
        <v>5.9329755269127869E-3</v>
      </c>
      <c r="AE12" s="163">
        <f>k.aR.aC*M.aR*Molweight</f>
        <v>0.18684368119433517</v>
      </c>
      <c r="AF12" s="163">
        <f>kesc.aR*VOLUME.aR*C.aRG*Molweight</f>
        <v>7.265885259832188E-6</v>
      </c>
      <c r="AG12" s="163"/>
      <c r="AH12" s="162">
        <f>KDEG.aR*VOLUME.aR*C.aR*Molweight</f>
        <v>7.5536984776955785E-29</v>
      </c>
      <c r="AI12" s="163">
        <f>SUM(AI13:AI15,AK18:AK20)</f>
        <v>0.13617994828496363</v>
      </c>
      <c r="AJ12" s="163">
        <f>SUM(AJ13:AJ15,AL18:AL20)</f>
        <v>1.2343915258146703E-18</v>
      </c>
      <c r="AK12" s="163"/>
      <c r="AL12" s="163"/>
      <c r="AM12" s="163"/>
      <c r="AN12" s="163"/>
      <c r="AO12" s="162"/>
      <c r="AP12" s="917">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7.5536984776955785E-29</v>
      </c>
      <c r="BS12" s="113"/>
      <c r="BT12" s="113"/>
      <c r="BU12" s="113"/>
      <c r="BV12" s="113"/>
      <c r="BW12" s="113"/>
      <c r="BX12" s="2"/>
      <c r="BY12" s="2"/>
      <c r="BZ12" s="2"/>
      <c r="CA12" s="2"/>
      <c r="CB12" s="113"/>
      <c r="CC12" s="113"/>
      <c r="CD12" s="113"/>
      <c r="CE12" s="2"/>
    </row>
    <row r="13" spans="1:83" ht="12.75" customHeight="1" x14ac:dyDescent="0.2">
      <c r="A13" s="17"/>
      <c r="B13" s="159" t="s">
        <v>123</v>
      </c>
      <c r="C13" s="295">
        <f>FRgas.aR*C12</f>
        <v>8.3953926698934575E-9</v>
      </c>
      <c r="D13" s="446">
        <f t="shared" si="0"/>
        <v>5.3990681261414549E-19</v>
      </c>
      <c r="E13" s="296">
        <f>FRgas.aC*E12</f>
        <v>8.3600192292841189E-9</v>
      </c>
      <c r="F13" s="446">
        <f t="shared" si="1"/>
        <v>2.8367304434072239E-20</v>
      </c>
      <c r="G13" s="296">
        <f>FRgas.aC*G12</f>
        <v>1.281775784579973E-9</v>
      </c>
      <c r="H13" s="446">
        <f t="shared" si="2"/>
        <v>2.7022858611876856E-23</v>
      </c>
      <c r="I13" s="296">
        <f>FRgas.aC*I12</f>
        <v>5.5824304673031063E-11</v>
      </c>
      <c r="J13" s="446">
        <f t="shared" si="3"/>
        <v>1.7776570625584922E-24</v>
      </c>
      <c r="K13" s="296">
        <f>FRgas.aC*K12</f>
        <v>9.9232169709870964E-11</v>
      </c>
      <c r="L13" s="461">
        <f t="shared" si="4"/>
        <v>8.4836568326070755E-25</v>
      </c>
      <c r="M13" s="124">
        <f>FRgas.aR*M12</f>
        <v>3.657007740512354E-20</v>
      </c>
      <c r="N13" s="124">
        <f>FRgas.aC*N12</f>
        <v>1.1612347437976001E-21</v>
      </c>
      <c r="O13" s="124">
        <f>FRgas.aM*O12</f>
        <v>1.6523866010290011E-23</v>
      </c>
      <c r="P13" s="124">
        <f>FRgas.aA*P12</f>
        <v>1.3135130511302608E-24</v>
      </c>
      <c r="Q13" s="124">
        <f>FRgas.aT*Q12</f>
        <v>3.0851986490783206E-24</v>
      </c>
      <c r="R13" s="160" t="s">
        <v>118</v>
      </c>
      <c r="S13" s="163">
        <f>S12*FRgas.aR</f>
        <v>1.8293845653386539E-18</v>
      </c>
      <c r="T13" s="163">
        <f>T12*FRgas.aC</f>
        <v>5.8089702504722903E-20</v>
      </c>
      <c r="U13" s="163">
        <f>U12*FRgas.aM</f>
        <v>8.2659123479770031E-22</v>
      </c>
      <c r="V13" s="163">
        <f>V12*FRgas.aA</f>
        <v>6.0635143792043117E-23</v>
      </c>
      <c r="W13" s="162">
        <f>W12*FRgas.aT</f>
        <v>1.6137403847688919E-22</v>
      </c>
      <c r="X13" s="17"/>
      <c r="Y13" s="156"/>
      <c r="Z13" s="17"/>
      <c r="AA13" s="312" t="s">
        <v>124</v>
      </c>
      <c r="AB13" s="162" t="s">
        <v>125</v>
      </c>
      <c r="AC13" s="948">
        <f>E.w0RD*Molweight</f>
        <v>0</v>
      </c>
      <c r="AD13" s="163">
        <f>k.w1R.w0R*M.w1RD*Molweight</f>
        <v>0</v>
      </c>
      <c r="AE13" s="163">
        <f>(k.w0R.w1R+k.w0R.w2R)*M.w0RD*Molweight</f>
        <v>3.3784884563635794E-4</v>
      </c>
      <c r="AF13" s="163"/>
      <c r="AG13" s="163">
        <f>(kdis.w0S.w0D*M.w0RS+kdis.w0A.w0D*M.w0RA+kdis.w0P.w0D*M.w0RP)*Molweight</f>
        <v>7.7081028486758004E-10</v>
      </c>
      <c r="AH13" s="162">
        <f>KDEG.w0R*M.w0RD*Molweight</f>
        <v>5.7220416249399314E-17</v>
      </c>
      <c r="AI13" s="163">
        <f>k.aRG.w0RD*M.aRG*Molweight</f>
        <v>3.3896688133798247E-4</v>
      </c>
      <c r="AJ13" s="163">
        <f>k.w0RD.aRG*M.w0R*Molweight</f>
        <v>1.037170312722286E-23</v>
      </c>
      <c r="AK13" s="163"/>
      <c r="AL13" s="163"/>
      <c r="AM13" s="163"/>
      <c r="AN13" s="163">
        <f>k.w0RD.sd0RD*M.w0RD*Molweight</f>
        <v>1.1188065118521846E-6</v>
      </c>
      <c r="AO13" s="162">
        <f>k.sd0RD.w0RD*M.sd0RD*Molweight</f>
        <v>0</v>
      </c>
      <c r="AP13" s="917">
        <f>SUM(AC13,AD13,AI13,AM13,AO13,AG13)-SUM(AF13,AE13,AH13,AJ13,AN13)</f>
        <v>0</v>
      </c>
      <c r="AQ13" s="17"/>
      <c r="AR13" s="46"/>
      <c r="AS13" s="2"/>
      <c r="AT13" s="58" t="s">
        <v>78</v>
      </c>
      <c r="AU13" s="11"/>
      <c r="AV13" s="11"/>
      <c r="AW13" s="11"/>
      <c r="AX13" s="11"/>
      <c r="AY13" s="11"/>
      <c r="AZ13" s="11"/>
      <c r="BA13" s="11"/>
      <c r="BB13" s="11"/>
      <c r="BC13" s="11"/>
      <c r="BD13" s="11"/>
      <c r="BE13" s="11"/>
      <c r="BF13" s="11"/>
      <c r="BG13" s="11"/>
      <c r="BH13" s="11"/>
      <c r="BI13" s="11"/>
      <c r="BJ13" s="11"/>
      <c r="BK13" s="2"/>
      <c r="BL13" s="62"/>
      <c r="BM13" s="2"/>
      <c r="BN13" s="2"/>
      <c r="BO13" s="2"/>
      <c r="BP13" s="133">
        <f>AC12</f>
        <v>0.3170979198376459</v>
      </c>
      <c r="BQ13" s="113"/>
      <c r="BR13" s="113"/>
      <c r="BS13" s="113"/>
      <c r="BT13" s="113"/>
      <c r="BU13" s="113"/>
      <c r="BV13" s="113"/>
      <c r="BW13" s="2"/>
      <c r="BX13" s="2"/>
      <c r="BY13" s="2"/>
      <c r="BZ13" s="2"/>
      <c r="CA13" s="2"/>
      <c r="CB13" s="113"/>
      <c r="CC13" s="113"/>
      <c r="CD13" s="106"/>
      <c r="CE13" s="2"/>
    </row>
    <row r="14" spans="1:83" ht="12.75" customHeight="1" x14ac:dyDescent="0.2">
      <c r="A14" s="17"/>
      <c r="B14" s="159" t="s">
        <v>126</v>
      </c>
      <c r="C14" s="295">
        <f>(1-FRgas.aR)*C12</f>
        <v>19834.485140849923</v>
      </c>
      <c r="D14" s="446">
        <f t="shared" si="0"/>
        <v>1.2755536367752544E-6</v>
      </c>
      <c r="E14" s="296">
        <f>(1-FRgas.aC)*E12</f>
        <v>19750.913828615452</v>
      </c>
      <c r="F14" s="446">
        <f t="shared" si="1"/>
        <v>6.7019006782289357E-8</v>
      </c>
      <c r="G14" s="296">
        <f>(1-FRgas.aC)*G12</f>
        <v>3028.2517748482355</v>
      </c>
      <c r="H14" s="446">
        <f t="shared" si="2"/>
        <v>6.3842694281905686E-11</v>
      </c>
      <c r="I14" s="296">
        <f>(1-FRgas.aC)*I12</f>
        <v>131.88737978941552</v>
      </c>
      <c r="J14" s="446">
        <f t="shared" si="3"/>
        <v>4.1997931459816754E-12</v>
      </c>
      <c r="K14" s="296">
        <f>(1-FRgas.aC)*K12</f>
        <v>234.44037378536476</v>
      </c>
      <c r="L14" s="461">
        <f t="shared" si="4"/>
        <v>2.004301311478149E-12</v>
      </c>
      <c r="M14" s="124">
        <f>(1-FRgas.aR)*M12</f>
        <v>8.63984193964878E-8</v>
      </c>
      <c r="N14" s="124">
        <f>(1-FRgas.aC)*N12</f>
        <v>2.7434682541399774E-9</v>
      </c>
      <c r="O14" s="124">
        <f>(1-FRgas.aM)*O12</f>
        <v>3.9038361603478346E-11</v>
      </c>
      <c r="P14" s="124">
        <f>(1-FRgas.aA)*P12</f>
        <v>3.1032324656335852E-12</v>
      </c>
      <c r="Q14" s="124">
        <f>(1-FRgas.aT)*Q12</f>
        <v>1.8387480296869937E-12</v>
      </c>
      <c r="R14" s="160" t="s">
        <v>118</v>
      </c>
      <c r="S14" s="163">
        <f>S12*(1-FRgas.aR)</f>
        <v>4.3220016507661702E-6</v>
      </c>
      <c r="T14" s="163">
        <f>T12*(1-FRgas.aC)</f>
        <v>1.3723948199565761E-7</v>
      </c>
      <c r="U14" s="163">
        <f>U12*(1-FRgas.aM)</f>
        <v>1.9528582174536739E-9</v>
      </c>
      <c r="V14" s="163">
        <f>V12*(1-FRgas.aA)</f>
        <v>1.4325319920644527E-10</v>
      </c>
      <c r="W14" s="162">
        <f>W12*(1-FRgas.aT)</f>
        <v>9.6177338655537714E-11</v>
      </c>
      <c r="X14" s="17"/>
      <c r="Y14" s="156"/>
      <c r="Z14" s="17"/>
      <c r="AA14" s="312" t="s">
        <v>127</v>
      </c>
      <c r="AB14" s="162" t="s">
        <v>92</v>
      </c>
      <c r="AC14" s="161">
        <f>E.w1RD*Molweight</f>
        <v>0.3170979198376459</v>
      </c>
      <c r="AD14" s="163">
        <f>(WATERflow.w0R.w1R*C.w0R+WATERflow.w1C.w1R*C.w1C)*Molweight</f>
        <v>3.3784884563635789E-4</v>
      </c>
      <c r="AE14" s="163">
        <f>(WATERflow.w1R.w0R+WATERflow.w1R.w2R)*C.w1R*Molweight</f>
        <v>0.7562571116246779</v>
      </c>
      <c r="AF14" s="163"/>
      <c r="AG14" s="163">
        <f>(kdis.w1S.w1D*M.w1RS+kdis.w1A.w1D*M.w1RA+kdis.w1P.w1D*M.w1RP)*Molweight</f>
        <v>7.6618417133875911E-7</v>
      </c>
      <c r="AH14" s="162">
        <f>KDEG.w1R*VOLUME.w1R*C.w1R*Molweight</f>
        <v>4.220684444724282E-14</v>
      </c>
      <c r="AI14" s="163">
        <f>k.aRG.w1RD*M.aRG*Molweight</f>
        <v>3.7286356947178064E-3</v>
      </c>
      <c r="AJ14" s="163">
        <f>k.w1RD.aRG*M.w1R*Molweight</f>
        <v>2.5501204478932968E-19</v>
      </c>
      <c r="AK14" s="163"/>
      <c r="AL14" s="163"/>
      <c r="AM14" s="163">
        <f>(k.s1RD.w1RD*M.s1R+k.s2RD.w1RD*M.s2R+k.s3RD.w1RD*M.s3R)*Molweight</f>
        <v>0.44714835990857954</v>
      </c>
      <c r="AN14" s="163">
        <f>k.w1RD.sd1RD*M.w1R*Molweight</f>
        <v>0.27052094307614744</v>
      </c>
      <c r="AO14" s="162">
        <f>k.sd1RD.w1RD*M.sd1R*Molweight</f>
        <v>0.25846452423011679</v>
      </c>
      <c r="AP14" s="917">
        <f>SUM(AC14,AD14,AI14,AM14,AO14,AG14)-SUM(AF14,AE14,AH14,AJ14,AN14)</f>
        <v>0</v>
      </c>
      <c r="AQ14" s="17"/>
      <c r="AR14" s="46"/>
      <c r="AS14" s="2"/>
      <c r="AT14" s="64" t="s">
        <v>79</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7.7275204754741309E-20</v>
      </c>
      <c r="BY14" s="113"/>
      <c r="BZ14" s="138">
        <f>IF(AL20&lt;0,"",AL20)</f>
        <v>2.8620446205459732E-20</v>
      </c>
      <c r="CA14" s="113"/>
      <c r="CB14" s="136">
        <f>IF(AL19&lt;0,"",AL19)</f>
        <v>8.4410514898729318E-19</v>
      </c>
      <c r="CC14" s="140"/>
      <c r="CD14" s="113"/>
      <c r="CE14" s="2"/>
    </row>
    <row r="15" spans="1:83" ht="12.75" customHeight="1" x14ac:dyDescent="0.25">
      <c r="A15" s="17"/>
      <c r="B15" s="159" t="s">
        <v>128</v>
      </c>
      <c r="C15" s="295">
        <f>(M.aRS+M.cwRS)*Molweight</f>
        <v>4853.2499357005527</v>
      </c>
      <c r="D15" s="446">
        <f t="shared" si="0"/>
        <v>3.1211198887700687E-7</v>
      </c>
      <c r="E15" s="296">
        <f>(M.aCS+M.cwCS)*Molweight</f>
        <v>774.358168003017</v>
      </c>
      <c r="F15" s="446">
        <f t="shared" si="1"/>
        <v>2.6275602113217935E-9</v>
      </c>
      <c r="G15" s="296">
        <f>(M.aMS+M.cwMS)*Molweight</f>
        <v>18.303860597946002</v>
      </c>
      <c r="H15" s="446">
        <f t="shared" si="2"/>
        <v>3.858885796878135E-13</v>
      </c>
      <c r="I15" s="296">
        <f>(M.aAS+M.cwAS)*Molweight</f>
        <v>0.12512672751594622</v>
      </c>
      <c r="J15" s="446">
        <f t="shared" si="3"/>
        <v>3.9845083998155344E-15</v>
      </c>
      <c r="K15" s="296">
        <f>(M.aTS+M.cwTS)*Molweight</f>
        <v>0.20256154434935589</v>
      </c>
      <c r="L15" s="461">
        <f t="shared" si="4"/>
        <v>1.7317596045387211E-15</v>
      </c>
      <c r="M15" s="124">
        <f>(M.aRS+M.cwRS)*(Molweight*1000)/(VOLUME.aR + VOLUME.cwR)</f>
        <v>2.1140610426889354E-8</v>
      </c>
      <c r="N15" s="124">
        <f>(M.aCS+M.cwCS)*(Molweight*1000)/(VOLUME.aC + VOLUME.cwC)</f>
        <v>1.0756094982159068E-10</v>
      </c>
      <c r="O15" s="124">
        <f>(M.aMS+M.cwMS)*(Molweight*1000)/(VOLUME.aM + VOLUME.cwM)</f>
        <v>2.3596212662934411E-13</v>
      </c>
      <c r="P15" s="124">
        <f>(M.aAS+M.cwAS)*(Molweight*1000)/(VOLUME.aA + VOLUME.cwA)</f>
        <v>2.9441582944931174E-15</v>
      </c>
      <c r="Q15" s="124">
        <f>(M.aTS+M.cwTS)*(Molweight*1000)/(VOLUME.aT + VOLUME.cwT)</f>
        <v>1.588717994897052E-15</v>
      </c>
      <c r="R15" s="160" t="s">
        <v>118</v>
      </c>
      <c r="S15" s="163"/>
      <c r="T15" s="163"/>
      <c r="U15" s="163"/>
      <c r="V15" s="163"/>
      <c r="W15" s="162"/>
      <c r="X15" s="17"/>
      <c r="Y15" s="156"/>
      <c r="Z15" s="17"/>
      <c r="AA15" s="312" t="s">
        <v>129</v>
      </c>
      <c r="AB15" s="162" t="s">
        <v>93</v>
      </c>
      <c r="AC15" s="161">
        <f>E.w2RD*Molweight</f>
        <v>0</v>
      </c>
      <c r="AD15" s="163">
        <f>(k.w1R.w2R*M.w1R+k.w2C.w2R*M.w2C)*Molweight</f>
        <v>5.4687725163842087</v>
      </c>
      <c r="AE15" s="163">
        <f>k.w2R.w2C*M.w2R*Molweight</f>
        <v>5.4689742851886898</v>
      </c>
      <c r="AF15" s="163"/>
      <c r="AG15" s="163">
        <f>(kdis.w2S.w2D*M.w2RS+kdis.w2A.w2D*M.w2RA+kdis.w2P.w2D*M.w2RP)*Molweight</f>
        <v>5.1424844079386306E-8</v>
      </c>
      <c r="AH15" s="162">
        <f>KDEG.w2R*M.w2RD*Molweight</f>
        <v>1.6202419856694467E-14</v>
      </c>
      <c r="AI15" s="163">
        <f>k.aRG.w2RD*M.aRG*Molweight</f>
        <v>5.9319574981490627E-4</v>
      </c>
      <c r="AJ15" s="163">
        <f>k.w2RD.aRG*M.w2R*Molweight</f>
        <v>2.9368309374719003E-20</v>
      </c>
      <c r="AK15" s="163"/>
      <c r="AL15" s="163"/>
      <c r="AM15" s="163"/>
      <c r="AN15" s="163">
        <f>k.w2RD.sd2RD*M.w2R*Molweight</f>
        <v>1.9421084637689098E-2</v>
      </c>
      <c r="AO15" s="162">
        <f>k.sd2RD.w2RD*M.sd2R*Molweight</f>
        <v>1.9029606267527498E-2</v>
      </c>
      <c r="AP15" s="917">
        <f>SUM(AC15,AD15,AI15,AM15,AO15,AG15)-SUM(AF15,AE15,AH15,AJ15,AN15)</f>
        <v>0</v>
      </c>
      <c r="AQ15" s="17"/>
      <c r="AR15" s="46"/>
      <c r="AS15" s="2"/>
      <c r="AT15" s="64" t="s">
        <v>130</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1.037170312722286E-23</v>
      </c>
      <c r="BW15" s="2"/>
      <c r="BX15" s="137"/>
      <c r="BY15" s="113"/>
      <c r="BZ15" s="113"/>
      <c r="CA15" s="113"/>
      <c r="CB15" s="2"/>
      <c r="CC15" s="137"/>
      <c r="CD15" s="113"/>
      <c r="CE15" s="2"/>
    </row>
    <row r="16" spans="1:83" ht="12.75" customHeight="1" thickBot="1" x14ac:dyDescent="0.25">
      <c r="A16" s="17"/>
      <c r="B16" s="159" t="s">
        <v>131</v>
      </c>
      <c r="C16" s="295">
        <f>(M.aRA+M.cwRA)*Molweight</f>
        <v>29155.359756389829</v>
      </c>
      <c r="D16" s="446">
        <f t="shared" si="0"/>
        <v>1.87497809520456E-6</v>
      </c>
      <c r="E16" s="296">
        <f>(M.aCA+M.cwCA)*Molweight</f>
        <v>125758.68371138113</v>
      </c>
      <c r="F16" s="446">
        <f t="shared" si="1"/>
        <v>4.2672567708608427E-7</v>
      </c>
      <c r="G16" s="296">
        <f>(M.aMA+M.cwMA)*Molweight</f>
        <v>101344.46139864756</v>
      </c>
      <c r="H16" s="446">
        <f t="shared" si="2"/>
        <v>2.1365804257020553E-9</v>
      </c>
      <c r="I16" s="296">
        <f>(M.aAA+M.cwAA)*Molweight</f>
        <v>24353.438951290471</v>
      </c>
      <c r="J16" s="446">
        <f t="shared" si="3"/>
        <v>7.7550563330640378E-10</v>
      </c>
      <c r="K16" s="296">
        <f>(M.aTA+M.cwTA)*Molweight</f>
        <v>42976.761259911116</v>
      </c>
      <c r="L16" s="461">
        <f t="shared" si="4"/>
        <v>3.6742126607930046E-10</v>
      </c>
      <c r="M16" s="124">
        <f>(M.aRA+M.cwRA)*(Molweight*1000)/(VOLUME.aR + VOLUME.cwR)</f>
        <v>1.2699986825975714E-7</v>
      </c>
      <c r="N16" s="124">
        <f>(M.aCA+M.cwCA)*(Molweight*1000)/(VOLUME.aC + VOLUME.cwC)</f>
        <v>1.7468303463748645E-8</v>
      </c>
      <c r="O16" s="124">
        <f>(M.aMA+M.cwMA)*(Molweight*1000)/(VOLUME.aM + VOLUME.cwM)</f>
        <v>1.3064705396857012E-9</v>
      </c>
      <c r="P16" s="124">
        <f>(M.aAA+M.cwAA)*(Molweight*1000)/(VOLUME.aA + VOLUME.cwA)</f>
        <v>5.7302209297159202E-10</v>
      </c>
      <c r="Q16" s="124">
        <f>(M.aTA+M.cwTA)*(Molweight*1000)/(VOLUME.aT + VOLUME.cwT)</f>
        <v>3.370726373326665E-10</v>
      </c>
      <c r="R16" s="160" t="s">
        <v>118</v>
      </c>
      <c r="S16" s="163"/>
      <c r="T16" s="163"/>
      <c r="U16" s="163"/>
      <c r="V16" s="163"/>
      <c r="W16" s="162"/>
      <c r="X16" s="17"/>
      <c r="Y16" s="156"/>
      <c r="Z16" s="17"/>
      <c r="AA16" s="312" t="s">
        <v>132</v>
      </c>
      <c r="AB16" s="162" t="s">
        <v>94</v>
      </c>
      <c r="AC16" s="161"/>
      <c r="AD16" s="163"/>
      <c r="AE16" s="163"/>
      <c r="AF16" s="163">
        <f>NETsedrate.w1R*SYSTEMAREA.R*AREAFRAC.w1R*C.sd1R*Molweight</f>
        <v>1.2060208815200103E-2</v>
      </c>
      <c r="AG16" s="163">
        <f>(kdis.sd1S.sd1D*M.sd1RS+kdis.sd1A.sd1D*M.sd1RA+kdis.sd1P.sd1D*M.sd1RP)*Molweight</f>
        <v>3.7899691862741481E-6</v>
      </c>
      <c r="AH16" s="162">
        <f>KDEG.sd1R*VOLUME.sd1R*C.sd1R*Molweight</f>
        <v>1.6916558867948843E-14</v>
      </c>
      <c r="AI16" s="163"/>
      <c r="AJ16" s="163"/>
      <c r="AK16" s="163"/>
      <c r="AL16" s="163"/>
      <c r="AM16" s="163"/>
      <c r="AN16" s="163">
        <f>k.w1RD.sd1RD*M.w1R*Molweight</f>
        <v>0.27052094307614744</v>
      </c>
      <c r="AO16" s="162">
        <f>k.sd1RD.w1RD*M.sd1R*Molweight</f>
        <v>0.25846452423011679</v>
      </c>
      <c r="AP16" s="917">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2.9368309374719003E-20</v>
      </c>
      <c r="BR16" s="113"/>
      <c r="BS16" s="113"/>
      <c r="BT16" s="138">
        <f>IF(AJ14&lt;0,"",AJ14)</f>
        <v>2.5501204478932968E-19</v>
      </c>
      <c r="BU16" s="113"/>
      <c r="BV16" s="113"/>
      <c r="BW16" s="2"/>
      <c r="BX16" s="137"/>
      <c r="BY16" s="113"/>
      <c r="BZ16" s="113"/>
      <c r="CA16" s="113"/>
      <c r="CB16" s="2"/>
      <c r="CC16" s="137"/>
      <c r="CD16" s="113"/>
      <c r="CE16" s="2"/>
    </row>
    <row r="17" spans="1:83" ht="12.75" customHeight="1" x14ac:dyDescent="0.2">
      <c r="A17" s="17"/>
      <c r="B17" s="159" t="s">
        <v>133</v>
      </c>
      <c r="C17" s="295">
        <f>(M.aRP+M.cwRP)*Molweight</f>
        <v>18.458018935187482</v>
      </c>
      <c r="D17" s="446">
        <f t="shared" si="0"/>
        <v>1.1870332410068303E-9</v>
      </c>
      <c r="E17" s="296">
        <f>(M.aCP+M.cwCP)*Molweight</f>
        <v>5.506942589822696</v>
      </c>
      <c r="F17" s="446">
        <f t="shared" si="1"/>
        <v>1.8686215026784779E-11</v>
      </c>
      <c r="G17" s="296">
        <f>(M.aMP+M.cwMP)*Molweight</f>
        <v>0.17703981596772794</v>
      </c>
      <c r="H17" s="446">
        <f t="shared" si="2"/>
        <v>3.7324171459022578E-15</v>
      </c>
      <c r="I17" s="296">
        <f>(M.aAP+M.cwAP)*Molweight</f>
        <v>3.7012912799567425E-3</v>
      </c>
      <c r="J17" s="446">
        <f t="shared" si="3"/>
        <v>1.1786311756033224E-16</v>
      </c>
      <c r="K17" s="296">
        <f>(M.aTP+M.cwTP)*Molweight</f>
        <v>1.3270187752659124E-3</v>
      </c>
      <c r="L17" s="461">
        <f t="shared" si="4"/>
        <v>1.134508288259534E-17</v>
      </c>
      <c r="M17" s="124">
        <f>(M.aRP+M.cwRP)*(Molweight*1000)/(VOLUME.aR + VOLUME.cwR)</f>
        <v>8.0402574095871152E-11</v>
      </c>
      <c r="N17" s="124">
        <f>(M.aCP+M.cwCP)*(Molweight*1000)/(VOLUME.aC + VOLUME.cwC)</f>
        <v>7.6493281797731583E-13</v>
      </c>
      <c r="O17" s="124">
        <f>(M.aMP+M.cwMP)*(Molweight*1000)/(VOLUME.aM + VOLUME.cwM)</f>
        <v>2.2822885505640605E-15</v>
      </c>
      <c r="P17" s="124">
        <f>(M.aAP+M.cwAP)*(Molweight*1000)/(VOLUME.aA + VOLUME.cwA)</f>
        <v>8.70892065872253E-17</v>
      </c>
      <c r="Q17" s="124">
        <f>(M.aTP+M.cwTP)*(Molweight*1000)/(VOLUME.aT + VOLUME.cwT)</f>
        <v>1.0407990394243387E-17</v>
      </c>
      <c r="R17" s="160" t="s">
        <v>118</v>
      </c>
      <c r="S17" s="163"/>
      <c r="T17" s="163"/>
      <c r="U17" s="163"/>
      <c r="V17" s="163"/>
      <c r="W17" s="162"/>
      <c r="X17" s="17"/>
      <c r="Y17" s="156"/>
      <c r="Z17" s="17"/>
      <c r="AA17" s="312" t="s">
        <v>134</v>
      </c>
      <c r="AB17" s="162" t="s">
        <v>95</v>
      </c>
      <c r="AC17" s="161"/>
      <c r="AD17" s="163"/>
      <c r="AE17" s="163"/>
      <c r="AF17" s="163">
        <f>NETsedrate.w2R*SYSTEMAREA.R*AREAFRAC.w2R*C.sd2R*Molweight</f>
        <v>3.9163818150238168E-4</v>
      </c>
      <c r="AG17" s="163">
        <f>(kdis.sd2S.sd2D*M.sd2RS+kdis.sd2A.sd2D*M.sd2RA+kdis.sd2P.sd2D*M.sd2RP)*Molweight</f>
        <v>1.598113425246067E-7</v>
      </c>
      <c r="AH17" s="162">
        <f>KDEG.sd2R*VOLUME.sd2R*C.sd2R*Molweight</f>
        <v>1.7396445525393876E-15</v>
      </c>
      <c r="AI17" s="163"/>
      <c r="AJ17" s="163"/>
      <c r="AK17" s="163"/>
      <c r="AL17" s="163"/>
      <c r="AM17" s="163"/>
      <c r="AN17" s="163">
        <f>k.w2RD.sd2RD*M.w2R*Molweight</f>
        <v>1.9421084637689098E-2</v>
      </c>
      <c r="AO17" s="162">
        <f>k.sd2RD.w2RD*M.sd2R*Molweight</f>
        <v>1.9029606267527498E-2</v>
      </c>
      <c r="AP17" s="917">
        <f>SUM(AC17,AD17,AN17,AG17)-SUM(AE17,AF17,AH17,AO17)</f>
        <v>0</v>
      </c>
      <c r="AQ17" s="17"/>
      <c r="AR17" s="46"/>
      <c r="AS17" s="2"/>
      <c r="AT17" s="58" t="s">
        <v>135</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2">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136</v>
      </c>
      <c r="AB18" s="162" t="s">
        <v>96</v>
      </c>
      <c r="AC18" s="161">
        <f>E.s1RD*Molweight</f>
        <v>0</v>
      </c>
      <c r="AD18" s="163"/>
      <c r="AE18" s="163"/>
      <c r="AF18" s="163">
        <f>(FRACinf.s1R*RAINrate.R/Ks1w.R*SYSTEMAREA.R*AREAFRAC.s1R*CORRleach.s1R)*C.s1R*Molweight</f>
        <v>2.4381073386638713E-4</v>
      </c>
      <c r="AG18" s="163">
        <f>(kdis.s1S.s1D*M.s1RS+kdis.s1A.s1D*M.s1RA+kdis.s1P.s1D*M.s1RP)*Molweight</f>
        <v>7.4422567219755108E-6</v>
      </c>
      <c r="AH18" s="162">
        <f>KDEG.s1R*VOLUME.s1R*C.s1R*Molweight</f>
        <v>3.1468253146763157E-14</v>
      </c>
      <c r="AI18" s="163"/>
      <c r="AJ18" s="163"/>
      <c r="AK18" s="163">
        <f>k.aRG.s1RD*M.aR*Molweight</f>
        <v>3.6608423184489793E-2</v>
      </c>
      <c r="AL18" s="163">
        <f>k.s1RD.aRG*M.s1R*Molweight</f>
        <v>7.7275204754741309E-20</v>
      </c>
      <c r="AM18" s="163">
        <f>k.s1RD.w1RD*M.s1R*Molweight</f>
        <v>3.637205470731391E-2</v>
      </c>
      <c r="AN18" s="163"/>
      <c r="AO18" s="162"/>
      <c r="AP18" s="917">
        <f>SUM(AC18,AD18,AK18,AG18)-SUM(AE18,AF18,AH18,AL18,AM18,AP17)</f>
        <v>0</v>
      </c>
      <c r="AQ18" s="17"/>
      <c r="AR18" s="46"/>
      <c r="AS18" s="2"/>
      <c r="AT18" s="64" t="s">
        <v>137</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25">
      <c r="A19" s="17"/>
      <c r="B19" s="104" t="s">
        <v>138</v>
      </c>
      <c r="C19" s="295">
        <f>SUM(C20,C23:C25)</f>
        <v>21801.226123792443</v>
      </c>
      <c r="D19" s="446">
        <f t="shared" ref="D19:D25" si="5">C19/$C$103</f>
        <v>1.4020345408961552E-6</v>
      </c>
      <c r="E19" s="295">
        <f>SUM(E20,E23:E25)</f>
        <v>152749.76817239696</v>
      </c>
      <c r="F19" s="446">
        <f t="shared" ref="F19:F25" si="6">E19/$E$103</f>
        <v>5.1831210636478316E-7</v>
      </c>
      <c r="G19" s="296"/>
      <c r="H19" s="446"/>
      <c r="I19" s="296"/>
      <c r="J19" s="446"/>
      <c r="K19" s="296"/>
      <c r="L19" s="461"/>
      <c r="M19" s="459">
        <f>(M.w0RD+M.w0RS+M.w0RA+M.w0RP)*Molweight/(VOLUME.w0R)</f>
        <v>3.8152384169037833E-7</v>
      </c>
      <c r="N19" s="459">
        <f>(M.w0CD+M.w0CS+M.w0CA+M.w0CP)*Molweight/(VOLUME.w0C)</f>
        <v>1.7528029762972136E-7</v>
      </c>
      <c r="O19" s="124"/>
      <c r="P19" s="124"/>
      <c r="Q19" s="124"/>
      <c r="R19" s="160" t="s">
        <v>139</v>
      </c>
      <c r="S19" s="163"/>
      <c r="T19" s="163"/>
      <c r="U19" s="163"/>
      <c r="V19" s="163"/>
      <c r="W19" s="162"/>
      <c r="X19" s="17"/>
      <c r="Y19" s="156"/>
      <c r="Z19" s="17"/>
      <c r="AA19" s="312" t="s">
        <v>140</v>
      </c>
      <c r="AB19" s="162" t="s">
        <v>97</v>
      </c>
      <c r="AC19" s="161">
        <f>E.s2RD*Molweight</f>
        <v>0.3170979198376459</v>
      </c>
      <c r="AD19" s="163"/>
      <c r="AE19" s="163"/>
      <c r="AF19" s="163">
        <f>(FRACinf.s2R*RAINrate.R/Ks2w.R*SYSTEMAREA.R*AREAFRAC.s2R*CORRleach.s2R)*C.s2R*Molweight</f>
        <v>2.6632332646438018E-3</v>
      </c>
      <c r="AG19" s="163">
        <f>(kdis.s2S.s2D*M.s2RS+kdis.s2A.s2D*M.s2RA+kdis.s2P.s2D*M.s2RP)*Molweight</f>
        <v>1.5184357348512322E-3</v>
      </c>
      <c r="AH19" s="162">
        <f>KDEG.s2R*VOLUME.s2R*C.s2R*Molweight</f>
        <v>7.5538065873842952E-13</v>
      </c>
      <c r="AI19" s="163"/>
      <c r="AJ19" s="163"/>
      <c r="AK19" s="163">
        <f>k.aRG.s2RD*M.aR*Molweight</f>
        <v>8.1352051521088403E-2</v>
      </c>
      <c r="AL19" s="163">
        <f>k.s2RD.aRG*M.s2R*Molweight</f>
        <v>8.4410514898729318E-19</v>
      </c>
      <c r="AM19" s="163">
        <f>k.s2RD.w1RD*M.s2R*Molweight</f>
        <v>0.39730517382818636</v>
      </c>
      <c r="AN19" s="163"/>
      <c r="AO19" s="162"/>
      <c r="AP19" s="917">
        <f>SUM(AC19,AD19,AK19,AG19)-SUM(AE19,AF19,AH19,AL19,AM19,AP18)</f>
        <v>0</v>
      </c>
      <c r="AQ19" s="17"/>
      <c r="AR19" s="46"/>
      <c r="AS19" s="2"/>
      <c r="AT19" s="64" t="s">
        <v>80</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0.44714835990857954</v>
      </c>
      <c r="BU19" s="137"/>
      <c r="BV19" s="140"/>
      <c r="BW19" s="113"/>
      <c r="BX19" s="2"/>
      <c r="BY19" s="113"/>
      <c r="BZ19" s="140"/>
      <c r="CA19" s="137"/>
      <c r="CB19" s="2"/>
      <c r="CC19" s="2"/>
      <c r="CD19" s="78"/>
      <c r="CE19" s="2"/>
    </row>
    <row r="20" spans="1:83" ht="12.75" customHeight="1" x14ac:dyDescent="0.2">
      <c r="A20" s="17"/>
      <c r="B20" s="443" t="s">
        <v>121</v>
      </c>
      <c r="C20" s="295">
        <f>M.w0RD*Molweight</f>
        <v>14093.123275116644</v>
      </c>
      <c r="D20" s="446">
        <f t="shared" si="5"/>
        <v>9.0632726382564983E-7</v>
      </c>
      <c r="E20" s="295">
        <f>M.w0CD*Molweight</f>
        <v>75311.387853656925</v>
      </c>
      <c r="F20" s="446">
        <f t="shared" si="6"/>
        <v>2.5554738667510429E-7</v>
      </c>
      <c r="G20" s="296"/>
      <c r="H20" s="446"/>
      <c r="I20" s="296"/>
      <c r="J20" s="446"/>
      <c r="K20" s="296"/>
      <c r="L20" s="461"/>
      <c r="M20" s="124">
        <f>C.w0R*Molweight</f>
        <v>2.4663119875953347E-7</v>
      </c>
      <c r="N20" s="124">
        <f>C.w0C*Molweight</f>
        <v>8.6419787315145752E-8</v>
      </c>
      <c r="O20" s="124"/>
      <c r="P20" s="124"/>
      <c r="Q20" s="124"/>
      <c r="R20" s="160" t="s">
        <v>139</v>
      </c>
      <c r="S20" s="163">
        <f>F.w0R</f>
        <v>1.3954449416028756E-25</v>
      </c>
      <c r="T20" s="163">
        <f>F.w0C</f>
        <v>4.8896512553910994E-26</v>
      </c>
      <c r="U20" s="163"/>
      <c r="V20" s="163"/>
      <c r="W20" s="162"/>
      <c r="X20" s="17"/>
      <c r="Y20" s="156"/>
      <c r="Z20" s="17"/>
      <c r="AA20" s="312" t="s">
        <v>141</v>
      </c>
      <c r="AB20" s="162" t="s">
        <v>98</v>
      </c>
      <c r="AC20" s="161">
        <f>E.s3RD*Molweight</f>
        <v>0</v>
      </c>
      <c r="AD20" s="163"/>
      <c r="AE20" s="163"/>
      <c r="AF20" s="163">
        <f>(FRACinf.s3R*RAINrate.R/Ks3w.R*SYSTEMAREA.R*AREAFRAC.s3R*CORRleach.s3R)*C.s3R*Molweight</f>
        <v>9.030027180236558E-5</v>
      </c>
      <c r="AG20" s="163">
        <f>(kdis.s3S.s3D*M.s3RS+kdis.s3A.s3D*M.s3RA+kdis.s3P.s3D*M.s3RP)*Molweight</f>
        <v>2.7563913785094478E-6</v>
      </c>
      <c r="AH20" s="162">
        <f>KDEG.s3R*VOLUME.s3R*C.s3R*Molweight</f>
        <v>1.1654908572875238E-14</v>
      </c>
      <c r="AI20" s="163"/>
      <c r="AJ20" s="163"/>
      <c r="AK20" s="163">
        <f>k.aRG.s3RD*M.aR*Molweight</f>
        <v>1.3558675253514734E-2</v>
      </c>
      <c r="AL20" s="163">
        <f>k.s3RD.aRG*M.s3R*Molweight</f>
        <v>2.8620446205459732E-20</v>
      </c>
      <c r="AM20" s="163">
        <f>k.s3RD.w1RD*M.s3R*Molweight</f>
        <v>1.3471131373079223E-2</v>
      </c>
      <c r="AN20" s="163"/>
      <c r="AO20" s="162"/>
      <c r="AP20" s="917">
        <f>SUM(AC20,AD20,AK20,AG20)-SUM(AE20,AF20,AH20,AL20,AM20,AP19)</f>
        <v>0</v>
      </c>
      <c r="AQ20" s="17"/>
      <c r="AR20" s="46"/>
      <c r="AS20" s="2"/>
      <c r="AT20" s="64" t="s">
        <v>82</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5.9319574981490627E-4</v>
      </c>
      <c r="BR20" s="113"/>
      <c r="BS20" s="113"/>
      <c r="BT20" s="138">
        <f>IF(AI14&lt;0,"",AI14)</f>
        <v>3.7286356947178064E-3</v>
      </c>
      <c r="BU20" s="137"/>
      <c r="BV20" s="136">
        <f>IF(AI13&lt;0,"",AI13)</f>
        <v>3.3896688133798247E-4</v>
      </c>
      <c r="BW20" s="114"/>
      <c r="BX20" s="299">
        <f>IF(AK18&lt;0,"",AK18)</f>
        <v>3.6608423184489793E-2</v>
      </c>
      <c r="BY20" s="113"/>
      <c r="BZ20" s="138">
        <f>IF(AK20&lt;0,"",AK20)</f>
        <v>1.3558675253514734E-2</v>
      </c>
      <c r="CA20" s="137"/>
      <c r="CB20" s="136">
        <f>IF(AK19&lt;0,"",AK19)</f>
        <v>8.1352051521088403E-2</v>
      </c>
      <c r="CC20" s="140"/>
      <c r="CD20" s="2"/>
      <c r="CE20" s="2"/>
    </row>
    <row r="21" spans="1:83" ht="12.75" customHeight="1" thickBot="1" x14ac:dyDescent="0.25">
      <c r="A21" s="17"/>
      <c r="B21" s="159" t="s">
        <v>142</v>
      </c>
      <c r="C21" s="295">
        <f>FRwD.w0R*C20</f>
        <v>14089.319158943727</v>
      </c>
      <c r="D21" s="446">
        <f t="shared" si="5"/>
        <v>9.0608262151783979E-7</v>
      </c>
      <c r="E21" s="295">
        <f>FRw.w0C*E20</f>
        <v>75291.059267654637</v>
      </c>
      <c r="F21" s="446">
        <f t="shared" si="6"/>
        <v>2.5547840750507786E-7</v>
      </c>
      <c r="G21" s="296"/>
      <c r="H21" s="446"/>
      <c r="I21" s="296"/>
      <c r="J21" s="446"/>
      <c r="K21" s="296"/>
      <c r="L21" s="461"/>
      <c r="M21" s="124">
        <f>M20*FRwD.w0R</f>
        <v>2.4656462631042959E-7</v>
      </c>
      <c r="N21" s="124">
        <f>N20*FRw.w0C</f>
        <v>8.6396460270872603E-8</v>
      </c>
      <c r="O21" s="124"/>
      <c r="P21" s="124"/>
      <c r="Q21" s="124"/>
      <c r="R21" s="160" t="s">
        <v>139</v>
      </c>
      <c r="S21" s="163">
        <f>S20*FRwD.w0R</f>
        <v>1.3950682731691196E-25</v>
      </c>
      <c r="T21" s="163">
        <f>T20*FRw.w0C</f>
        <v>4.8883314059115023E-26</v>
      </c>
      <c r="U21" s="163"/>
      <c r="V21" s="163"/>
      <c r="W21" s="162"/>
      <c r="X21" s="17"/>
      <c r="Y21" s="156"/>
      <c r="Z21" s="17"/>
      <c r="AA21" s="915" t="s">
        <v>143</v>
      </c>
      <c r="AB21" s="304"/>
      <c r="AC21" s="917"/>
      <c r="AD21" s="163"/>
      <c r="AE21" s="163"/>
      <c r="AF21" s="163"/>
      <c r="AG21" s="163"/>
      <c r="AH21" s="162"/>
      <c r="AI21" s="163"/>
      <c r="AJ21" s="163"/>
      <c r="AK21" s="163"/>
      <c r="AL21" s="163"/>
      <c r="AM21" s="163"/>
      <c r="AN21" s="163"/>
      <c r="AO21" s="162"/>
      <c r="AP21" s="934"/>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3.3784884563635794E-4</v>
      </c>
      <c r="BO21" s="113"/>
      <c r="BP21" s="113"/>
      <c r="BQ21" s="137"/>
      <c r="BR21" s="113"/>
      <c r="BS21" s="113"/>
      <c r="BT21" s="137"/>
      <c r="BU21" s="302"/>
      <c r="BV21" s="137"/>
      <c r="BW21" s="55"/>
      <c r="BX21" s="137"/>
      <c r="BY21" s="113"/>
      <c r="BZ21" s="137"/>
      <c r="CA21" s="137"/>
      <c r="CB21" s="55"/>
      <c r="CC21" s="141"/>
      <c r="CD21" s="113"/>
      <c r="CE21" s="2"/>
    </row>
    <row r="22" spans="1:83" ht="12.75" customHeight="1" x14ac:dyDescent="0.2">
      <c r="A22" s="17"/>
      <c r="B22" s="159" t="s">
        <v>144</v>
      </c>
      <c r="C22" s="295">
        <f>(1-FRwD.w0R)*C20</f>
        <v>3.8041161729175528</v>
      </c>
      <c r="D22" s="446">
        <f t="shared" si="5"/>
        <v>2.4464230780999337E-10</v>
      </c>
      <c r="E22" s="295">
        <f>(1-FRw.w0C)*E20</f>
        <v>20.32858600228143</v>
      </c>
      <c r="F22" s="446">
        <f t="shared" si="6"/>
        <v>6.8979170026420824E-11</v>
      </c>
      <c r="G22" s="296"/>
      <c r="H22" s="446"/>
      <c r="I22" s="296"/>
      <c r="J22" s="446"/>
      <c r="K22" s="296"/>
      <c r="L22" s="461"/>
      <c r="M22" s="124">
        <f>M21*Kp.susp1R</f>
        <v>2.4656462631042957E-5</v>
      </c>
      <c r="N22" s="124">
        <f>N21*Kp.susp1C</f>
        <v>8.6396460270872601E-6</v>
      </c>
      <c r="O22" s="124"/>
      <c r="P22" s="124"/>
      <c r="Q22" s="124"/>
      <c r="R22" s="160" t="s">
        <v>145</v>
      </c>
      <c r="S22" s="163">
        <f>S20*(1-FRwD.w0R)</f>
        <v>3.7666843375593427E-29</v>
      </c>
      <c r="T22" s="163">
        <f>T20*(1-FRw.w0C)</f>
        <v>1.3198494795970585E-29</v>
      </c>
      <c r="U22" s="163"/>
      <c r="V22" s="163"/>
      <c r="W22" s="162"/>
      <c r="X22" s="17"/>
      <c r="Y22" s="156"/>
      <c r="Z22" s="17"/>
      <c r="AA22" s="312" t="s">
        <v>122</v>
      </c>
      <c r="AB22" s="162" t="s">
        <v>99</v>
      </c>
      <c r="AC22" s="161">
        <f>E.aCG*Molweight</f>
        <v>0</v>
      </c>
      <c r="AD22" s="163">
        <f>(k.aR.aC*M.aR+k.aM.aC*M.aM)*Molweight</f>
        <v>0.18723202791114046</v>
      </c>
      <c r="AE22" s="163">
        <f>(k.aC.aM+k.aC.aR)*M.aC*Molweight</f>
        <v>3.3224512502171101E-2</v>
      </c>
      <c r="AF22" s="163">
        <f>kesc.aC*VOLUME.aC*C.aC*Molweight</f>
        <v>7.2352709251823487E-6</v>
      </c>
      <c r="AG22" s="163"/>
      <c r="AH22" s="162">
        <f>KDEG.aC*VOLUME.aC*C.aC*Molweight</f>
        <v>7.5218714607842909E-29</v>
      </c>
      <c r="AI22" s="163">
        <f>SUM(AI23:AI25,AK28:AK30)</f>
        <v>0.15400028013804432</v>
      </c>
      <c r="AJ22" s="163">
        <f>SUM(AJ23:AJ25,AL28:AL30)</f>
        <v>1.0459070928769415E-16</v>
      </c>
      <c r="AK22" s="163"/>
      <c r="AL22" s="163"/>
      <c r="AM22" s="163"/>
      <c r="AN22" s="163"/>
      <c r="AO22" s="162"/>
      <c r="AP22" s="917">
        <f>SUM(AC22,AD22,AJ22,AL22)-SUM(AE22,AF22,AH22,AI22,AK22)</f>
        <v>0</v>
      </c>
      <c r="AQ22" s="17"/>
      <c r="AR22" s="46"/>
      <c r="AS22" s="2"/>
      <c r="AT22" s="58" t="s">
        <v>146</v>
      </c>
      <c r="AU22" s="11"/>
      <c r="AV22" s="11"/>
      <c r="AW22" s="11"/>
      <c r="AX22" s="11"/>
      <c r="AY22" s="11"/>
      <c r="AZ22" s="11"/>
      <c r="BA22" s="11"/>
      <c r="BB22" s="11"/>
      <c r="BC22" s="11"/>
      <c r="BD22" s="11"/>
      <c r="BE22" s="11"/>
      <c r="BF22" s="11"/>
      <c r="BG22" s="11"/>
      <c r="BH22" s="11"/>
      <c r="BI22" s="11"/>
      <c r="BJ22" s="11"/>
      <c r="BK22" s="2"/>
      <c r="BL22" s="62"/>
      <c r="BM22" s="2"/>
      <c r="BN22" s="134">
        <f>AE14</f>
        <v>0.7562571116246779</v>
      </c>
      <c r="BO22" s="113"/>
      <c r="BP22" s="113"/>
      <c r="BQ22" s="137"/>
      <c r="BR22" s="113"/>
      <c r="BS22" s="130">
        <f>AD14</f>
        <v>3.3784884563635789E-4</v>
      </c>
      <c r="BT22" s="113"/>
      <c r="BU22" s="137"/>
      <c r="BV22" s="137"/>
      <c r="BW22" s="113"/>
      <c r="BX22" s="137"/>
      <c r="BY22" s="113"/>
      <c r="BZ22" s="137"/>
      <c r="CA22" s="137"/>
      <c r="CB22" s="113"/>
      <c r="CC22" s="137"/>
      <c r="CD22" s="113"/>
      <c r="CE22" s="2"/>
    </row>
    <row r="23" spans="1:83" ht="12.75" customHeight="1" x14ac:dyDescent="0.2">
      <c r="A23" s="17"/>
      <c r="B23" s="159" t="s">
        <v>128</v>
      </c>
      <c r="C23" s="295">
        <f>M.w0RS*Molweight</f>
        <v>1.4328348343340476</v>
      </c>
      <c r="D23" s="446">
        <f t="shared" si="5"/>
        <v>9.2145456302716349E-11</v>
      </c>
      <c r="E23" s="295">
        <f>M.w0CS*Molweight</f>
        <v>0.11121903719453156</v>
      </c>
      <c r="F23" s="446">
        <f t="shared" si="6"/>
        <v>3.773895968935285E-13</v>
      </c>
      <c r="G23" s="296"/>
      <c r="H23" s="446"/>
      <c r="I23" s="296"/>
      <c r="J23" s="446"/>
      <c r="K23" s="296"/>
      <c r="L23" s="461"/>
      <c r="M23" s="124">
        <f>C.w0RS*Molweight</f>
        <v>2.5074766318135323E-11</v>
      </c>
      <c r="N23" s="124">
        <f>C.w0CS*Molweight</f>
        <v>1.2762380051239478E-13</v>
      </c>
      <c r="O23" s="124"/>
      <c r="P23" s="124"/>
      <c r="Q23" s="124"/>
      <c r="R23" s="160" t="s">
        <v>139</v>
      </c>
      <c r="S23" s="163"/>
      <c r="T23" s="163"/>
      <c r="U23" s="163"/>
      <c r="V23" s="163"/>
      <c r="W23" s="162"/>
      <c r="X23" s="17"/>
      <c r="Y23" s="156"/>
      <c r="Z23" s="17"/>
      <c r="AA23" s="312" t="s">
        <v>124</v>
      </c>
      <c r="AB23" s="162" t="s">
        <v>147</v>
      </c>
      <c r="AC23" s="948">
        <f>E.w0CD*Molweight</f>
        <v>0</v>
      </c>
      <c r="AD23" s="163">
        <f>k.w1C.w0C*M.w1C*Molweight</f>
        <v>0</v>
      </c>
      <c r="AE23" s="163">
        <f>(k.w0C.w1C+k.w0C.w2C)*M.w0C*Molweight</f>
        <v>1.8054099827931455E-4</v>
      </c>
      <c r="AF23" s="163"/>
      <c r="AG23" s="163">
        <f>(kdis.w0S.w0D*M.w0CS+kdis.w0A.w0D*M.w0CA+kdis.w0P.w0D*M.w0CP)*Molweight</f>
        <v>7.7438380318740063E-9</v>
      </c>
      <c r="AH23" s="162">
        <f>KDEG.w0C*VOLUME.w0C*C.w0C*Molweight</f>
        <v>3.0577671657175917E-16</v>
      </c>
      <c r="AI23" s="163">
        <f>k.aC.w0C*M.aC*Molweight</f>
        <v>1.864153684468782E-4</v>
      </c>
      <c r="AJ23" s="163">
        <f>k.w0C.aC*M.w0C*Molweight</f>
        <v>5.5424716130626631E-23</v>
      </c>
      <c r="AK23" s="163"/>
      <c r="AL23" s="163"/>
      <c r="AM23" s="163"/>
      <c r="AN23" s="163">
        <f>k.w0C.sd0C*M.w0CD*Molweight</f>
        <v>5.8821140052897664E-6</v>
      </c>
      <c r="AO23" s="162">
        <f>k.sd0C.w0C*M.sd0CD*Molweight</f>
        <v>0</v>
      </c>
      <c r="AP23" s="917">
        <f>SUM(AC23,AD23,AI23,AM23,AO23,AG23)-SUM(AF23,AE23,AH23,AJ23,AN23)</f>
        <v>0</v>
      </c>
      <c r="AQ23" s="17"/>
      <c r="AR23" s="46"/>
      <c r="AS23" s="2"/>
      <c r="AT23" s="64" t="s">
        <v>148</v>
      </c>
      <c r="AU23" s="11"/>
      <c r="AV23" s="11"/>
      <c r="AW23" s="11"/>
      <c r="AX23" s="11"/>
      <c r="AY23" s="11"/>
      <c r="AZ23" s="11"/>
      <c r="BA23" s="11"/>
      <c r="BB23" s="11"/>
      <c r="BC23" s="11"/>
      <c r="BD23" s="11"/>
      <c r="BE23" s="11"/>
      <c r="BF23" s="11"/>
      <c r="BG23" s="11"/>
      <c r="BH23" s="11"/>
      <c r="BI23" s="11"/>
      <c r="BJ23" s="11"/>
      <c r="BK23" s="2"/>
      <c r="BL23" s="62"/>
      <c r="BM23" s="2"/>
      <c r="BN23" s="134">
        <f>AE15</f>
        <v>5.4689742851886898</v>
      </c>
      <c r="BO23" s="132"/>
      <c r="BP23" s="130">
        <f>AD15</f>
        <v>5.4687725163842087</v>
      </c>
      <c r="BQ23" s="301"/>
      <c r="BR23" s="134"/>
      <c r="BS23" s="135"/>
      <c r="BT23" s="55">
        <f>AH14</f>
        <v>4.220684444724282E-14</v>
      </c>
      <c r="BU23" s="113"/>
      <c r="BV23" s="954">
        <f>AH13</f>
        <v>5.7220416249399314E-17</v>
      </c>
      <c r="BW23" s="113"/>
      <c r="BX23" s="137"/>
      <c r="BY23" s="113"/>
      <c r="BZ23" s="2"/>
      <c r="CA23" s="113"/>
      <c r="CB23" s="2"/>
      <c r="CC23" s="141"/>
      <c r="CD23" s="113"/>
      <c r="CE23" s="2"/>
    </row>
    <row r="24" spans="1:83" ht="12.75" customHeight="1" thickBot="1" x14ac:dyDescent="0.3">
      <c r="A24" s="17"/>
      <c r="B24" s="159" t="s">
        <v>131</v>
      </c>
      <c r="C24" s="295">
        <f>M.w0RA*Molweight</f>
        <v>7700.8643655397964</v>
      </c>
      <c r="D24" s="446">
        <f t="shared" si="5"/>
        <v>4.9524177098737291E-7</v>
      </c>
      <c r="E24" s="295">
        <f>M.w0CA*Molweight</f>
        <v>77437.393667910015</v>
      </c>
      <c r="F24" s="446">
        <f t="shared" si="6"/>
        <v>2.6276137177579282E-7</v>
      </c>
      <c r="G24" s="296"/>
      <c r="H24" s="446"/>
      <c r="I24" s="296"/>
      <c r="J24" s="446"/>
      <c r="K24" s="296"/>
      <c r="L24" s="461"/>
      <c r="M24" s="124">
        <f>C.w0RA*Molweight</f>
        <v>1.347659686842507E-7</v>
      </c>
      <c r="N24" s="124">
        <f>C.w0CA*Molweight</f>
        <v>8.8859378133144391E-8</v>
      </c>
      <c r="O24" s="124"/>
      <c r="P24" s="124"/>
      <c r="Q24" s="124"/>
      <c r="R24" s="160" t="s">
        <v>139</v>
      </c>
      <c r="S24" s="163"/>
      <c r="T24" s="163"/>
      <c r="U24" s="163"/>
      <c r="V24" s="163"/>
      <c r="W24" s="162"/>
      <c r="X24" s="17"/>
      <c r="Y24" s="156"/>
      <c r="Z24" s="17"/>
      <c r="AA24" s="312" t="s">
        <v>127</v>
      </c>
      <c r="AB24" s="162" t="s">
        <v>100</v>
      </c>
      <c r="AC24" s="161">
        <f>E.w1CD*Molweight</f>
        <v>0</v>
      </c>
      <c r="AD24" s="163">
        <f>k.w0C.w1C*M.w0C*Molweight</f>
        <v>1.8054099827931455E-4</v>
      </c>
      <c r="AE24" s="163">
        <f>(k.w1C.w0C+k.w1C.w1R+k.w1C.w2C)*M.w1C*Molweight</f>
        <v>7.2934305170397146E-2</v>
      </c>
      <c r="AF24" s="163"/>
      <c r="AG24" s="163">
        <f>(kdis.w1S.w1D*M.w1CS+kdis.w1A.w1D*M.w1CA+kdis.w1P.w1D*M.w1CP)*Molweight</f>
        <v>4.0622332550286976E-8</v>
      </c>
      <c r="AH24" s="162">
        <f>KDEG.w1C*VOLUME.w1C*C.w1C*Molweight</f>
        <v>4.0704765956930652E-15</v>
      </c>
      <c r="AI24" s="163">
        <f>k.aC.w1C*M.aC*Molweight</f>
        <v>2.0505690529156601E-3</v>
      </c>
      <c r="AJ24" s="163">
        <f>k.w1C.aC*M.w1C*Molweight</f>
        <v>2.4593654738446271E-20</v>
      </c>
      <c r="AK24" s="163"/>
      <c r="AL24" s="163"/>
      <c r="AM24" s="163">
        <f>(k.s1C.w1C*M.s1C+k.s2C.w1C*M.s2C+k.s3C.w1C*M.s3C)*Molweight</f>
        <v>7.1854047154205708E-2</v>
      </c>
      <c r="AN24" s="163">
        <f>k.w1C.sd1C*M.w1C*Molweight</f>
        <v>2.5816265034430807E-2</v>
      </c>
      <c r="AO24" s="162">
        <f>k.sd1C.w1C*M.sd1C*Molweight</f>
        <v>2.4665372377098795E-2</v>
      </c>
      <c r="AP24" s="917">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25">
      <c r="A25" s="17"/>
      <c r="B25" s="159" t="s">
        <v>133</v>
      </c>
      <c r="C25" s="295">
        <f>M.w0RP*Molweight</f>
        <v>5.805648301668719</v>
      </c>
      <c r="D25" s="446">
        <f t="shared" si="5"/>
        <v>3.7336062682967557E-10</v>
      </c>
      <c r="E25" s="295">
        <f>M.w0CP*Molweight</f>
        <v>0.87543179284445982</v>
      </c>
      <c r="F25" s="446">
        <f t="shared" si="6"/>
        <v>2.9705242892139851E-12</v>
      </c>
      <c r="G25" s="296"/>
      <c r="H25" s="446"/>
      <c r="I25" s="296"/>
      <c r="J25" s="446"/>
      <c r="K25" s="296"/>
      <c r="L25" s="461"/>
      <c r="M25" s="124">
        <f>C.w0RP*Molweight</f>
        <v>1.015994802759543E-10</v>
      </c>
      <c r="N25" s="124">
        <f>C.w0CP*Molweight</f>
        <v>1.0045576306938468E-12</v>
      </c>
      <c r="O25" s="124"/>
      <c r="P25" s="124"/>
      <c r="Q25" s="124"/>
      <c r="R25" s="160" t="s">
        <v>139</v>
      </c>
      <c r="S25" s="163"/>
      <c r="T25" s="163"/>
      <c r="U25" s="163"/>
      <c r="V25" s="163"/>
      <c r="W25" s="162"/>
      <c r="X25" s="17"/>
      <c r="Y25" s="156"/>
      <c r="Z25" s="17"/>
      <c r="AA25" s="312" t="s">
        <v>129</v>
      </c>
      <c r="AB25" s="162" t="s">
        <v>101</v>
      </c>
      <c r="AC25" s="161">
        <f>E.w2CD*Molweight</f>
        <v>0</v>
      </c>
      <c r="AD25" s="163">
        <f>(k.w2M.w2C*M.w2M+k.w2R.w2C*M.w2R+k.w1C.w2C*M.w1C)*Molweight</f>
        <v>9002.639633576262</v>
      </c>
      <c r="AE25" s="163">
        <f>(k.w2C.w2M+k.w2C.w2R)*M.w2C*Molweight</f>
        <v>9001.334001250345</v>
      </c>
      <c r="AF25" s="163"/>
      <c r="AG25" s="163">
        <f>(kdis.w2S.w2D*M.w2CS+kdis.w2A.w2D*M.w2CA+kdis.w2P.w2D*M.w2CP)*Molweight</f>
        <v>8.9776868404891177E-4</v>
      </c>
      <c r="AH25" s="162">
        <f>KDEG.w2C*VOLUME.w2C*C.w2C*Molweight</f>
        <v>1.1520920301570893E-9</v>
      </c>
      <c r="AI25" s="163">
        <f>k.aC.w2C*M.aC*Molweight</f>
        <v>7.9434132759314463E-2</v>
      </c>
      <c r="AJ25" s="163">
        <f>k.w2C.aC*M.w2C*Molweight</f>
        <v>1.0441340080389798E-16</v>
      </c>
      <c r="AK25" s="163"/>
      <c r="AL25" s="163"/>
      <c r="AM25" s="163"/>
      <c r="AN25" s="163">
        <f>k.w2C.sd2C*M.w2C*Molweight</f>
        <v>68.562618959304331</v>
      </c>
      <c r="AO25" s="162">
        <f>k.sd2C.w2C*M.sd2C*Molweight</f>
        <v>67.176654733094907</v>
      </c>
      <c r="AP25" s="917">
        <f>SUM(AC25,AD25,AI25,AM25,AO25,AG25)-SUM(AF25,AE25,AH25,AJ25,AN25)</f>
        <v>0</v>
      </c>
      <c r="AQ25" s="17"/>
      <c r="AR25" s="46"/>
      <c r="AS25" s="2"/>
      <c r="AT25" s="58" t="s">
        <v>149</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0.3170979198376459</v>
      </c>
      <c r="BT25" s="42" t="s">
        <v>150</v>
      </c>
      <c r="BU25" s="140"/>
      <c r="BV25" s="98" t="s">
        <v>151</v>
      </c>
      <c r="BW25" s="113"/>
      <c r="BX25" s="2"/>
      <c r="BY25" s="113"/>
      <c r="BZ25" s="2"/>
      <c r="CA25" s="113"/>
      <c r="CB25" s="113"/>
      <c r="CC25" s="55"/>
      <c r="CD25" s="2"/>
      <c r="CE25" s="2"/>
    </row>
    <row r="26" spans="1:83" ht="12.75" customHeight="1" thickBot="1" x14ac:dyDescent="0.3">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132</v>
      </c>
      <c r="AB26" s="162" t="s">
        <v>102</v>
      </c>
      <c r="AC26" s="161"/>
      <c r="AD26" s="163"/>
      <c r="AE26" s="163"/>
      <c r="AF26" s="163">
        <f>(NETsedrate.w1C*SYSTEMAREA.C*AREAFRAC.w1C)*C.sd1C*Molweight</f>
        <v>1.1509299929817745E-3</v>
      </c>
      <c r="AG26" s="163">
        <f>(kdis.sd1S.sd1D*M.sd1CS+kdis.sd1A.sd1D*M.sd1CA+kdis.sd1P.sd1D*M.sd1CP)*Molweight</f>
        <v>3.7335651376376081E-8</v>
      </c>
      <c r="AH26" s="162">
        <f>KDEG.sd1C*VOLUME.sd1C*C.sd1C*Molweight</f>
        <v>1.6262549740549869E-15</v>
      </c>
      <c r="AI26" s="163"/>
      <c r="AJ26" s="163"/>
      <c r="AK26" s="163"/>
      <c r="AL26" s="163"/>
      <c r="AM26" s="163"/>
      <c r="AN26" s="163">
        <f>k.w1C.sd1C*M.w1C*Molweight</f>
        <v>2.5816265034430807E-2</v>
      </c>
      <c r="AO26" s="162">
        <f>k.sd1C.w1C*M.sd1C*Molweight</f>
        <v>2.4665372377098795E-2</v>
      </c>
      <c r="AP26" s="917">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0.25846452423011679</v>
      </c>
      <c r="BT26" s="82">
        <f>IF(ISERROR(D36),0,D36)</f>
        <v>6.6949296320380322E-4</v>
      </c>
      <c r="BU26" s="113"/>
      <c r="BV26" s="82">
        <f>IF(ISERROR(F36),0,D20)</f>
        <v>9.0632726382564983E-7</v>
      </c>
      <c r="BW26" s="2"/>
      <c r="BX26" s="76" t="s">
        <v>152</v>
      </c>
      <c r="BY26" s="42"/>
      <c r="BZ26" s="76" t="s">
        <v>153</v>
      </c>
      <c r="CA26" s="113"/>
      <c r="CB26" s="113"/>
      <c r="CC26" s="76" t="s">
        <v>154</v>
      </c>
      <c r="CD26" s="94"/>
      <c r="CE26" s="2"/>
    </row>
    <row r="27" spans="1:83" ht="12.75" customHeight="1" x14ac:dyDescent="0.25">
      <c r="A27" s="17"/>
      <c r="B27" s="104" t="s">
        <v>155</v>
      </c>
      <c r="C27" s="295">
        <f>SUM(C28,C31:C33)</f>
        <v>2280.868112752175</v>
      </c>
      <c r="D27" s="446">
        <f t="shared" ref="D27:D33" si="7">C27/$C$103</f>
        <v>1.4668238653867467E-7</v>
      </c>
      <c r="E27" s="295">
        <f>SUM(E28,E31:E33)</f>
        <v>15352.53520417326</v>
      </c>
      <c r="F27" s="446">
        <f t="shared" ref="F27:F33" si="8">E27/$E$103</f>
        <v>5.2094382563864942E-8</v>
      </c>
      <c r="G27" s="296"/>
      <c r="H27" s="446"/>
      <c r="I27" s="296"/>
      <c r="J27" s="446"/>
      <c r="K27" s="296"/>
      <c r="L27" s="461"/>
      <c r="M27" s="459">
        <f>((M.sd0RD+M.sd0RS+M.sd0RA+M.sd0RP)*Molweight*1000/(VOLUME.sd0R))/(FRACw.sdR*1000+FRACs.sdR*RHOsolid)</f>
        <v>1.0234728575556946E-4</v>
      </c>
      <c r="N27" s="459">
        <f>((M.sd0CD+M.sd0CS+M.sd0CA+M.sd0CP)*Molweight*1000/(VOLUME.sd0C))/(FRACw.sdC*1000+FRACs.sdC*RHOsolid)</f>
        <v>4.5171866617510309E-5</v>
      </c>
      <c r="O27" s="124"/>
      <c r="P27" s="124"/>
      <c r="Q27" s="124"/>
      <c r="R27" s="160" t="s">
        <v>156</v>
      </c>
      <c r="S27" s="163"/>
      <c r="T27" s="163"/>
      <c r="U27" s="163"/>
      <c r="V27" s="163"/>
      <c r="W27" s="162"/>
      <c r="X27" s="17"/>
      <c r="Y27" s="156"/>
      <c r="Z27" s="17"/>
      <c r="AA27" s="312" t="s">
        <v>134</v>
      </c>
      <c r="AB27" s="162" t="s">
        <v>103</v>
      </c>
      <c r="AC27" s="161"/>
      <c r="AD27" s="163"/>
      <c r="AE27" s="163"/>
      <c r="AF27" s="163">
        <f>(NETsedrate.w2C*SYSTEMAREA.C*AREAFRAC.w2C)*C.sd2C*Molweight</f>
        <v>1.3859876105886861</v>
      </c>
      <c r="AG27" s="163">
        <f>(kdis.sd2S.sd2D*M.sd2CS+kdis.sd2A.sd2D*M.sd2CA+kdis.sd2P.sd2D*M.sd2CP)*Molweight</f>
        <v>2.3384385422392933E-5</v>
      </c>
      <c r="AH27" s="162">
        <f>KDEG.sd2C*VOLUME.sd2C*C.sd2C*Molweight</f>
        <v>6.1629840767557288E-12</v>
      </c>
      <c r="AI27" s="163"/>
      <c r="AJ27" s="163"/>
      <c r="AK27" s="163"/>
      <c r="AL27" s="163"/>
      <c r="AM27" s="163"/>
      <c r="AN27" s="163">
        <f>k.w2C.sd2C*M.w2C*Molweight</f>
        <v>68.562618959304331</v>
      </c>
      <c r="AO27" s="162">
        <f>k.sd2C.w2C*M.sd2C*Molweight</f>
        <v>67.176654733094907</v>
      </c>
      <c r="AP27" s="917">
        <f>SUM(AC27,AD27,AN27,AG27)-SUM(AE27,AF27,AH27,AO27)</f>
        <v>0</v>
      </c>
      <c r="AQ27" s="17"/>
      <c r="AR27" s="46"/>
      <c r="AS27" s="2"/>
      <c r="AT27" s="58" t="s">
        <v>157</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4.9829832033257003E-4</v>
      </c>
      <c r="BY27" s="42"/>
      <c r="BZ27" s="96">
        <f>IF(ISERROR(D92),0,D92)</f>
        <v>1.8455493345650734E-4</v>
      </c>
      <c r="CA27" s="113"/>
      <c r="CB27" s="113"/>
      <c r="CC27" s="96">
        <f>IF(ISERROR(D84),0,D84)</f>
        <v>1.1961417486556191E-2</v>
      </c>
      <c r="CD27" s="2"/>
      <c r="CE27" s="2"/>
    </row>
    <row r="28" spans="1:83" ht="12.75" customHeight="1" x14ac:dyDescent="0.2">
      <c r="A28" s="17"/>
      <c r="B28" s="443" t="s">
        <v>121</v>
      </c>
      <c r="C28" s="295">
        <f>M.sd0RD*Molweight</f>
        <v>386.47793709861003</v>
      </c>
      <c r="D28" s="446">
        <f t="shared" si="7"/>
        <v>2.4854355164694015E-8</v>
      </c>
      <c r="E28" s="295">
        <f>M.sd0CD*Molweight</f>
        <v>2046.9648731586703</v>
      </c>
      <c r="F28" s="446">
        <f t="shared" si="8"/>
        <v>6.9457825550619483E-9</v>
      </c>
      <c r="G28" s="296"/>
      <c r="H28" s="446"/>
      <c r="I28" s="296"/>
      <c r="J28" s="446"/>
      <c r="K28" s="296"/>
      <c r="L28" s="461"/>
      <c r="M28" s="124">
        <f>C.sd0RD*(Molweight*1000)/(FRACw.sdR*1000+FRACs.sdR*RHOsolid)</f>
        <v>1.7342067103882669E-5</v>
      </c>
      <c r="N28" s="124">
        <f>C.sd0CD*(Molweight*1000)/(FRACw.sdC*1000+FRACs.sdC*RHOsolid)</f>
        <v>6.0227983841989607E-6</v>
      </c>
      <c r="O28" s="124"/>
      <c r="P28" s="124"/>
      <c r="Q28" s="124"/>
      <c r="R28" s="160" t="s">
        <v>156</v>
      </c>
      <c r="S28" s="163"/>
      <c r="T28" s="163"/>
      <c r="U28" s="163"/>
      <c r="V28" s="163"/>
      <c r="W28" s="162"/>
      <c r="X28" s="17"/>
      <c r="Y28" s="156"/>
      <c r="Z28" s="17"/>
      <c r="AA28" s="312" t="s">
        <v>136</v>
      </c>
      <c r="AB28" s="162" t="s">
        <v>104</v>
      </c>
      <c r="AC28" s="161">
        <f>E.s1CD*Molweight</f>
        <v>0</v>
      </c>
      <c r="AD28" s="163"/>
      <c r="AE28" s="163"/>
      <c r="AF28" s="163">
        <f>(FRACinf.s1C*RAINrate.C/Ks1w.C*SYSTEMAREA.C*AREAFRAC.s1C*CORRleach.s1C)*C.s1C*Molweight</f>
        <v>1.3406115852616273E-4</v>
      </c>
      <c r="AG28" s="163">
        <f>(kdis.s1S.s1D*M.s1CS+kdis.s1A.s1D*M.s1CA+kdis.s1P.s1D*M.s1CP)*Molweight</f>
        <v>6.4812859220117673E-7</v>
      </c>
      <c r="AH28" s="162">
        <f>KDEG.s1C*VOLUME.s1C*C.s1C*Molweight</f>
        <v>1.7303054737374878E-14</v>
      </c>
      <c r="AI28" s="163"/>
      <c r="AJ28" s="163"/>
      <c r="AK28" s="163">
        <f>k.aC.s1C*M.aC*Molweight</f>
        <v>2.0132859792256881E-2</v>
      </c>
      <c r="AL28" s="163">
        <f>k.s1C.aC*M.s1C*Molweight</f>
        <v>4.2490350242103435E-20</v>
      </c>
      <c r="AM28" s="163">
        <f>k.s1C.w1C*M.s1C*Molweight</f>
        <v>1.9999446762305625E-2</v>
      </c>
      <c r="AN28" s="163"/>
      <c r="AO28" s="162"/>
      <c r="AP28" s="917">
        <f>SUM(AC28,AD28,AK28,AG28)-SUM(AE28,AF28,AH28,AL28,AM28,AP27)</f>
        <v>0</v>
      </c>
      <c r="AQ28" s="17"/>
      <c r="AR28" s="46"/>
      <c r="AS28" s="2"/>
      <c r="AT28" s="64" t="s">
        <v>158</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0.27052094307614744</v>
      </c>
      <c r="BT28" s="22">
        <f>AH16</f>
        <v>1.6916558867948843E-14</v>
      </c>
      <c r="BU28" s="113"/>
      <c r="BV28" s="113"/>
      <c r="BW28" s="113"/>
      <c r="BX28" s="2"/>
      <c r="BY28" s="42"/>
      <c r="BZ28" s="113"/>
      <c r="CA28" s="113"/>
      <c r="CB28" s="113"/>
      <c r="CC28" s="113"/>
      <c r="CD28" s="2"/>
      <c r="CE28" s="2"/>
    </row>
    <row r="29" spans="1:83" ht="12.75" customHeight="1" thickBot="1" x14ac:dyDescent="0.3">
      <c r="A29" s="17"/>
      <c r="B29" s="159" t="s">
        <v>159</v>
      </c>
      <c r="C29" s="295">
        <f>C28*FRACw.sdR</f>
        <v>309.18234967888804</v>
      </c>
      <c r="D29" s="446">
        <f t="shared" si="7"/>
        <v>1.9883484131755213E-8</v>
      </c>
      <c r="E29" s="295">
        <f>E28*FRACw.sdC</f>
        <v>1637.5718985269364</v>
      </c>
      <c r="F29" s="446">
        <f t="shared" si="8"/>
        <v>5.5566260440495584E-9</v>
      </c>
      <c r="G29" s="296"/>
      <c r="H29" s="446"/>
      <c r="I29" s="296"/>
      <c r="J29" s="446"/>
      <c r="K29" s="296"/>
      <c r="L29" s="461"/>
      <c r="M29" s="124">
        <f>M30/Kp.sd0R</f>
        <v>8.7382508662974716E-4</v>
      </c>
      <c r="N29" s="124">
        <f>N30/Kp.sd0C</f>
        <v>3.0347433718831988E-4</v>
      </c>
      <c r="O29" s="124"/>
      <c r="P29" s="124"/>
      <c r="Q29" s="124"/>
      <c r="R29" s="160" t="s">
        <v>139</v>
      </c>
      <c r="S29" s="163"/>
      <c r="T29" s="163"/>
      <c r="U29" s="163"/>
      <c r="V29" s="163"/>
      <c r="W29" s="162"/>
      <c r="X29" s="17"/>
      <c r="Y29" s="156"/>
      <c r="Z29" s="17"/>
      <c r="AA29" s="312" t="s">
        <v>140</v>
      </c>
      <c r="AB29" s="162" t="s">
        <v>105</v>
      </c>
      <c r="AC29" s="161">
        <f>E.s2CD*Molweight</f>
        <v>0</v>
      </c>
      <c r="AD29" s="163"/>
      <c r="AE29" s="163"/>
      <c r="AF29" s="163">
        <f>(FRACinf.s2C*RAINrate.C/Ks2w.C*SYSTEMAREA.C*AREAFRAC.s2C*CORRleach.s2C)*C.s2C*Molweight</f>
        <v>2.9794172434215399E-4</v>
      </c>
      <c r="AG29" s="163">
        <f>(kdis.s2S.s2D*M.s2CS+kdis.s2A.s2D*M.s2CA+kdis.s2P.s2D*M.s2CP)*Molweight</f>
        <v>5.6511845316002415E-6</v>
      </c>
      <c r="AH29" s="162">
        <f>KDEG.s2C*VOLUME.s2C*C.s2C*Molweight</f>
        <v>8.4506084760600483E-14</v>
      </c>
      <c r="AI29" s="163"/>
      <c r="AJ29" s="163"/>
      <c r="AK29" s="163">
        <f>k.aC.s2C*M.aC*Molweight</f>
        <v>4.4739688427237509E-2</v>
      </c>
      <c r="AL29" s="163">
        <f>k.s2C.aC*M.s2C*Molweight</f>
        <v>9.4431887343146907E-20</v>
      </c>
      <c r="AM29" s="163">
        <f>k.s2C.w1C*M.s2C*Molweight</f>
        <v>4.4447397887342442E-2</v>
      </c>
      <c r="AN29" s="163"/>
      <c r="AO29" s="162"/>
      <c r="AP29" s="917">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3.1468253146763157E-14</v>
      </c>
      <c r="BY29" s="42"/>
      <c r="BZ29" s="55">
        <f>AH20</f>
        <v>1.1654908572875238E-14</v>
      </c>
      <c r="CA29" s="2"/>
      <c r="CB29" s="113"/>
      <c r="CC29" s="22">
        <f>AH19</f>
        <v>7.5538065873842952E-13</v>
      </c>
      <c r="CD29" s="2"/>
      <c r="CE29" s="2"/>
    </row>
    <row r="30" spans="1:83" ht="12.75" customHeight="1" x14ac:dyDescent="0.2">
      <c r="A30" s="17"/>
      <c r="B30" s="159" t="s">
        <v>160</v>
      </c>
      <c r="C30" s="295">
        <f>C28*FRACs.sdR</f>
        <v>77.295587419721983</v>
      </c>
      <c r="D30" s="446">
        <f t="shared" si="7"/>
        <v>4.9708710329388015E-9</v>
      </c>
      <c r="E30" s="295">
        <f>E28*FRACs.sdC</f>
        <v>409.39297463173398</v>
      </c>
      <c r="F30" s="446">
        <f t="shared" si="8"/>
        <v>1.3891565110123892E-9</v>
      </c>
      <c r="G30" s="296"/>
      <c r="H30" s="446"/>
      <c r="I30" s="296"/>
      <c r="J30" s="446"/>
      <c r="K30" s="296"/>
      <c r="L30" s="461"/>
      <c r="M30" s="124">
        <f>C.sd0RD*FRACs.sdR/(FRACw.sdR/(Kp.sd0R*RHOsolid/1000)+FRACs.sdR)*(Molweight*1000*1000)/(FRACs.sdR*RHOsolid)</f>
        <v>4.3691254331487357E-2</v>
      </c>
      <c r="N30" s="124">
        <f>C.sd0CD*FRACs.sdC/(FRACw.sdC/(Kp.sd0C*RHOsolid/1000)+FRACs.sdC)*(Molweight*1000*1000)/(FRACs.sdC*RHOsolid)</f>
        <v>1.5173716859415994E-2</v>
      </c>
      <c r="O30" s="124"/>
      <c r="P30" s="124"/>
      <c r="Q30" s="124"/>
      <c r="R30" s="160" t="s">
        <v>145</v>
      </c>
      <c r="S30" s="163"/>
      <c r="T30" s="163"/>
      <c r="U30" s="163"/>
      <c r="V30" s="163"/>
      <c r="W30" s="162"/>
      <c r="X30" s="17"/>
      <c r="Y30" s="156"/>
      <c r="Z30" s="17"/>
      <c r="AA30" s="312" t="s">
        <v>141</v>
      </c>
      <c r="AB30" s="162" t="s">
        <v>106</v>
      </c>
      <c r="AC30" s="161">
        <f>E.s3CD*Molweight</f>
        <v>0</v>
      </c>
      <c r="AD30" s="163"/>
      <c r="AE30" s="163"/>
      <c r="AF30" s="163">
        <f>(FRACinf.s3C*RAINrate.C/Ks3w.C*SYSTEMAREA.C*AREAFRAC.s3C*CORRleach.s3C)*C.s3C*Molweight</f>
        <v>4.9652280935615799E-5</v>
      </c>
      <c r="AG30" s="163">
        <f>(kdis.s3S.s3D*M.s3CS+kdis.s3A.s3D*M.s3CA+kdis.s3P.s3D*M.s3CP)*Molweight</f>
        <v>2.4004762674117643E-7</v>
      </c>
      <c r="AH30" s="162">
        <f>KDEG.s3C*VOLUME.s3C*C.s3C*Molweight</f>
        <v>6.4085387916203211E-15</v>
      </c>
      <c r="AI30" s="163"/>
      <c r="AJ30" s="163"/>
      <c r="AK30" s="163">
        <f>k.aC.s3C*M.aC*Molweight</f>
        <v>7.4566147378729176E-3</v>
      </c>
      <c r="AL30" s="163">
        <f>k.s3C.aC*M.s3C*Molweight</f>
        <v>1.5737166756334599E-20</v>
      </c>
      <c r="AM30" s="163">
        <f>k.s3C.w1C*M.s3C*Molweight</f>
        <v>7.407202504557636E-3</v>
      </c>
      <c r="AN30" s="163"/>
      <c r="AO30" s="162"/>
      <c r="AP30" s="917">
        <f>SUM(AC30,AD30,AK30,AG30)-SUM(AE30,AF30,AH30,AL30,AM30,AP29)</f>
        <v>0</v>
      </c>
      <c r="AQ30" s="17"/>
      <c r="AR30" s="46"/>
      <c r="AS30" s="2"/>
      <c r="AT30" s="58" t="s">
        <v>161</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162</v>
      </c>
      <c r="BT30" s="2"/>
      <c r="BU30" s="113"/>
      <c r="BV30" s="113"/>
      <c r="BW30" s="113"/>
      <c r="BX30" s="113"/>
      <c r="BY30" s="113"/>
      <c r="BZ30" s="113"/>
      <c r="CA30" s="113"/>
      <c r="CB30" s="113"/>
      <c r="CC30" s="113"/>
      <c r="CD30" s="113"/>
      <c r="CE30" s="2"/>
    </row>
    <row r="31" spans="1:83" ht="12.75" customHeight="1" x14ac:dyDescent="0.2">
      <c r="A31" s="17"/>
      <c r="B31" s="159" t="s">
        <v>128</v>
      </c>
      <c r="C31" s="295">
        <f>M.sd0RS*Molweight</f>
        <v>1.2798434141477188E-8</v>
      </c>
      <c r="D31" s="446">
        <f t="shared" si="7"/>
        <v>8.230659428899229E-19</v>
      </c>
      <c r="E31" s="295">
        <f>M.sd0CS*Molweight</f>
        <v>4.449720482401582E-10</v>
      </c>
      <c r="F31" s="446">
        <f t="shared" si="8"/>
        <v>1.5098837946288005E-21</v>
      </c>
      <c r="G31" s="296"/>
      <c r="H31" s="446"/>
      <c r="I31" s="296"/>
      <c r="J31" s="446"/>
      <c r="K31" s="296"/>
      <c r="L31" s="461"/>
      <c r="M31" s="124">
        <f>C.sd0RS*(Molweight*1000)/(FRACw.sdR*1000+FRACs.sdR*RHOsolid)</f>
        <v>5.7429230080342051E-16</v>
      </c>
      <c r="N31" s="124">
        <f>C.sd0CS*(Molweight*1000)/(FRACw.sdC*1000+FRACs.sdC*RHOsolid)</f>
        <v>1.3092442221634492E-18</v>
      </c>
      <c r="O31" s="124"/>
      <c r="P31" s="124"/>
      <c r="Q31" s="124"/>
      <c r="R31" s="160" t="s">
        <v>156</v>
      </c>
      <c r="S31" s="163"/>
      <c r="T31" s="163"/>
      <c r="U31" s="163"/>
      <c r="V31" s="163"/>
      <c r="W31" s="162"/>
      <c r="X31" s="17"/>
      <c r="Y31" s="156"/>
      <c r="Z31" s="17"/>
      <c r="AA31" s="915" t="s">
        <v>163</v>
      </c>
      <c r="AB31" s="304"/>
      <c r="AC31" s="917"/>
      <c r="AD31" s="163"/>
      <c r="AE31" s="163"/>
      <c r="AF31" s="163"/>
      <c r="AG31" s="163"/>
      <c r="AH31" s="162"/>
      <c r="AI31" s="163"/>
      <c r="AJ31" s="163"/>
      <c r="AK31" s="163"/>
      <c r="AL31" s="163"/>
      <c r="AM31" s="163"/>
      <c r="AN31" s="163"/>
      <c r="AO31" s="162"/>
      <c r="AP31" s="934"/>
      <c r="AQ31" s="17"/>
      <c r="AR31" s="46"/>
      <c r="AS31" s="2"/>
      <c r="AT31" s="64" t="s">
        <v>164</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2.6787292038080651E-4</v>
      </c>
      <c r="BU31" s="113"/>
      <c r="BV31" s="113"/>
      <c r="BW31" s="113"/>
      <c r="BX31" s="113"/>
      <c r="BY31" s="113"/>
      <c r="BZ31" s="2"/>
      <c r="CA31" s="113"/>
      <c r="CB31" s="2"/>
      <c r="CC31" s="2"/>
      <c r="CD31" s="2"/>
      <c r="CE31" s="2"/>
    </row>
    <row r="32" spans="1:83" ht="12.75" customHeight="1" thickBot="1" x14ac:dyDescent="0.25">
      <c r="A32" s="17"/>
      <c r="B32" s="159" t="s">
        <v>131</v>
      </c>
      <c r="C32" s="295">
        <f>M.sd0RA*Molweight</f>
        <v>1304.6871072470735</v>
      </c>
      <c r="D32" s="446">
        <f t="shared" si="7"/>
        <v>8.390428955855814E-8</v>
      </c>
      <c r="E32" s="295">
        <f>M.sd0CA*Molweight</f>
        <v>13215.995213198643</v>
      </c>
      <c r="F32" s="446">
        <f t="shared" si="8"/>
        <v>4.4844652784865755E-8</v>
      </c>
      <c r="G32" s="296"/>
      <c r="H32" s="446"/>
      <c r="I32" s="296"/>
      <c r="J32" s="446"/>
      <c r="K32" s="296"/>
      <c r="L32" s="461"/>
      <c r="M32" s="124">
        <f>C.sd0RA*(Molweight*1000)/(FRACw.sdR*1000+FRACs.sdR*RHOsolid)</f>
        <v>5.8544018148379542E-5</v>
      </c>
      <c r="N32" s="124">
        <f>C.sd0CA*(Molweight*1000)/(FRACw.sdC*1000+FRACs.sdC*RHOsolid)</f>
        <v>3.8885510767367235E-5</v>
      </c>
      <c r="O32" s="124"/>
      <c r="P32" s="124"/>
      <c r="Q32" s="124"/>
      <c r="R32" s="160" t="s">
        <v>156</v>
      </c>
      <c r="S32" s="163"/>
      <c r="T32" s="163"/>
      <c r="U32" s="163"/>
      <c r="V32" s="163"/>
      <c r="W32" s="162"/>
      <c r="X32" s="17"/>
      <c r="Y32" s="156"/>
      <c r="Z32" s="17"/>
      <c r="AA32" s="312" t="s">
        <v>122</v>
      </c>
      <c r="AB32" s="162" t="s">
        <v>165</v>
      </c>
      <c r="AC32" s="161">
        <f>E.aMG*Molweight</f>
        <v>0</v>
      </c>
      <c r="AD32" s="163">
        <f>(k.aC.aM*M.aC+k.aA.aM*M.aA+k.aT.aM*M.aT)*Molweight</f>
        <v>2.7476559514547676E-2</v>
      </c>
      <c r="AE32" s="163">
        <f>(k.aM.aA+k.aM.aC+k.aM.aT)*M.aM*Molweight</f>
        <v>3.526613570210058E-3</v>
      </c>
      <c r="AF32" s="163">
        <f>kesc.aM*VOLUME.aM*C.aM*Molweight</f>
        <v>1.1093270018193984E-6</v>
      </c>
      <c r="AG32" s="163"/>
      <c r="AH32" s="162">
        <f>KDEG.aM*VOLUME.aM*C.aM*Molweight</f>
        <v>1.1532692005520774E-29</v>
      </c>
      <c r="AI32" s="163">
        <f>SUM(AI33,AK36)</f>
        <v>2.3948836617336891E-2</v>
      </c>
      <c r="AJ32" s="163">
        <f>SUM(AJ33,AL36)</f>
        <v>1.0906534885691734E-15</v>
      </c>
      <c r="AK32" s="163"/>
      <c r="AL32" s="163"/>
      <c r="AM32" s="163"/>
      <c r="AN32" s="163"/>
      <c r="AO32" s="162"/>
      <c r="AP32" s="917">
        <f>SUM(AC32,AD32,AJ32,AL32)-SUM(AE32,AF32,AH32,AI32,AK32)</f>
        <v>0</v>
      </c>
      <c r="AQ32" s="17"/>
      <c r="AR32" s="46"/>
      <c r="AS32" s="2"/>
      <c r="AT32" s="51" t="s">
        <v>166</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1.6202419856694467E-14</v>
      </c>
      <c r="BR32" s="113"/>
      <c r="BS32" s="113"/>
      <c r="BT32" s="113"/>
      <c r="BU32" s="113"/>
      <c r="BV32" s="113"/>
      <c r="BW32" s="55"/>
      <c r="BX32" s="2"/>
      <c r="BY32" s="55"/>
      <c r="BZ32" s="55"/>
      <c r="CA32" s="2"/>
      <c r="CB32" s="55"/>
      <c r="CC32" s="113"/>
      <c r="CD32" s="113"/>
      <c r="CE32" s="2"/>
    </row>
    <row r="33" spans="1:83" ht="12.75" customHeight="1" thickBot="1" x14ac:dyDescent="0.25">
      <c r="A33" s="17"/>
      <c r="B33" s="159" t="s">
        <v>133</v>
      </c>
      <c r="C33" s="295">
        <f>M.sd0RP*Molweight</f>
        <v>589.70306839369289</v>
      </c>
      <c r="D33" s="446">
        <f t="shared" si="7"/>
        <v>3.7923741814599443E-8</v>
      </c>
      <c r="E33" s="295">
        <f>M.sd0CP*Molweight</f>
        <v>89.575117815502296</v>
      </c>
      <c r="F33" s="446">
        <f t="shared" si="8"/>
        <v>3.0394722393573145E-10</v>
      </c>
      <c r="G33" s="296"/>
      <c r="H33" s="446"/>
      <c r="I33" s="296"/>
      <c r="J33" s="446"/>
      <c r="K33" s="296"/>
      <c r="L33" s="461"/>
      <c r="M33" s="124">
        <f>C.sd0RP*(Molweight*1000)/(FRACw.sdR*1000+FRACs.sdR*RHOsolid)</f>
        <v>2.6461200502732953E-5</v>
      </c>
      <c r="N33" s="124">
        <f>C.sd0CP*(Molweight*1000)/(FRACw.sdC*1000+FRACs.sdC*RHOsolid)</f>
        <v>2.635574659428071E-7</v>
      </c>
      <c r="O33" s="124"/>
      <c r="P33" s="124"/>
      <c r="Q33" s="124"/>
      <c r="R33" s="160" t="s">
        <v>156</v>
      </c>
      <c r="S33" s="163"/>
      <c r="T33" s="163"/>
      <c r="U33" s="163"/>
      <c r="V33" s="163"/>
      <c r="W33" s="162"/>
      <c r="X33" s="17"/>
      <c r="Y33" s="156"/>
      <c r="Z33" s="17"/>
      <c r="AA33" s="312" t="s">
        <v>167</v>
      </c>
      <c r="AB33" s="162" t="s">
        <v>168</v>
      </c>
      <c r="AC33" s="161">
        <f>E.w2MD*Molweight</f>
        <v>0</v>
      </c>
      <c r="AD33" s="163">
        <f>(k.w2C.w2M*M.w2C+k.w2A.w2M*M.w2A+k.w2T.w2M*M.w2T+k.w3M.w2M*M.w3M)*Molweight</f>
        <v>435673.78052230831</v>
      </c>
      <c r="AE33" s="163">
        <f>(k.w2M.w2C+k.w2M.w2A+k.w2M.w2T+k.w2M.w3M)*M.w2M*Molweight</f>
        <v>435673.80907239241</v>
      </c>
      <c r="AF33" s="163"/>
      <c r="AG33" s="163">
        <f>(kdis.w2S.w2D*M.w2MS+kdis.w2A.w2D*M.w2MA+kdis.w2P.w2D*M.w2MP)*Molweight</f>
        <v>4.6809082820546471E-3</v>
      </c>
      <c r="AH33" s="162">
        <f>KDEG.w2M*VOLUME.w2M*C.w2M*Molweight</f>
        <v>6.0169674930074963E-9</v>
      </c>
      <c r="AI33" s="163">
        <f>k.aM.w2M*M.aM*Molweight</f>
        <v>1.1974418308670194E-2</v>
      </c>
      <c r="AJ33" s="163">
        <f>k.w2M.aM*M.w2M*Molweight</f>
        <v>1.0906282172366976E-15</v>
      </c>
      <c r="AK33" s="163"/>
      <c r="AL33" s="163"/>
      <c r="AM33" s="163">
        <f>k.sM.w2M*M.sM*Molweight</f>
        <v>1.189476353063665E-2</v>
      </c>
      <c r="AN33" s="163"/>
      <c r="AO33" s="162"/>
      <c r="AP33" s="917">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169</v>
      </c>
      <c r="BR33" s="2"/>
      <c r="BS33" s="113"/>
      <c r="BT33" s="113"/>
      <c r="BU33" s="113"/>
      <c r="BV33" s="113"/>
      <c r="BW33" s="2"/>
      <c r="BX33" s="2"/>
      <c r="BY33" s="113"/>
      <c r="BZ33" s="113"/>
      <c r="CA33" s="113"/>
      <c r="CB33" s="113"/>
      <c r="CC33" s="113"/>
      <c r="CD33" s="113"/>
      <c r="CE33" s="2"/>
    </row>
    <row r="34" spans="1:83" ht="12.75" customHeight="1" x14ac:dyDescent="0.2">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170</v>
      </c>
      <c r="AB34" s="162" t="s">
        <v>171</v>
      </c>
      <c r="AC34" s="161"/>
      <c r="AD34" s="163">
        <f>(k.w2M.w3M*M.w2M+k.w3A.w3M*M.w3A+k.w3T.w3M*M.w3T)*Molweight</f>
        <v>426676.78659563244</v>
      </c>
      <c r="AE34" s="163">
        <f>(k.w3M.w2M+k.w3M.w3A+k.w3M.w3T)*M.w3M*Molweight</f>
        <v>426676.8802161488</v>
      </c>
      <c r="AF34" s="163"/>
      <c r="AG34" s="163">
        <f>(kdis.w2S.w2D*M.w3MS+kdis.w2A.w2D*M.w3MA+kdis.w2P.w2D*M.w3MP)*Molweight</f>
        <v>0.14066945657855695</v>
      </c>
      <c r="AH34" s="162">
        <f>KDEG.w3M*M.w3MD*Molweight</f>
        <v>1.8050909623150861E-7</v>
      </c>
      <c r="AI34" s="163"/>
      <c r="AJ34" s="163"/>
      <c r="AK34" s="163"/>
      <c r="AL34" s="163"/>
      <c r="AM34" s="163"/>
      <c r="AN34" s="163">
        <f>k.w3M.sdM*M.w3M*Molweight</f>
        <v>716.15669927119848</v>
      </c>
      <c r="AO34" s="162">
        <f>k.sdM.w3M*M.sdM*Molweight</f>
        <v>716.10965051144808</v>
      </c>
      <c r="AP34" s="917">
        <f>SUM(AC34,AD34,AI34,AM34,AO34,AG34)-SUM(AE34,AF34,AH34,AJ34,AN34)</f>
        <v>0</v>
      </c>
      <c r="AQ34" s="17"/>
      <c r="AR34" s="46"/>
      <c r="AS34" s="2"/>
      <c r="AT34" s="58"/>
      <c r="AU34" s="48" t="s">
        <v>165</v>
      </c>
      <c r="AV34" s="48" t="s">
        <v>168</v>
      </c>
      <c r="AW34" s="48" t="s">
        <v>171</v>
      </c>
      <c r="AX34" s="48" t="s">
        <v>172</v>
      </c>
      <c r="AY34" s="50" t="s">
        <v>173</v>
      </c>
      <c r="AZ34" s="49" t="s">
        <v>174</v>
      </c>
      <c r="BA34" s="48" t="s">
        <v>175</v>
      </c>
      <c r="BB34" s="48" t="s">
        <v>176</v>
      </c>
      <c r="BC34" s="48" t="s">
        <v>177</v>
      </c>
      <c r="BD34" s="50" t="s">
        <v>178</v>
      </c>
      <c r="BE34" s="49" t="s">
        <v>179</v>
      </c>
      <c r="BF34" s="48" t="s">
        <v>180</v>
      </c>
      <c r="BG34" s="48" t="s">
        <v>181</v>
      </c>
      <c r="BH34" s="48" t="s">
        <v>182</v>
      </c>
      <c r="BI34" s="50" t="s">
        <v>183</v>
      </c>
      <c r="BJ34" s="65" t="s">
        <v>184</v>
      </c>
      <c r="BK34" s="2"/>
      <c r="BL34" s="46"/>
      <c r="BM34" s="2"/>
      <c r="BN34" s="2"/>
      <c r="BO34" s="113"/>
      <c r="BP34" s="138">
        <f>IF(AO17&lt;0,"",AO17)</f>
        <v>1.9029606267527498E-2</v>
      </c>
      <c r="BQ34" s="96">
        <f>IF(ISERROR(D52),0,D52)</f>
        <v>2.5674928894287632E-4</v>
      </c>
      <c r="BR34" s="113"/>
      <c r="BS34" s="113"/>
      <c r="BT34" s="113"/>
      <c r="BU34" s="113"/>
      <c r="BV34" s="113"/>
      <c r="BW34" s="113"/>
      <c r="BX34" s="113"/>
      <c r="BY34" s="113"/>
      <c r="BZ34" s="113"/>
      <c r="CA34" s="113"/>
      <c r="CB34" s="113"/>
      <c r="CC34" s="113"/>
      <c r="CD34" s="113"/>
      <c r="CE34" s="2"/>
    </row>
    <row r="35" spans="1:83" ht="12.75" customHeight="1" thickBot="1" x14ac:dyDescent="0.3">
      <c r="A35" s="17"/>
      <c r="B35" s="104" t="s">
        <v>185</v>
      </c>
      <c r="C35" s="295">
        <f>SUM(C36,C39:C41)</f>
        <v>18072261.038552448</v>
      </c>
      <c r="D35" s="446">
        <f t="shared" ref="D35:D41" si="9">C35/$C$103</f>
        <v>1.162225191568018E-3</v>
      </c>
      <c r="E35" s="295">
        <f>SUM(E36,E39:E41)</f>
        <v>1410216.1321056511</v>
      </c>
      <c r="F35" s="446">
        <f t="shared" ref="F35:F41" si="10">E35/$E$103</f>
        <v>4.7851600863729645E-6</v>
      </c>
      <c r="G35" s="296"/>
      <c r="H35" s="446"/>
      <c r="I35" s="296"/>
      <c r="J35" s="446"/>
      <c r="K35" s="296"/>
      <c r="L35" s="461"/>
      <c r="M35" s="459">
        <f>(M.w1RD+M.w1RS+M.w1RA+M.w1RP)*Molweight/(VOLUME.w1R)</f>
        <v>9.583834692138577E-4</v>
      </c>
      <c r="N35" s="459">
        <f>(M.w1CD+M.w1CS+M.w1CA+M.w1CP)*Molweight/(VOLUME.w1C)</f>
        <v>4.9037043794344805E-6</v>
      </c>
      <c r="O35" s="124"/>
      <c r="P35" s="124"/>
      <c r="Q35" s="124"/>
      <c r="R35" s="160" t="s">
        <v>139</v>
      </c>
      <c r="S35" s="163"/>
      <c r="T35" s="163"/>
      <c r="U35" s="163"/>
      <c r="V35" s="163"/>
      <c r="W35" s="162"/>
      <c r="X35" s="17"/>
      <c r="Y35" s="156"/>
      <c r="Z35" s="17"/>
      <c r="AA35" s="312" t="s">
        <v>186</v>
      </c>
      <c r="AB35" s="162" t="s">
        <v>172</v>
      </c>
      <c r="AC35" s="161"/>
      <c r="AD35" s="163"/>
      <c r="AE35" s="163"/>
      <c r="AF35" s="163">
        <f>(NETsedrate.wM*SYSTEMAREA.M*AREAFRAC.wM)*C.sdM*Molweight</f>
        <v>4.7297693438978057E-2</v>
      </c>
      <c r="AG35" s="163">
        <f>(kdis.sd2S.sd2D*M.sdMS+kdis.sd2A.sd2D*M.sdMA+kdis.sd2P.sd2D*M.sdMP)*Molweight</f>
        <v>2.4893375274731252E-4</v>
      </c>
      <c r="AH35" s="162">
        <f>KDEG.sdM*M.sdMD*Molweight</f>
        <v>6.4374179835723755E-11</v>
      </c>
      <c r="AI35" s="163"/>
      <c r="AJ35" s="163"/>
      <c r="AK35" s="163"/>
      <c r="AL35" s="163"/>
      <c r="AM35" s="163"/>
      <c r="AN35" s="163">
        <f>k.w3M.sdM*M.w3M*Molweight</f>
        <v>716.15669927119848</v>
      </c>
      <c r="AO35" s="162">
        <f>k.sdM.w3M*M.sdM*Molweight</f>
        <v>716.10965051144808</v>
      </c>
      <c r="AP35" s="917">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0.3170979198376459</v>
      </c>
      <c r="CC35" s="113"/>
      <c r="CD35" s="113"/>
      <c r="CE35" s="2"/>
    </row>
    <row r="36" spans="1:83" ht="12.75" customHeight="1" x14ac:dyDescent="0.25">
      <c r="A36" s="17"/>
      <c r="B36" s="443" t="s">
        <v>121</v>
      </c>
      <c r="C36" s="295">
        <f>M.w1RD*Molweight</f>
        <v>10410419.325164855</v>
      </c>
      <c r="D36" s="446">
        <f t="shared" si="9"/>
        <v>6.6949296320380322E-4</v>
      </c>
      <c r="E36" s="295">
        <f>M.w1CD*Molweight</f>
        <v>1003992.8066027812</v>
      </c>
      <c r="F36" s="446">
        <f t="shared" si="10"/>
        <v>3.4067588618403857E-6</v>
      </c>
      <c r="G36" s="296"/>
      <c r="H36" s="446"/>
      <c r="I36" s="296"/>
      <c r="J36" s="446"/>
      <c r="K36" s="296"/>
      <c r="L36" s="461"/>
      <c r="M36" s="124">
        <f>C.w1R*Molweight</f>
        <v>5.5207114193065203E-4</v>
      </c>
      <c r="N36" s="124">
        <f>C.w1C*Molweight</f>
        <v>3.4911555828733991E-6</v>
      </c>
      <c r="O36" s="124"/>
      <c r="P36" s="124"/>
      <c r="Q36" s="124"/>
      <c r="R36" s="160" t="s">
        <v>139</v>
      </c>
      <c r="S36" s="163">
        <f>F.w1R</f>
        <v>3.1236310989315671E-22</v>
      </c>
      <c r="T36" s="163">
        <f>F.w1C</f>
        <v>1.9753037827218555E-24</v>
      </c>
      <c r="U36" s="163"/>
      <c r="V36" s="163"/>
      <c r="W36" s="162"/>
      <c r="X36" s="17"/>
      <c r="Y36" s="156"/>
      <c r="Z36" s="17"/>
      <c r="AA36" s="312" t="s">
        <v>187</v>
      </c>
      <c r="AB36" s="162" t="s">
        <v>173</v>
      </c>
      <c r="AC36" s="161">
        <f>E.sMD*Molweight</f>
        <v>0</v>
      </c>
      <c r="AD36" s="163"/>
      <c r="AE36" s="163"/>
      <c r="AF36" s="163">
        <f>(FRACinf.sM*RAINrate.M/Kslw.M*SYSTEMAREA.M*AREAFRAC.sM*CORRleach.sM)*C.sM*Molweight</f>
        <v>7.9733494544329266E-5</v>
      </c>
      <c r="AG36" s="163">
        <f>(kdis.s1S.s1D*M.sMS+kdis.s1A.s1D*M.sMA+kdis.s1P.s1D*M.sMP)*Molweight</f>
        <v>7.8716524572176113E-8</v>
      </c>
      <c r="AH36" s="162">
        <f>KDEG.sM*VOLUME.sM*C.sM*Molweight</f>
        <v>1.0291071893381164E-14</v>
      </c>
      <c r="AI36" s="163"/>
      <c r="AJ36" s="163"/>
      <c r="AK36" s="163">
        <f>k.aM.sM*M.aM*Molweight</f>
        <v>1.1974418308666697E-2</v>
      </c>
      <c r="AL36" s="163">
        <f>k.sM.aM*M.sM*Molweight</f>
        <v>2.5271332475873139E-20</v>
      </c>
      <c r="AM36" s="163">
        <f>k.sM.w2M*M.sM*Molweight</f>
        <v>1.189476353063665E-2</v>
      </c>
      <c r="AN36" s="163"/>
      <c r="AO36" s="162"/>
      <c r="AP36" s="917">
        <f>SUM(AC36,AD36,AK36,AG36)-SUM(AE36,AF36,AH36,AL36,AM36,AP35)</f>
        <v>0</v>
      </c>
      <c r="AQ36" s="17"/>
      <c r="AR36" s="46"/>
      <c r="AS36" s="2"/>
      <c r="AT36" s="58" t="s">
        <v>77</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
      <c r="A37" s="17"/>
      <c r="B37" s="159" t="s">
        <v>142</v>
      </c>
      <c r="C37" s="295">
        <f>FRwD.w1R*C36</f>
        <v>10392544.14922818</v>
      </c>
      <c r="D37" s="446">
        <f t="shared" si="9"/>
        <v>6.6834341253424413E-4</v>
      </c>
      <c r="E37" s="295">
        <f>FRw.w1C*E36</f>
        <v>1002268.9040877501</v>
      </c>
      <c r="F37" s="446">
        <f t="shared" si="10"/>
        <v>3.4009092978480867E-6</v>
      </c>
      <c r="G37" s="296"/>
      <c r="H37" s="446"/>
      <c r="I37" s="296"/>
      <c r="J37" s="446"/>
      <c r="K37" s="296"/>
      <c r="L37" s="461"/>
      <c r="M37" s="124">
        <f>M36*FRwD.w1R</f>
        <v>5.5112321000943567E-4</v>
      </c>
      <c r="N37" s="124">
        <f>N36*FRw.w1C</f>
        <v>3.4851611057714716E-6</v>
      </c>
      <c r="O37" s="124"/>
      <c r="P37" s="124"/>
      <c r="Q37" s="124"/>
      <c r="R37" s="160" t="s">
        <v>139</v>
      </c>
      <c r="S37" s="163">
        <f>S36*FRwD.w1R</f>
        <v>3.1182676785245044E-22</v>
      </c>
      <c r="T37" s="163">
        <f>T36*FRw.w1C</f>
        <v>1.9719120939203122E-24</v>
      </c>
      <c r="U37" s="163"/>
      <c r="V37" s="163"/>
      <c r="W37" s="162"/>
      <c r="X37" s="17"/>
      <c r="Y37" s="156"/>
      <c r="Z37" s="17"/>
      <c r="AA37" s="915" t="s">
        <v>188</v>
      </c>
      <c r="AB37" s="304"/>
      <c r="AC37" s="917"/>
      <c r="AD37" s="163"/>
      <c r="AE37" s="163"/>
      <c r="AF37" s="163"/>
      <c r="AG37" s="163"/>
      <c r="AH37" s="162"/>
      <c r="AI37" s="163"/>
      <c r="AJ37" s="163"/>
      <c r="AK37" s="163"/>
      <c r="AL37" s="163"/>
      <c r="AM37" s="163"/>
      <c r="AN37" s="163"/>
      <c r="AO37" s="162"/>
      <c r="AP37" s="934"/>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1.9421084637689098E-2</v>
      </c>
      <c r="BQ37" s="55">
        <f>AH17</f>
        <v>1.7396445525393876E-15</v>
      </c>
      <c r="BR37" s="86"/>
      <c r="BS37" s="84"/>
      <c r="BT37" s="113"/>
      <c r="BU37" s="113"/>
      <c r="BV37" s="142">
        <f>AC18</f>
        <v>0</v>
      </c>
      <c r="BW37" s="113"/>
      <c r="BX37" s="113"/>
      <c r="BY37" s="113"/>
      <c r="BZ37" s="113"/>
      <c r="CA37" s="113"/>
      <c r="CB37" s="113"/>
      <c r="CC37" s="113"/>
      <c r="CD37" s="113"/>
      <c r="CE37" s="2"/>
    </row>
    <row r="38" spans="1:83" ht="12.75" customHeight="1" x14ac:dyDescent="0.2">
      <c r="A38" s="17"/>
      <c r="B38" s="159" t="s">
        <v>144</v>
      </c>
      <c r="C38" s="295">
        <f>(1-FRwD.w1R)*C36</f>
        <v>17875.175936674219</v>
      </c>
      <c r="D38" s="446">
        <f t="shared" si="9"/>
        <v>1.1495506695590126E-6</v>
      </c>
      <c r="E38" s="295">
        <f>(1-FRw.w1C)*E36</f>
        <v>1723.9025150310988</v>
      </c>
      <c r="F38" s="446">
        <f t="shared" si="10"/>
        <v>5.8495639922992813E-9</v>
      </c>
      <c r="G38" s="296"/>
      <c r="H38" s="446"/>
      <c r="I38" s="296"/>
      <c r="J38" s="446"/>
      <c r="K38" s="296"/>
      <c r="L38" s="461"/>
      <c r="M38" s="124">
        <f>M37*Kp.susp1R</f>
        <v>5.5112321000943564E-2</v>
      </c>
      <c r="N38" s="124">
        <f>N37*Kp.susp1C</f>
        <v>3.4851611057714715E-4</v>
      </c>
      <c r="O38" s="124"/>
      <c r="P38" s="124"/>
      <c r="Q38" s="124"/>
      <c r="R38" s="160" t="s">
        <v>145</v>
      </c>
      <c r="S38" s="163">
        <f>S36*(1-FRwD.w1R)</f>
        <v>5.3634204070626732E-25</v>
      </c>
      <c r="T38" s="163">
        <f>T36*(1-FRw.w1C)</f>
        <v>3.3916888015432692E-27</v>
      </c>
      <c r="U38" s="163"/>
      <c r="V38" s="163"/>
      <c r="W38" s="162"/>
      <c r="X38" s="17"/>
      <c r="Y38" s="156"/>
      <c r="Z38" s="17"/>
      <c r="AA38" s="312" t="s">
        <v>122</v>
      </c>
      <c r="AB38" s="162" t="s">
        <v>174</v>
      </c>
      <c r="AC38" s="161">
        <f>E.aAG*Molweight</f>
        <v>0</v>
      </c>
      <c r="AD38" s="163">
        <f>k.aM.aA*M.aM*Molweight</f>
        <v>1.1486853922007955E-3</v>
      </c>
      <c r="AE38" s="163">
        <f>k.aA.aM*M.aA*Molweight</f>
        <v>9.1311152811263067E-5</v>
      </c>
      <c r="AF38" s="163">
        <f>kesc.aA*VOLUME.aA*C.aA*Molweight</f>
        <v>4.8313760703381726E-8</v>
      </c>
      <c r="AG38" s="163"/>
      <c r="AH38" s="162">
        <f>KDEG.aA*VOLUME.aA*C.aA*Molweight</f>
        <v>4.2004571652223257E-31</v>
      </c>
      <c r="AI38" s="163">
        <f>SUM(AI39,AK42)</f>
        <v>1.0573259256288292E-3</v>
      </c>
      <c r="AJ38" s="163">
        <f>SUM(AJ39,AL42)</f>
        <v>1.9458311170120663E-21</v>
      </c>
      <c r="AK38" s="163"/>
      <c r="AL38" s="163"/>
      <c r="AM38" s="163"/>
      <c r="AN38" s="163"/>
      <c r="AO38" s="162"/>
      <c r="AP38" s="917">
        <f>SUM(AC38,AD38,AJ38,AL38)-SUM(AE38,AF38,AH38,AI38,AK38)</f>
        <v>0</v>
      </c>
      <c r="AQ38" s="17"/>
      <c r="AR38" s="46"/>
      <c r="AS38" s="2"/>
      <c r="AT38" s="58" t="s">
        <v>78</v>
      </c>
      <c r="AU38" s="11"/>
      <c r="AV38" s="11"/>
      <c r="AW38" s="11"/>
      <c r="AX38" s="11"/>
      <c r="AY38" s="11"/>
      <c r="AZ38" s="11"/>
      <c r="BA38" s="11"/>
      <c r="BB38" s="11"/>
      <c r="BC38" s="11"/>
      <c r="BD38" s="11"/>
      <c r="BE38" s="11"/>
      <c r="BF38" s="11"/>
      <c r="BG38" s="11"/>
      <c r="BH38" s="11"/>
      <c r="BI38" s="11"/>
      <c r="BJ38" s="11"/>
      <c r="BK38" s="2"/>
      <c r="BL38" s="46"/>
      <c r="BM38" s="2"/>
      <c r="BN38" s="2"/>
      <c r="BO38" s="42"/>
      <c r="BP38" s="42" t="s">
        <v>189</v>
      </c>
      <c r="BQ38" s="113"/>
      <c r="BR38" s="113"/>
      <c r="BS38" s="113"/>
      <c r="BT38" s="113"/>
      <c r="BU38" s="113"/>
      <c r="BV38" s="113"/>
      <c r="BW38" s="113"/>
      <c r="BX38" s="113"/>
      <c r="BY38" s="113"/>
      <c r="BZ38" s="113"/>
      <c r="CA38" s="113"/>
      <c r="CB38" s="113"/>
      <c r="CC38" s="113"/>
      <c r="CD38" s="113"/>
      <c r="CE38" s="2"/>
    </row>
    <row r="39" spans="1:83" ht="12.75" customHeight="1" x14ac:dyDescent="0.2">
      <c r="A39" s="17"/>
      <c r="B39" s="159" t="s">
        <v>128</v>
      </c>
      <c r="C39" s="295">
        <f>M.w1RS*Molweight</f>
        <v>4808.2272652780712</v>
      </c>
      <c r="D39" s="446">
        <f t="shared" si="9"/>
        <v>3.0921658571494278E-7</v>
      </c>
      <c r="E39" s="295">
        <f>M.w1CS*Molweight</f>
        <v>1.0989918472659448</v>
      </c>
      <c r="F39" s="446">
        <f t="shared" si="10"/>
        <v>3.7291105973480008E-12</v>
      </c>
      <c r="G39" s="296"/>
      <c r="H39" s="446"/>
      <c r="I39" s="296"/>
      <c r="J39" s="446"/>
      <c r="K39" s="296"/>
      <c r="L39" s="461"/>
      <c r="M39" s="124">
        <f>C.w1RS*Molweight</f>
        <v>2.5498334256215234E-7</v>
      </c>
      <c r="N39" s="124">
        <f>C.w1CS*Molweight</f>
        <v>3.8214930404703804E-12</v>
      </c>
      <c r="O39" s="124"/>
      <c r="P39" s="124"/>
      <c r="Q39" s="124"/>
      <c r="R39" s="160" t="s">
        <v>139</v>
      </c>
      <c r="S39" s="163"/>
      <c r="T39" s="163"/>
      <c r="U39" s="163"/>
      <c r="V39" s="163"/>
      <c r="W39" s="162"/>
      <c r="X39" s="17"/>
      <c r="Y39" s="156"/>
      <c r="Z39" s="17"/>
      <c r="AA39" s="312" t="s">
        <v>167</v>
      </c>
      <c r="AB39" s="162" t="s">
        <v>175</v>
      </c>
      <c r="AC39" s="161">
        <f>E.w2AD*Molweight</f>
        <v>0</v>
      </c>
      <c r="AD39" s="163">
        <f>(k.w2M.w2A*M.w2M+k.w3A.w2A*M.w3A)*Molweight</f>
        <v>319805.22465864825</v>
      </c>
      <c r="AE39" s="163">
        <f>(k.w2A.w2M+k.w2A.w3A)*M.w2A*Molweight</f>
        <v>319805.22945600899</v>
      </c>
      <c r="AF39" s="163"/>
      <c r="AG39" s="163">
        <f>(kdis.w2S.w2D*M.w2AS+kdis.w2A.w2D*M.w2AA+kdis.w2P.w2D*M.w2AP)*Molweight</f>
        <v>3.7428190129867723E-3</v>
      </c>
      <c r="AH39" s="162">
        <f>KDEG.w2A*VOLUME.w2A*C.w2A*Molweight</f>
        <v>1.049045090174165E-9</v>
      </c>
      <c r="AI39" s="163">
        <f>k.aA.w2A*M.aA*Molweight</f>
        <v>6.3439555537737077E-4</v>
      </c>
      <c r="AJ39" s="163">
        <f>k.w2A.aA*M.w2A*Molweight</f>
        <v>1.9458256017099242E-21</v>
      </c>
      <c r="AK39" s="163"/>
      <c r="AL39" s="163"/>
      <c r="AM39" s="163">
        <f>k.sA.w2A*M.sA*Molweight</f>
        <v>4.2014728479089004E-4</v>
      </c>
      <c r="AN39" s="163"/>
      <c r="AO39" s="162"/>
      <c r="AP39" s="917">
        <f>SUM(AC39,AD39,AI39,AM39,AG39)-SUM(AE39,AF39,AH39,AJ39)</f>
        <v>0</v>
      </c>
      <c r="AQ39" s="17"/>
      <c r="AR39" s="46"/>
      <c r="AS39" s="2"/>
      <c r="AT39" s="64" t="s">
        <v>79</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2.7547190321088674E-5</v>
      </c>
      <c r="BR39" s="113"/>
      <c r="BS39" s="113"/>
      <c r="BT39" s="113"/>
      <c r="BU39" s="113"/>
      <c r="BV39" s="2"/>
      <c r="BW39" s="113"/>
      <c r="BX39" s="2"/>
      <c r="BY39" s="113"/>
      <c r="BZ39" s="2"/>
      <c r="CA39" s="2"/>
      <c r="CB39" s="113"/>
      <c r="CC39" s="2"/>
      <c r="CD39" s="2"/>
      <c r="CE39" s="2"/>
    </row>
    <row r="40" spans="1:83" ht="12.75" customHeight="1" x14ac:dyDescent="0.2">
      <c r="A40" s="17"/>
      <c r="B40" s="159" t="s">
        <v>131</v>
      </c>
      <c r="C40" s="295">
        <f>M.w1RA*Molweight</f>
        <v>7555937.0160556631</v>
      </c>
      <c r="D40" s="446">
        <f t="shared" si="9"/>
        <v>4.8592150850564346E-4</v>
      </c>
      <c r="E40" s="295">
        <f>M.w1CA*Molweight</f>
        <v>405797.10331889545</v>
      </c>
      <c r="F40" s="446">
        <f t="shared" si="10"/>
        <v>1.3769549629729152E-6</v>
      </c>
      <c r="G40" s="296"/>
      <c r="H40" s="446"/>
      <c r="I40" s="296"/>
      <c r="J40" s="446"/>
      <c r="K40" s="296"/>
      <c r="L40" s="461"/>
      <c r="M40" s="124">
        <f>C.w1RA*Molweight</f>
        <v>4.0069613399015293E-4</v>
      </c>
      <c r="N40" s="124">
        <f>C.w1CA*Molweight</f>
        <v>1.4110667063037211E-6</v>
      </c>
      <c r="O40" s="124"/>
      <c r="P40" s="124"/>
      <c r="Q40" s="124"/>
      <c r="R40" s="160" t="s">
        <v>139</v>
      </c>
      <c r="S40" s="163"/>
      <c r="T40" s="163"/>
      <c r="U40" s="163"/>
      <c r="V40" s="163"/>
      <c r="W40" s="162"/>
      <c r="X40" s="17"/>
      <c r="Y40" s="156"/>
      <c r="Z40" s="17"/>
      <c r="AA40" s="312" t="s">
        <v>170</v>
      </c>
      <c r="AB40" s="162" t="s">
        <v>176</v>
      </c>
      <c r="AC40" s="161"/>
      <c r="AD40" s="163">
        <f>(k.w2A.w3A*M.w2A+k.w3M.w3A*M.w3M)*Molweight</f>
        <v>319805.22945600899</v>
      </c>
      <c r="AE40" s="163">
        <f>(k.w3A.w2A+k.w3A.w3M)*M.w3A*Molweight</f>
        <v>319805.29990687419</v>
      </c>
      <c r="AF40" s="163"/>
      <c r="AG40" s="163">
        <f>(kdis.w2S.w2D*M.w3AS+kdis.w2A.w2D*M.w3AA+kdis.w2P.w2D*M.w3AP)*Molweight</f>
        <v>9.2321411302136239E-2</v>
      </c>
      <c r="AH40" s="162">
        <f>KDEG.w3A*VOLUME.w3A*C.w3A*Molweight</f>
        <v>2.582874339152301E-8</v>
      </c>
      <c r="AI40" s="163"/>
      <c r="AJ40" s="163"/>
      <c r="AK40" s="163"/>
      <c r="AL40" s="163"/>
      <c r="AM40" s="163"/>
      <c r="AN40" s="163">
        <f>k.w3A.sdA*M.w3A*Molweight</f>
        <v>470.84529511273291</v>
      </c>
      <c r="AO40" s="162">
        <f>k.sdA.w3A*M.sdA*Molweight</f>
        <v>470.82342459237071</v>
      </c>
      <c r="AP40" s="917">
        <f>SUM(AC40,AD40,AI40,AM40,AO40,AG40)-SUM(AE40,AF40,AH40,AJ40,AN40)</f>
        <v>0</v>
      </c>
      <c r="AQ40" s="17"/>
      <c r="AR40" s="46"/>
      <c r="AS40" s="2"/>
      <c r="AT40" s="64" t="s">
        <v>130</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25">
      <c r="A41" s="17"/>
      <c r="B41" s="159" t="s">
        <v>133</v>
      </c>
      <c r="C41" s="295">
        <f>M.w1RP*Molweight</f>
        <v>101096.47006665116</v>
      </c>
      <c r="D41" s="446">
        <f t="shared" si="9"/>
        <v>6.5015032728564057E-6</v>
      </c>
      <c r="E41" s="295">
        <f>M.w1CP*Molweight</f>
        <v>425.12319212701846</v>
      </c>
      <c r="F41" s="446">
        <f t="shared" si="10"/>
        <v>1.4425324490652393E-9</v>
      </c>
      <c r="G41" s="296"/>
      <c r="H41" s="446"/>
      <c r="I41" s="296"/>
      <c r="J41" s="446"/>
      <c r="K41" s="296"/>
      <c r="L41" s="461"/>
      <c r="M41" s="124">
        <f>C.w1RP*Molweight</f>
        <v>5.3612099504906611E-6</v>
      </c>
      <c r="N41" s="124">
        <f>C.w1CP*Molweight</f>
        <v>1.4782687643203376E-9</v>
      </c>
      <c r="O41" s="124"/>
      <c r="P41" s="124"/>
      <c r="Q41" s="124"/>
      <c r="R41" s="160" t="s">
        <v>139</v>
      </c>
      <c r="S41" s="163"/>
      <c r="T41" s="163"/>
      <c r="U41" s="163"/>
      <c r="V41" s="163"/>
      <c r="W41" s="162"/>
      <c r="X41" s="17"/>
      <c r="Y41" s="156"/>
      <c r="Z41" s="17"/>
      <c r="AA41" s="312" t="s">
        <v>186</v>
      </c>
      <c r="AB41" s="162" t="s">
        <v>177</v>
      </c>
      <c r="AC41" s="161"/>
      <c r="AD41" s="163"/>
      <c r="AE41" s="163"/>
      <c r="AF41" s="163">
        <f>(NETsedrate.wA*SYSTEMAREA.A*AREAFRAC.wA)*C.sdA*Molweight</f>
        <v>2.2030431830525055E-2</v>
      </c>
      <c r="AG41" s="163">
        <f>(kdis.sd2S.sd2D*M.sdAS+kdis.sd2A.sd2D*M.sdAA+kdis.sd2P.sd2D*M.sdAP)*Molweight</f>
        <v>1.5991147766600703E-4</v>
      </c>
      <c r="AH41" s="162">
        <f>KDEG.sdA*VOLUME.sdA*C.sdA*Molweight</f>
        <v>9.2111931945628969E-12</v>
      </c>
      <c r="AI41" s="163"/>
      <c r="AJ41" s="163"/>
      <c r="AK41" s="163"/>
      <c r="AL41" s="163"/>
      <c r="AM41" s="163"/>
      <c r="AN41" s="163">
        <f>k.w3A.sdA*M.w3A*Molweight</f>
        <v>470.84529511273291</v>
      </c>
      <c r="AO41" s="162">
        <f>k.sdA.w3A*M.sdA*Molweight</f>
        <v>470.82342459237071</v>
      </c>
      <c r="AP41" s="917">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2">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187</v>
      </c>
      <c r="AB42" s="162" t="s">
        <v>178</v>
      </c>
      <c r="AC42" s="161">
        <f>E.sAD*Molweight</f>
        <v>0</v>
      </c>
      <c r="AD42" s="163"/>
      <c r="AE42" s="163"/>
      <c r="AF42" s="163">
        <f>(FRACinf.sA*RAINrate.A/Kslw.A*SYSTEMAREA.A*AREAFRAC.sA*CORRleach.sA)*C.sA*Molweight</f>
        <v>2.7904793481006185E-6</v>
      </c>
      <c r="AG42" s="163">
        <f>(kdis.s1S.s1D*M.sAS+kdis.s1A.s1D*M.sAA+kdis.s1P.s1D*M.sAP)*Molweight</f>
        <v>7.3938877515494339E-9</v>
      </c>
      <c r="AH42" s="162">
        <f>KDEG.sA*VOLUME.sA*C.sA*Molweight</f>
        <v>2.1947783478821283E-16</v>
      </c>
      <c r="AI42" s="163"/>
      <c r="AJ42" s="163"/>
      <c r="AK42" s="163">
        <f>k.aA.sA*M.aA*Molweight</f>
        <v>4.2293037025145858E-4</v>
      </c>
      <c r="AL42" s="163">
        <f>k.sA.aA*M.sA*Molweight</f>
        <v>5.5153021420836377E-27</v>
      </c>
      <c r="AM42" s="163">
        <f>k.sA.w2A*M.sA*Molweight</f>
        <v>4.2014728479089004E-4</v>
      </c>
      <c r="AN42" s="163"/>
      <c r="AO42" s="162"/>
      <c r="AP42" s="917">
        <f>SUM(AC42,AD42,AK42,AG42)-SUM(AE42,AF42,AH42,AL42,AM42,AP41)</f>
        <v>0</v>
      </c>
      <c r="AQ42" s="17"/>
      <c r="AR42" s="46"/>
      <c r="AS42" s="2"/>
      <c r="AT42" s="58" t="s">
        <v>135</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2">
      <c r="A43" s="17"/>
      <c r="B43" s="104" t="s">
        <v>190</v>
      </c>
      <c r="C43" s="295">
        <f>SUM(C44,C47:C49)</f>
        <v>42065037.251400605</v>
      </c>
      <c r="D43" s="446">
        <f t="shared" ref="D43:D49" si="11">C43/$C$103</f>
        <v>2.7051980863674377E-3</v>
      </c>
      <c r="E43" s="295">
        <f>SUM(E44,E47:E49)</f>
        <v>773787.45896019647</v>
      </c>
      <c r="F43" s="446">
        <f t="shared" ref="F43:F49" si="12">E43/$E$103</f>
        <v>2.6256236754458645E-6</v>
      </c>
      <c r="G43" s="296"/>
      <c r="H43" s="446"/>
      <c r="I43" s="296"/>
      <c r="J43" s="446"/>
      <c r="K43" s="296"/>
      <c r="L43" s="461"/>
      <c r="M43" s="459">
        <f>((M.sd1RD+M.sd1RS+M.sd1RA+M.sd1RP)*Molweight*1000/(VOLUME.sd1R))/(FRACw.sdR*1000+FRACs.sdR*RHOsolid)</f>
        <v>0.17159504727079614</v>
      </c>
      <c r="N43" s="459">
        <f>((M.sd1CD+M.sd1CS+M.sd1CA+M.sd1CP)*Molweight*1000/(VOLUME.sd1C))/(FRACw.sdC*1000+FRACs.sdC*RHOsolid)</f>
        <v>2.0697454507798276E-4</v>
      </c>
      <c r="O43" s="124"/>
      <c r="P43" s="124"/>
      <c r="Q43" s="124"/>
      <c r="R43" s="160" t="s">
        <v>156</v>
      </c>
      <c r="S43" s="163"/>
      <c r="T43" s="163"/>
      <c r="U43" s="163"/>
      <c r="V43" s="163"/>
      <c r="W43" s="162"/>
      <c r="X43" s="17"/>
      <c r="Y43" s="156"/>
      <c r="Z43" s="17"/>
      <c r="AA43" s="915" t="s">
        <v>191</v>
      </c>
      <c r="AB43" s="304"/>
      <c r="AC43" s="917"/>
      <c r="AD43" s="163"/>
      <c r="AE43" s="163"/>
      <c r="AF43" s="163"/>
      <c r="AG43" s="163"/>
      <c r="AH43" s="162"/>
      <c r="AI43" s="163"/>
      <c r="AJ43" s="163"/>
      <c r="AK43" s="163"/>
      <c r="AL43" s="163"/>
      <c r="AM43" s="163"/>
      <c r="AN43" s="163"/>
      <c r="AO43" s="162"/>
      <c r="AP43" s="934"/>
      <c r="AQ43" s="17"/>
      <c r="AR43" s="46"/>
      <c r="AS43" s="2"/>
      <c r="AT43" s="64" t="s">
        <v>137</v>
      </c>
      <c r="AU43" s="11"/>
      <c r="AV43" s="11"/>
      <c r="AW43" s="11"/>
      <c r="AX43" s="11"/>
      <c r="AY43" s="11"/>
      <c r="AZ43" s="11"/>
      <c r="BA43" s="11"/>
      <c r="BB43" s="11"/>
      <c r="BC43" s="11"/>
      <c r="BD43" s="11"/>
      <c r="BE43" s="11"/>
      <c r="BF43" s="11"/>
      <c r="BG43" s="11"/>
      <c r="BH43" s="11"/>
      <c r="BI43" s="11"/>
      <c r="BJ43" s="11"/>
      <c r="BK43" s="2"/>
      <c r="BL43" s="46"/>
      <c r="BM43" s="2"/>
      <c r="BN43" s="113"/>
      <c r="BO43" s="113"/>
      <c r="BP43" s="55">
        <f>AF17</f>
        <v>3.9163818150238168E-4</v>
      </c>
      <c r="BQ43" s="113"/>
      <c r="BR43" s="113"/>
      <c r="BS43" s="22">
        <f>AF16</f>
        <v>1.2060208815200103E-2</v>
      </c>
      <c r="BT43" s="113"/>
      <c r="BU43" s="113"/>
      <c r="BV43" s="113"/>
      <c r="BW43" s="22">
        <f>AF18</f>
        <v>2.4381073386638713E-4</v>
      </c>
      <c r="BX43" s="2"/>
      <c r="BY43" s="113"/>
      <c r="BZ43" s="22">
        <f>AF20</f>
        <v>9.030027180236558E-5</v>
      </c>
      <c r="CA43" s="113"/>
      <c r="CB43" s="112">
        <f>AF19</f>
        <v>2.6632332646438018E-3</v>
      </c>
      <c r="CC43" s="113"/>
      <c r="CD43" s="113"/>
      <c r="CE43" s="2"/>
    </row>
    <row r="44" spans="1:83" ht="12.75" customHeight="1" x14ac:dyDescent="0.2">
      <c r="A44" s="17"/>
      <c r="B44" s="443" t="s">
        <v>121</v>
      </c>
      <c r="C44" s="295">
        <f>M.sd1RD*Molweight</f>
        <v>4165345.3886591243</v>
      </c>
      <c r="D44" s="446">
        <f t="shared" si="11"/>
        <v>2.6787292038080651E-4</v>
      </c>
      <c r="E44" s="295">
        <f>M.sd1CD*Molweight</f>
        <v>400430.94519643573</v>
      </c>
      <c r="F44" s="446">
        <f t="shared" si="12"/>
        <v>1.3587464592690044E-6</v>
      </c>
      <c r="G44" s="296"/>
      <c r="H44" s="446"/>
      <c r="I44" s="296"/>
      <c r="J44" s="446"/>
      <c r="K44" s="296"/>
      <c r="L44" s="461"/>
      <c r="M44" s="124">
        <f>C.sd1R*(Molweight*1000)/(FRACw.sdR*1000+FRACs.sdR*RHOsolid)</f>
        <v>1.6991608365742185E-2</v>
      </c>
      <c r="N44" s="124">
        <f>C.sd1C*(Molweight*1000)/(FRACw.sdC*1000+FRACs.sdC*RHOsolid)</f>
        <v>1.0710823981116269E-4</v>
      </c>
      <c r="O44" s="124"/>
      <c r="P44" s="124"/>
      <c r="Q44" s="124"/>
      <c r="R44" s="160" t="s">
        <v>156</v>
      </c>
      <c r="S44" s="163">
        <f>F.sd1R</f>
        <v>4.8442085050845953E-22</v>
      </c>
      <c r="T44" s="163">
        <f>F.sd1C</f>
        <v>3.0535934862056331E-24</v>
      </c>
      <c r="U44" s="163"/>
      <c r="V44" s="163"/>
      <c r="W44" s="162"/>
      <c r="X44" s="17"/>
      <c r="Y44" s="156"/>
      <c r="Z44" s="17"/>
      <c r="AA44" s="312" t="s">
        <v>122</v>
      </c>
      <c r="AB44" s="162" t="s">
        <v>179</v>
      </c>
      <c r="AC44" s="161">
        <f>E.aTG*Molweight</f>
        <v>0</v>
      </c>
      <c r="AD44" s="163">
        <f>k.aM.aT*M.aM*Molweight</f>
        <v>1.9895814612039603E-3</v>
      </c>
      <c r="AE44" s="163">
        <f>k.aT.aM*M.aT*Molweight</f>
        <v>9.3711386478093924E-5</v>
      </c>
      <c r="AF44" s="163">
        <f>kesc.aT*VOLUME.aT*C.aT*Molweight</f>
        <v>8.5881576663080325E-8</v>
      </c>
      <c r="AG44" s="163"/>
      <c r="AH44" s="162">
        <f>KDEG.aT*VOLUME.aT*C.aT*Molweight</f>
        <v>3.9336282775745054E-30</v>
      </c>
      <c r="AI44" s="163">
        <f>SUM(AI45,AK48)</f>
        <v>1.89578419536807E-3</v>
      </c>
      <c r="AJ44" s="163">
        <f>SUM(AJ45,AL48)</f>
        <v>2.2188669270483477E-12</v>
      </c>
      <c r="AK44" s="163"/>
      <c r="AL44" s="163"/>
      <c r="AM44" s="163"/>
      <c r="AN44" s="163"/>
      <c r="AO44" s="162"/>
      <c r="AP44" s="917">
        <f>SUM(AC44,AD44,AJ44,AL44)-SUM(AE44,AF44,AH44,AI44,AK44)</f>
        <v>0</v>
      </c>
      <c r="AQ44" s="17"/>
      <c r="AR44" s="46"/>
      <c r="AS44" s="2"/>
      <c r="AT44" s="64" t="s">
        <v>80</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2">
      <c r="A45" s="17"/>
      <c r="B45" s="159" t="s">
        <v>159</v>
      </c>
      <c r="C45" s="295">
        <f>C44*FRACw.sdR</f>
        <v>3332276.3109272998</v>
      </c>
      <c r="D45" s="446">
        <f t="shared" si="11"/>
        <v>2.1429833630464524E-4</v>
      </c>
      <c r="E45" s="295">
        <f>E44*FRACw.sdC</f>
        <v>320344.75615714863</v>
      </c>
      <c r="F45" s="446">
        <f t="shared" si="12"/>
        <v>1.0869971674152038E-6</v>
      </c>
      <c r="G45" s="296"/>
      <c r="H45" s="446"/>
      <c r="I45" s="296"/>
      <c r="J45" s="446"/>
      <c r="K45" s="296"/>
      <c r="L45" s="461"/>
      <c r="M45" s="124">
        <f>M46/Kp.sd1R</f>
        <v>0.85616631300251345</v>
      </c>
      <c r="N45" s="124">
        <f>N46/Kp.sd1C</f>
        <v>5.3969268121903703E-3</v>
      </c>
      <c r="O45" s="124"/>
      <c r="P45" s="124"/>
      <c r="Q45" s="124"/>
      <c r="R45" s="160" t="s">
        <v>139</v>
      </c>
      <c r="S45" s="163">
        <f>S44*FRACw.sdR</f>
        <v>3.8753668040676766E-22</v>
      </c>
      <c r="T45" s="163">
        <f>T44*FRACw.sdC</f>
        <v>2.4428747889645067E-24</v>
      </c>
      <c r="U45" s="163"/>
      <c r="V45" s="163"/>
      <c r="W45" s="162"/>
      <c r="X45" s="17"/>
      <c r="Y45" s="156"/>
      <c r="Z45" s="17"/>
      <c r="AA45" s="312" t="s">
        <v>167</v>
      </c>
      <c r="AB45" s="162" t="s">
        <v>180</v>
      </c>
      <c r="AC45" s="161">
        <f>E.w2TD*Molweight</f>
        <v>0</v>
      </c>
      <c r="AD45" s="163">
        <f>(k.w2M.w2T*M.w2M+k.w3T.w2T*M.w3T)*Molweight</f>
        <v>832626.45866879006</v>
      </c>
      <c r="AE45" s="163">
        <f>(k.w2T.w2M+k.w2T.w3T)*M.w2T*Molweight</f>
        <v>832626.47134872479</v>
      </c>
      <c r="AF45" s="163"/>
      <c r="AG45" s="163">
        <f>(kdis.w2S.w2D*M.w2TS+kdis.w2A.w2D*M.w2TA+kdis.w2P.w2D*M.w2TP)*Molweight</f>
        <v>1.0787977733184845E-2</v>
      </c>
      <c r="AH45" s="162">
        <f>KDEG.w2T*VOLUME.w2T*C.w2T*Molweight</f>
        <v>3.4092336454252824E-8</v>
      </c>
      <c r="AI45" s="163">
        <f>k.aT.w2T*M.aT*Molweight</f>
        <v>1.3270489367581001E-3</v>
      </c>
      <c r="AJ45" s="163">
        <f>k.w2T.aT*M.w2T*Molweight</f>
        <v>2.2188663544781035E-12</v>
      </c>
      <c r="AK45" s="163"/>
      <c r="AL45" s="163"/>
      <c r="AM45" s="163">
        <f>k.sT.w2T*M.sT*Molweight</f>
        <v>5.6494226639328213E-4</v>
      </c>
      <c r="AN45" s="163"/>
      <c r="AO45" s="162"/>
      <c r="AP45" s="917">
        <f>SUM(AC45,AD45,AI45,AM45,AG45)-SUM(AE45,AF45,AH45,AJ45)</f>
        <v>0</v>
      </c>
      <c r="AQ45" s="17"/>
      <c r="AR45" s="46"/>
      <c r="AS45" s="2"/>
      <c r="AT45" s="64" t="s">
        <v>82</v>
      </c>
      <c r="AU45" s="11"/>
      <c r="AV45" s="11"/>
      <c r="AW45" s="11"/>
      <c r="AX45" s="11"/>
      <c r="AY45" s="11"/>
      <c r="AZ45" s="11"/>
      <c r="BA45" s="11"/>
      <c r="BB45" s="11"/>
      <c r="BC45" s="11"/>
      <c r="BD45" s="11"/>
      <c r="BE45" s="11"/>
      <c r="BF45" s="11"/>
      <c r="BG45" s="11"/>
      <c r="BH45" s="11"/>
      <c r="BI45" s="11"/>
      <c r="BJ45" s="11"/>
      <c r="BK45" s="2"/>
      <c r="BL45" s="46"/>
      <c r="BM45" s="2"/>
      <c r="BN45" s="87" t="s">
        <v>192</v>
      </c>
      <c r="BO45" s="117"/>
      <c r="BP45" s="117"/>
      <c r="BQ45" s="117"/>
      <c r="BR45" s="118"/>
      <c r="BS45" s="2"/>
      <c r="BT45" s="127" t="s">
        <v>193</v>
      </c>
      <c r="BU45" s="117"/>
      <c r="BV45" s="117"/>
      <c r="BW45" s="125"/>
      <c r="BX45" s="126"/>
      <c r="BY45" s="2"/>
      <c r="BZ45" s="2"/>
      <c r="CA45" s="2"/>
      <c r="CB45" s="2"/>
      <c r="CC45" s="2"/>
      <c r="CD45" s="2"/>
      <c r="CE45" s="2"/>
    </row>
    <row r="46" spans="1:83" ht="12.75" customHeight="1" thickBot="1" x14ac:dyDescent="0.25">
      <c r="A46" s="17"/>
      <c r="B46" s="159" t="s">
        <v>160</v>
      </c>
      <c r="C46" s="295">
        <f>C44*FRACs.sdR</f>
        <v>833069.07773182471</v>
      </c>
      <c r="D46" s="446">
        <f t="shared" si="11"/>
        <v>5.3574584076161289E-5</v>
      </c>
      <c r="E46" s="295">
        <f>E44*FRACs.sdC</f>
        <v>80086.189039287128</v>
      </c>
      <c r="F46" s="446">
        <f t="shared" si="12"/>
        <v>2.7174929185380085E-7</v>
      </c>
      <c r="G46" s="296"/>
      <c r="H46" s="446"/>
      <c r="I46" s="296"/>
      <c r="J46" s="446"/>
      <c r="K46" s="296"/>
      <c r="L46" s="461"/>
      <c r="M46" s="124">
        <f>C.sd1R*FRACs.sdR/(FRACw.sdR/(Kp.sd1R*RHOsolid/1000)+FRACs.sdR)*(Molweight*1000*1000)/(FRACs.sdR*RHOsolid)</f>
        <v>42.808315650125671</v>
      </c>
      <c r="N46" s="124">
        <f>C.sd1C*FRACs.sdC/(FRACw.sdC/(Kp.sd1C*RHOsolid/1000)+FRACs.sdC)*(Molweight*1000*1000)/(FRACs.sdC*RHOsolid)</f>
        <v>0.26984634060951851</v>
      </c>
      <c r="O46" s="124"/>
      <c r="P46" s="124"/>
      <c r="Q46" s="124"/>
      <c r="R46" s="160" t="s">
        <v>145</v>
      </c>
      <c r="S46" s="163">
        <f>S44*(1-FRACw.sdR)</f>
        <v>9.6884170101691879E-23</v>
      </c>
      <c r="T46" s="163">
        <f>T44*(1-FRACw.sdC)</f>
        <v>6.1071869724112648E-25</v>
      </c>
      <c r="U46" s="163"/>
      <c r="V46" s="163"/>
      <c r="W46" s="162"/>
      <c r="X46" s="17"/>
      <c r="Y46" s="156"/>
      <c r="Z46" s="17"/>
      <c r="AA46" s="312" t="s">
        <v>170</v>
      </c>
      <c r="AB46" s="162" t="s">
        <v>181</v>
      </c>
      <c r="AC46" s="161"/>
      <c r="AD46" s="163">
        <f>(k.w2T.w3T*M.w2T+k.w3M.w3T*M.w3M)*Molweight</f>
        <v>832626.19252841093</v>
      </c>
      <c r="AE46" s="163">
        <f>(k.w3T.w2T+k.w3T.w3M)*M.w3T*Molweight</f>
        <v>832626.45866879006</v>
      </c>
      <c r="AF46" s="163"/>
      <c r="AG46" s="163">
        <f>(kdis.w2S.w2D*M.w3TS+kdis.w2A.w2D*M.w3TA+kdis.w2P.w2D*M.w3TP)*Molweight</f>
        <v>0.34830387110981037</v>
      </c>
      <c r="AH46" s="162">
        <f>KDEG.w3T*VOLUME.w3T*C.w3T*Molweight</f>
        <v>1.0984129126859715E-6</v>
      </c>
      <c r="AI46" s="163"/>
      <c r="AJ46" s="163"/>
      <c r="AK46" s="163"/>
      <c r="AL46" s="163"/>
      <c r="AM46" s="163"/>
      <c r="AN46" s="163">
        <f>k.w3T.sdT*M.w3T*Molweight</f>
        <v>1769.8465044726099</v>
      </c>
      <c r="AO46" s="162">
        <f>k.sdT.w3T*M.sdT*Molweight</f>
        <v>1769.7643420788427</v>
      </c>
      <c r="AP46" s="917">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194</v>
      </c>
      <c r="BP46" s="2"/>
      <c r="BQ46" s="113"/>
      <c r="BR46" s="121"/>
      <c r="BS46" s="2"/>
      <c r="BT46" s="88" t="s">
        <v>195</v>
      </c>
      <c r="BU46" s="2"/>
      <c r="BV46" s="2"/>
      <c r="BW46" s="89">
        <f>M12</f>
        <v>8.6398419396524368E-8</v>
      </c>
      <c r="BX46" s="120" t="s">
        <v>118</v>
      </c>
      <c r="BY46" s="2"/>
      <c r="BZ46" s="2"/>
      <c r="CA46" s="2"/>
      <c r="CB46" s="2"/>
      <c r="CC46" s="2"/>
      <c r="CD46" s="2"/>
      <c r="CE46" s="2"/>
    </row>
    <row r="47" spans="1:83" ht="12.75" customHeight="1" x14ac:dyDescent="0.2">
      <c r="A47" s="17"/>
      <c r="B47" s="159" t="s">
        <v>128</v>
      </c>
      <c r="C47" s="295">
        <f>M.sd1RS*Molweight</f>
        <v>1.4314162122162236E-3</v>
      </c>
      <c r="D47" s="446">
        <f t="shared" si="11"/>
        <v>9.2054224864705722E-14</v>
      </c>
      <c r="E47" s="295">
        <f>M.sd1CS*Molweight</f>
        <v>1.4655514093489767E-7</v>
      </c>
      <c r="F47" s="446">
        <f t="shared" si="12"/>
        <v>4.9729243261975205E-19</v>
      </c>
      <c r="G47" s="296"/>
      <c r="H47" s="446"/>
      <c r="I47" s="296"/>
      <c r="J47" s="446"/>
      <c r="K47" s="296"/>
      <c r="L47" s="461"/>
      <c r="M47" s="124">
        <f>C.sd1RS*(Molweight*1000)/(FRACw.sdR*1000+FRACs.sdR*RHOsolid)</f>
        <v>5.8391469174616862E-12</v>
      </c>
      <c r="N47" s="124">
        <f>C.sd1CS*(Molweight*1000)/(FRACw.sdC*1000+FRACs.sdC*RHOsolid)</f>
        <v>3.9200924326948067E-17</v>
      </c>
      <c r="O47" s="124"/>
      <c r="P47" s="124"/>
      <c r="Q47" s="124"/>
      <c r="R47" s="160" t="s">
        <v>156</v>
      </c>
      <c r="S47" s="163"/>
      <c r="T47" s="163"/>
      <c r="U47" s="163"/>
      <c r="V47" s="163"/>
      <c r="W47" s="162"/>
      <c r="X47" s="17"/>
      <c r="Y47" s="156"/>
      <c r="Z47" s="17"/>
      <c r="AA47" s="312" t="s">
        <v>186</v>
      </c>
      <c r="AB47" s="162" t="s">
        <v>182</v>
      </c>
      <c r="AC47" s="161"/>
      <c r="AD47" s="163"/>
      <c r="AE47" s="163"/>
      <c r="AF47" s="163">
        <f>(NETsedrate.wT*SYSTEMAREA.T*AREAFRAC.wT)*C.sdT*Molweight</f>
        <v>8.2809543148831599E-2</v>
      </c>
      <c r="AG47" s="163">
        <f>(kdis.sd2S.sd2D*M.sdTS+kdis.sd2A.sd2D*M.sdTA+kdis.sd2P.sd2D*M.sdTP)*Molweight</f>
        <v>6.4714977317367663E-4</v>
      </c>
      <c r="AH47" s="162">
        <f>KDEG.sdT*VOLUME.sdT*C.sdT*Molweight</f>
        <v>3.9172226291123105E-10</v>
      </c>
      <c r="AI47" s="163"/>
      <c r="AJ47" s="163"/>
      <c r="AK47" s="163"/>
      <c r="AL47" s="163"/>
      <c r="AM47" s="163"/>
      <c r="AN47" s="163">
        <f>k.w3T.sdT*M.w3T*Molweight</f>
        <v>1769.8465044726099</v>
      </c>
      <c r="AO47" s="162">
        <f>k.sdT.w3T*M.sdT*Molweight</f>
        <v>1769.7643420788427</v>
      </c>
      <c r="AP47" s="917">
        <f>SUM(AC47,AD47,AN47,AG47)-SUM(AE47,AF47,AH47,AO47)</f>
        <v>0</v>
      </c>
      <c r="AQ47" s="17"/>
      <c r="AR47" s="46"/>
      <c r="AS47" s="2"/>
      <c r="AT47" s="58" t="s">
        <v>146</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2">
      <c r="A48" s="17"/>
      <c r="B48" s="159" t="s">
        <v>131</v>
      </c>
      <c r="C48" s="295">
        <f>M.sd1RA*Molweight</f>
        <v>4200978.9990256382</v>
      </c>
      <c r="D48" s="446">
        <f t="shared" si="11"/>
        <v>2.7016451408599565E-4</v>
      </c>
      <c r="E48" s="295">
        <f>M.sd1CA*Molweight</f>
        <v>229321.8580129875</v>
      </c>
      <c r="F48" s="446">
        <f t="shared" si="12"/>
        <v>7.7813732016960424E-7</v>
      </c>
      <c r="G48" s="296"/>
      <c r="H48" s="446"/>
      <c r="I48" s="296"/>
      <c r="J48" s="446"/>
      <c r="K48" s="296"/>
      <c r="L48" s="461"/>
      <c r="M48" s="124">
        <f>C.sd1RA*(Molweight*1000)/(FRACw.sdR*1000+FRACs.sdR*RHOsolid)</f>
        <v>1.7136967824684955E-2</v>
      </c>
      <c r="N48" s="124">
        <f>C.sd1CA*(Molweight*1000)/(FRACw.sdC*1000+FRACs.sdC*RHOsolid)</f>
        <v>6.1339566426234072E-5</v>
      </c>
      <c r="O48" s="124"/>
      <c r="P48" s="124"/>
      <c r="Q48" s="124"/>
      <c r="R48" s="160" t="s">
        <v>156</v>
      </c>
      <c r="S48" s="163"/>
      <c r="T48" s="163"/>
      <c r="U48" s="163"/>
      <c r="V48" s="163"/>
      <c r="W48" s="162"/>
      <c r="X48" s="17"/>
      <c r="Y48" s="156"/>
      <c r="Z48" s="17"/>
      <c r="AA48" s="312" t="s">
        <v>187</v>
      </c>
      <c r="AB48" s="162" t="s">
        <v>183</v>
      </c>
      <c r="AC48" s="161">
        <f>E.sTD*Molweight</f>
        <v>0</v>
      </c>
      <c r="AD48" s="163"/>
      <c r="AE48" s="163"/>
      <c r="AF48" s="163">
        <f>(FRACinf.sT*RAINrate.T/Kslw.T*SYSTEMAREA.T*AREAFRAC.sT*CORRleach.sT)*C.sT*Molweight</f>
        <v>3.7959690547669472E-6</v>
      </c>
      <c r="AG48" s="163">
        <f>(kdis.s1S.s1D*M.sTS+kdis.s1A.s1D*M.sTA+kdis.s1P.s1D*M.sTP)*Molweight</f>
        <v>2.9768387289548856E-9</v>
      </c>
      <c r="AH48" s="162">
        <f>KDEG.sT*VOLUME.sT*C.sT*Molweight</f>
        <v>6.4958525599978065E-16</v>
      </c>
      <c r="AI48" s="163"/>
      <c r="AJ48" s="163"/>
      <c r="AK48" s="163">
        <f>k.aT.sT*M.aT*Molweight</f>
        <v>5.6873525860997004E-4</v>
      </c>
      <c r="AL48" s="163">
        <f>k.sT.aT*M.sT*Molweight</f>
        <v>5.7257024402981306E-19</v>
      </c>
      <c r="AM48" s="163">
        <f>k.sT.w2T*M.sT*Molweight</f>
        <v>5.6494226639328213E-4</v>
      </c>
      <c r="AN48" s="163"/>
      <c r="AO48" s="162"/>
      <c r="AP48" s="917">
        <f>SUM(AC48,AD48,AK48,AG48)-SUM(AE48,AF48,AH48,AL48,AM48,AP47)</f>
        <v>0</v>
      </c>
      <c r="AQ48" s="17"/>
      <c r="AR48" s="46"/>
      <c r="AS48" s="2"/>
      <c r="AT48" s="64" t="s">
        <v>148</v>
      </c>
      <c r="AU48" s="11"/>
      <c r="AV48" s="11"/>
      <c r="AW48" s="11"/>
      <c r="AX48" s="11"/>
      <c r="AY48" s="11"/>
      <c r="AZ48" s="11"/>
      <c r="BA48" s="11"/>
      <c r="BB48" s="11"/>
      <c r="BC48" s="11"/>
      <c r="BD48" s="11"/>
      <c r="BE48" s="11"/>
      <c r="BF48" s="11"/>
      <c r="BG48" s="11"/>
      <c r="BH48" s="11"/>
      <c r="BI48" s="11"/>
      <c r="BJ48" s="11"/>
      <c r="BK48" s="2"/>
      <c r="BL48" s="46"/>
      <c r="BM48" s="2"/>
      <c r="BN48" s="119"/>
      <c r="BO48" s="17" t="s">
        <v>196</v>
      </c>
      <c r="BP48" s="2"/>
      <c r="BQ48" s="2"/>
      <c r="BR48" s="120"/>
      <c r="BS48" s="2"/>
      <c r="BT48" s="90" t="s">
        <v>197</v>
      </c>
      <c r="BU48" s="113"/>
      <c r="BV48" s="113"/>
      <c r="BW48" s="89">
        <f>M20</f>
        <v>2.4663119875953347E-7</v>
      </c>
      <c r="BX48" s="304" t="s">
        <v>139</v>
      </c>
      <c r="BY48" s="2"/>
      <c r="BZ48" s="2"/>
      <c r="CA48" s="2"/>
      <c r="CB48" s="2"/>
      <c r="CC48" s="2"/>
      <c r="CD48" s="2"/>
      <c r="CE48" s="2"/>
    </row>
    <row r="49" spans="1:83" ht="12.75" customHeight="1" thickBot="1" x14ac:dyDescent="0.25">
      <c r="A49" s="17"/>
      <c r="B49" s="159" t="s">
        <v>133</v>
      </c>
      <c r="C49" s="295">
        <f>M.sd1RP*Molweight</f>
        <v>33698712.862284422</v>
      </c>
      <c r="D49" s="446">
        <f t="shared" si="11"/>
        <v>2.1671606518085811E-3</v>
      </c>
      <c r="E49" s="295">
        <f>M.sd1CP*Molweight</f>
        <v>144034.65575062676</v>
      </c>
      <c r="F49" s="446">
        <f t="shared" si="12"/>
        <v>4.8873989600675865E-7</v>
      </c>
      <c r="G49" s="296"/>
      <c r="H49" s="446"/>
      <c r="I49" s="296"/>
      <c r="J49" s="446"/>
      <c r="K49" s="296"/>
      <c r="L49" s="461"/>
      <c r="M49" s="124">
        <f>C.sd1RP*(Molweight*1000)/(FRACw.sdR*1000+FRACs.sdR*RHOsolid)</f>
        <v>0.13746647107452986</v>
      </c>
      <c r="N49" s="124">
        <f>C.sd1CP*(Molweight*1000)/(FRACw.sdC*1000+FRACs.sdC*RHOsolid)</f>
        <v>3.8526738840546812E-5</v>
      </c>
      <c r="O49" s="124"/>
      <c r="P49" s="124"/>
      <c r="Q49" s="124"/>
      <c r="R49" s="160" t="s">
        <v>156</v>
      </c>
      <c r="S49" s="163"/>
      <c r="T49" s="163"/>
      <c r="U49" s="163"/>
      <c r="V49" s="163"/>
      <c r="W49" s="162"/>
      <c r="X49" s="17"/>
      <c r="Y49" s="156"/>
      <c r="Z49" s="17"/>
      <c r="AA49" s="935"/>
      <c r="AB49" s="936"/>
      <c r="AC49" s="920">
        <f>SUM(AC11:AC48)</f>
        <v>0.95129375951293771</v>
      </c>
      <c r="AD49" s="921"/>
      <c r="AE49" s="921"/>
      <c r="AF49" s="922">
        <f>SUM(AF11:AF48)</f>
        <v>1.5553091200522933</v>
      </c>
      <c r="AG49" s="922"/>
      <c r="AH49" s="923">
        <f>SUM(AH11:AH48)</f>
        <v>1.3475336650034432E-6</v>
      </c>
      <c r="AI49" s="937"/>
      <c r="AJ49" s="938"/>
      <c r="AK49" s="938"/>
      <c r="AL49" s="937"/>
      <c r="AM49" s="937"/>
      <c r="AN49" s="937"/>
      <c r="AO49" s="486"/>
      <c r="AP49" s="939">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198</v>
      </c>
      <c r="BU49" s="2"/>
      <c r="BV49" s="2"/>
      <c r="BW49" s="89">
        <f>M36</f>
        <v>5.5207114193065203E-4</v>
      </c>
      <c r="BX49" s="120" t="s">
        <v>139</v>
      </c>
      <c r="BY49" s="2"/>
      <c r="BZ49" s="2"/>
      <c r="CA49" s="2"/>
      <c r="CB49" s="2"/>
      <c r="CC49" s="2"/>
      <c r="CD49" s="2"/>
      <c r="CE49" s="2"/>
    </row>
    <row r="50" spans="1:83" ht="12.75" customHeight="1" x14ac:dyDescent="0.2">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149</v>
      </c>
      <c r="AU50" s="11"/>
      <c r="AV50" s="11"/>
      <c r="AW50" s="11"/>
      <c r="AX50" s="11"/>
      <c r="AY50" s="11"/>
      <c r="AZ50" s="11"/>
      <c r="BA50" s="11"/>
      <c r="BB50" s="11"/>
      <c r="BC50" s="11"/>
      <c r="BD50" s="11"/>
      <c r="BE50" s="11"/>
      <c r="BF50" s="11"/>
      <c r="BG50" s="11"/>
      <c r="BH50" s="11"/>
      <c r="BI50" s="11"/>
      <c r="BJ50" s="11"/>
      <c r="BK50" s="2"/>
      <c r="BL50" s="46"/>
      <c r="BM50" s="2"/>
      <c r="BN50" s="119"/>
      <c r="BO50" s="2" t="s">
        <v>199</v>
      </c>
      <c r="BP50" s="2"/>
      <c r="BQ50" s="2"/>
      <c r="BR50" s="120"/>
      <c r="BS50" s="2"/>
      <c r="BT50" s="90" t="s">
        <v>200</v>
      </c>
      <c r="BU50" s="2"/>
      <c r="BV50" s="2"/>
      <c r="BW50" s="89">
        <f>M52</f>
        <v>3.9923761805388724E-4</v>
      </c>
      <c r="BX50" s="120" t="s">
        <v>139</v>
      </c>
      <c r="BY50" s="2"/>
      <c r="BZ50" s="2"/>
      <c r="CA50" s="2"/>
      <c r="CB50" s="2"/>
      <c r="CC50" s="2"/>
      <c r="CD50" s="2"/>
      <c r="CE50" s="2"/>
    </row>
    <row r="51" spans="1:83" ht="12.75" customHeight="1" thickBot="1" x14ac:dyDescent="0.3">
      <c r="A51" s="17"/>
      <c r="B51" s="104" t="s">
        <v>201</v>
      </c>
      <c r="C51" s="295">
        <f>SUM(C52,C55:C57)</f>
        <v>4506624.6213327404</v>
      </c>
      <c r="D51" s="446">
        <f t="shared" ref="D51:D57" si="13">C51/$C$103</f>
        <v>2.8982055165539605E-4</v>
      </c>
      <c r="E51" s="295">
        <f>SUM(E52,E55:E57)</f>
        <v>292860268557.89832</v>
      </c>
      <c r="F51" s="446">
        <f t="shared" ref="F51:F57" si="14">E51/$E$103</f>
        <v>0.99373651746222746</v>
      </c>
      <c r="G51" s="296">
        <f>SUM(G52,G55:G57)</f>
        <v>1529426982531.0342</v>
      </c>
      <c r="H51" s="446">
        <f t="shared" ref="H51:H57" si="15">G51/$G$103</f>
        <v>3.2243930337370906E-2</v>
      </c>
      <c r="I51" s="296">
        <f>SUM(I52,I55:I57)</f>
        <v>1225141763887.418</v>
      </c>
      <c r="J51" s="446">
        <f t="shared" ref="J51:J57" si="16">I51/$I$103</f>
        <v>3.9013148877821681E-2</v>
      </c>
      <c r="K51" s="296">
        <f>SUM(K52,K55:K57)</f>
        <v>3519568070981.8379</v>
      </c>
      <c r="L51" s="461">
        <f t="shared" ref="L51:L57" si="17">K51/$K$103</f>
        <v>3.0089846670197932E-2</v>
      </c>
      <c r="M51" s="459">
        <f>(M.w2RD+M.w2RS+M.w2RA+M.w2RP)*Molweight/(VOLUME.w2R)</f>
        <v>4.5066246213327344E-4</v>
      </c>
      <c r="N51" s="459">
        <f>(M.w2CD+M.w2CS+M.w2CA+M.w2CP)*Molweight/(VOLUME.w2C)</f>
        <v>3.9432794730166922E-4</v>
      </c>
      <c r="O51" s="459">
        <f>(M.w2MD+M.w2MS+M.w2MA+M.w2MP)*Molweight/(VOLUME.w2M)</f>
        <v>3.9432866240555683E-4</v>
      </c>
      <c r="P51" s="459">
        <f>(M.w2AD+M.w2AS+M.w2AA+M.w2AP)*Molweight/(VOLUME.w2A)</f>
        <v>4.8044775054408538E-4</v>
      </c>
      <c r="Q51" s="459">
        <f>(M.w2TD+M.w2TS+M.w2TA+M.w2TP)*Molweight/(VOLUME.w2T)</f>
        <v>3.9434936369544399E-4</v>
      </c>
      <c r="R51" s="160" t="s">
        <v>139</v>
      </c>
      <c r="S51" s="163"/>
      <c r="T51" s="163"/>
      <c r="U51" s="163"/>
      <c r="V51" s="163"/>
      <c r="W51" s="162"/>
      <c r="X51" s="17"/>
      <c r="Y51" s="156"/>
      <c r="Z51" s="17"/>
      <c r="AA51" s="947" t="s">
        <v>202</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2">
      <c r="A52" s="17"/>
      <c r="B52" s="443" t="s">
        <v>121</v>
      </c>
      <c r="C52" s="295">
        <f>M.w2RD*Molweight</f>
        <v>3992376.1805388769</v>
      </c>
      <c r="D52" s="446">
        <f t="shared" si="13"/>
        <v>2.5674928894287632E-4</v>
      </c>
      <c r="E52" s="295">
        <f>M.w2CD*Molweight</f>
        <v>283882581717.40918</v>
      </c>
      <c r="F52" s="446">
        <f t="shared" si="14"/>
        <v>0.96327333684826044</v>
      </c>
      <c r="G52" s="296">
        <f>M.w2MD*Molweight</f>
        <v>1482617899710.4875</v>
      </c>
      <c r="H52" s="446">
        <f t="shared" si="15"/>
        <v>3.1257084399080877E-2</v>
      </c>
      <c r="I52" s="296">
        <f>M.w2AD*Molweight</f>
        <v>1187713573757.5503</v>
      </c>
      <c r="J52" s="446">
        <f t="shared" si="16"/>
        <v>3.78212937008904E-2</v>
      </c>
      <c r="K52" s="296">
        <f>M.w2TD*Molweight</f>
        <v>3411688293649.9893</v>
      </c>
      <c r="L52" s="461">
        <f t="shared" si="17"/>
        <v>2.9167549986836763E-2</v>
      </c>
      <c r="M52" s="124">
        <f>C.w2R*Molweight</f>
        <v>3.9923761805388724E-4</v>
      </c>
      <c r="N52" s="124">
        <f>C.w2C*Molweight</f>
        <v>3.8223974960670812E-4</v>
      </c>
      <c r="O52" s="124">
        <f>C.w2M*Molweight</f>
        <v>3.8225998359454828E-4</v>
      </c>
      <c r="P52" s="124">
        <f>C.w2A*Molweight</f>
        <v>4.657700289245295E-4</v>
      </c>
      <c r="Q52" s="124">
        <f>C.w2T*Molweight</f>
        <v>3.8226199368627335E-4</v>
      </c>
      <c r="R52" s="160" t="s">
        <v>139</v>
      </c>
      <c r="S52" s="163">
        <f>F.w2R</f>
        <v>2.2588955388165083E-22</v>
      </c>
      <c r="T52" s="163">
        <f>F.w2C</f>
        <v>2.1627212118783581E-22</v>
      </c>
      <c r="U52" s="163">
        <f>F.w2M</f>
        <v>2.1628356962425507E-22</v>
      </c>
      <c r="V52" s="163">
        <f>F.w2A</f>
        <v>5.4161642028749742E-28</v>
      </c>
      <c r="W52" s="162">
        <f>F.w2T</f>
        <v>1.9994544983243344E-19</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157</v>
      </c>
      <c r="AU52" s="11"/>
      <c r="AV52" s="11"/>
      <c r="AW52" s="11"/>
      <c r="AX52" s="11"/>
      <c r="AY52" s="11"/>
      <c r="AZ52" s="11"/>
      <c r="BA52" s="11"/>
      <c r="BB52" s="11"/>
      <c r="BC52" s="11"/>
      <c r="BD52" s="11"/>
      <c r="BE52" s="11"/>
      <c r="BF52" s="11"/>
      <c r="BG52" s="11"/>
      <c r="BH52" s="11"/>
      <c r="BI52" s="11"/>
      <c r="BJ52" s="11"/>
      <c r="BK52" s="2"/>
      <c r="BL52" s="46"/>
      <c r="BM52" s="2"/>
      <c r="BN52" s="119"/>
      <c r="BO52" s="2" t="s">
        <v>203</v>
      </c>
      <c r="BP52" s="2"/>
      <c r="BQ52" s="2"/>
      <c r="BR52" s="120"/>
      <c r="BS52" s="2"/>
      <c r="BT52" s="90" t="s">
        <v>204</v>
      </c>
      <c r="BU52" s="2"/>
      <c r="BV52" s="2"/>
      <c r="BW52" s="89">
        <f>M44</f>
        <v>1.6991608365742185E-2</v>
      </c>
      <c r="BX52" s="120" t="s">
        <v>156</v>
      </c>
      <c r="BY52" s="2"/>
      <c r="BZ52" s="2"/>
      <c r="CA52" s="2"/>
      <c r="CB52" s="2"/>
      <c r="CC52" s="2"/>
      <c r="CD52" s="2"/>
      <c r="CE52" s="2"/>
    </row>
    <row r="53" spans="1:83" ht="12.75" customHeight="1" x14ac:dyDescent="0.2">
      <c r="A53" s="17"/>
      <c r="B53" s="159" t="s">
        <v>142</v>
      </c>
      <c r="C53" s="295">
        <f>FRwD.w2R*C52</f>
        <v>3989503.7378476262</v>
      </c>
      <c r="D53" s="446">
        <f t="shared" si="13"/>
        <v>2.5656456245790662E-4</v>
      </c>
      <c r="E53" s="295">
        <f>FRw.w2C*E52</f>
        <v>283678333317.42059</v>
      </c>
      <c r="F53" s="446">
        <f t="shared" si="14"/>
        <v>0.96258027904734622</v>
      </c>
      <c r="G53" s="296">
        <f>FRw.w2M*G52</f>
        <v>1481551182858.8291</v>
      </c>
      <c r="H53" s="446">
        <f t="shared" si="15"/>
        <v>3.1234595490327838E-2</v>
      </c>
      <c r="I53" s="296">
        <f>FRw.w2A*I52</f>
        <v>1186859035252.1687</v>
      </c>
      <c r="J53" s="446">
        <f t="shared" si="16"/>
        <v>3.7794081961877841E-2</v>
      </c>
      <c r="K53" s="296">
        <f>FRw.w2T*K52</f>
        <v>3409233645425.2827</v>
      </c>
      <c r="L53" s="461">
        <f t="shared" si="17"/>
        <v>2.9146564460425253E-2</v>
      </c>
      <c r="M53" s="124">
        <f>M52*FRwD.w2R</f>
        <v>3.9895037378476217E-4</v>
      </c>
      <c r="N53" s="124">
        <f>N52*FRw.w2C</f>
        <v>3.8196473499750989E-4</v>
      </c>
      <c r="O53" s="124">
        <f>O52*FRw.w2M</f>
        <v>3.8198495442736053E-4</v>
      </c>
      <c r="P53" s="124">
        <f>P52*FRw.w2A</f>
        <v>4.6543491578516415E-4</v>
      </c>
      <c r="Q53" s="124">
        <f>Q52*FRw.w2T</f>
        <v>3.8198696307286084E-4</v>
      </c>
      <c r="R53" s="160" t="s">
        <v>139</v>
      </c>
      <c r="S53" s="163">
        <f>S52*FRwD.w2R</f>
        <v>2.2572703041974861E-22</v>
      </c>
      <c r="T53" s="163">
        <f>T52*FRw.w2C</f>
        <v>2.161165172953831E-22</v>
      </c>
      <c r="U53" s="163">
        <f>U52*FRw.w2M</f>
        <v>2.1612795749485873E-22</v>
      </c>
      <c r="V53" s="163">
        <f>V52*FRw.w2A</f>
        <v>5.4122673703683086E-28</v>
      </c>
      <c r="W53" s="162">
        <f>W52*FRw.w2T</f>
        <v>1.9980159268569972E-19</v>
      </c>
      <c r="X53" s="17"/>
      <c r="Y53" s="156"/>
      <c r="Z53" s="17"/>
      <c r="AA53" s="21" t="s">
        <v>62</v>
      </c>
      <c r="AB53" s="38" t="str">
        <f>CONCATENATE(version!$B$2," ",version!$B$3," ",version!$C$3)</f>
        <v>SimpleBox4nano vs 4.02-nano 44497</v>
      </c>
      <c r="AC53" s="38"/>
      <c r="AD53" s="38"/>
      <c r="AE53" s="38"/>
      <c r="AF53" s="21"/>
      <c r="AG53" s="21"/>
      <c r="AH53" s="21"/>
      <c r="AI53" s="21"/>
      <c r="AJ53" s="21"/>
      <c r="AK53" s="38"/>
      <c r="AL53" s="924"/>
      <c r="AM53" s="925"/>
      <c r="AN53" s="17"/>
      <c r="AO53" s="17"/>
      <c r="AP53" s="17"/>
      <c r="AQ53" s="17"/>
      <c r="AR53" s="46"/>
      <c r="AS53" s="2"/>
      <c r="AT53" s="64" t="s">
        <v>158</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205</v>
      </c>
      <c r="BU53" s="2"/>
      <c r="BV53" s="2"/>
      <c r="BW53" s="89">
        <f>M68</f>
        <v>1.0983352164434778E-2</v>
      </c>
      <c r="BX53" s="120" t="s">
        <v>156</v>
      </c>
      <c r="BY53" s="2"/>
      <c r="BZ53" s="2"/>
      <c r="CA53" s="2"/>
      <c r="CB53" s="2"/>
      <c r="CC53" s="2"/>
      <c r="CD53" s="2"/>
      <c r="CE53" s="2"/>
    </row>
    <row r="54" spans="1:83" ht="12.75" customHeight="1" thickBot="1" x14ac:dyDescent="0.25">
      <c r="A54" s="17"/>
      <c r="B54" s="159" t="s">
        <v>144</v>
      </c>
      <c r="C54" s="295">
        <f>(1-FRwD.w2R)*C52</f>
        <v>2872.4426912506797</v>
      </c>
      <c r="D54" s="446">
        <f t="shared" si="13"/>
        <v>1.8472648496971775E-7</v>
      </c>
      <c r="E54" s="295">
        <f>(1-FRw.w2C)*E52</f>
        <v>204248399.98857048</v>
      </c>
      <c r="F54" s="446">
        <f t="shared" si="14"/>
        <v>6.9305780091418313E-4</v>
      </c>
      <c r="G54" s="296">
        <f>(1-FRw.w2M)*G52</f>
        <v>1066716851.6585013</v>
      </c>
      <c r="H54" s="446">
        <f t="shared" si="15"/>
        <v>2.2488908753039086E-5</v>
      </c>
      <c r="I54" s="296">
        <f>(1-FRw.w2A)*I52</f>
        <v>854538505.38167703</v>
      </c>
      <c r="J54" s="446">
        <f t="shared" si="16"/>
        <v>2.7211739012555728E-5</v>
      </c>
      <c r="K54" s="296">
        <f>(1-FRw.w2T)*K52</f>
        <v>2454648224.7065358</v>
      </c>
      <c r="L54" s="461">
        <f t="shared" si="17"/>
        <v>2.0985526411509025E-5</v>
      </c>
      <c r="M54" s="124">
        <f>M53*Kp.susp2R</f>
        <v>3.9895037378476217E-2</v>
      </c>
      <c r="N54" s="124">
        <f>N53*Kp.susp2C</f>
        <v>3.8196473499750992E-2</v>
      </c>
      <c r="O54" s="124">
        <f>O53*Kp.susp2M</f>
        <v>3.8198495442736055E-2</v>
      </c>
      <c r="P54" s="124">
        <f>P53*Kp.susp2A</f>
        <v>4.6543491578516415E-2</v>
      </c>
      <c r="Q54" s="124">
        <f>Q53*Kp.susp2T</f>
        <v>3.8198696307286083E-2</v>
      </c>
      <c r="R54" s="160" t="s">
        <v>145</v>
      </c>
      <c r="S54" s="163">
        <f>S52*(1-FRwD.w2R)</f>
        <v>1.6252346190224099E-25</v>
      </c>
      <c r="T54" s="163">
        <f>T52*(1-FRw.w2C)</f>
        <v>1.5560389245269689E-25</v>
      </c>
      <c r="U54" s="163">
        <f>U52*(1-FRw.w2M)</f>
        <v>1.5561212939631936E-25</v>
      </c>
      <c r="V54" s="163">
        <f>V52*(1-FRw.w2A)</f>
        <v>3.8968325066657093E-31</v>
      </c>
      <c r="W54" s="162">
        <f>W52*(1-FRw.w2T)</f>
        <v>1.4385714673372326E-22</v>
      </c>
      <c r="X54" s="17"/>
      <c r="Y54" s="156"/>
      <c r="Z54" s="17"/>
      <c r="AA54" s="21" t="s">
        <v>66</v>
      </c>
      <c r="AB54" s="926" t="str">
        <f>ChemName</f>
        <v>nTiO2_10nm</v>
      </c>
      <c r="AC54" s="38"/>
      <c r="AD54" s="38"/>
      <c r="AE54" s="38"/>
      <c r="AF54" s="21"/>
      <c r="AG54" s="21"/>
      <c r="AH54" s="21"/>
      <c r="AI54" s="21"/>
      <c r="AJ54" s="21"/>
      <c r="AK54" s="38"/>
      <c r="AL54" s="927"/>
      <c r="AM54" s="925"/>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206</v>
      </c>
      <c r="BP54" s="2"/>
      <c r="BQ54" s="2"/>
      <c r="BR54" s="120"/>
      <c r="BS54" s="2"/>
      <c r="BT54" s="119"/>
      <c r="BU54" s="2"/>
      <c r="BV54" s="2"/>
      <c r="BW54" s="89"/>
      <c r="BX54" s="120"/>
      <c r="BY54" s="2"/>
      <c r="BZ54" s="2"/>
      <c r="CA54" s="2"/>
      <c r="CB54" s="2"/>
      <c r="CC54" s="2"/>
      <c r="CD54" s="2"/>
      <c r="CE54" s="2"/>
    </row>
    <row r="55" spans="1:83" ht="12.75" customHeight="1" x14ac:dyDescent="0.2">
      <c r="A55" s="17"/>
      <c r="B55" s="159" t="s">
        <v>128</v>
      </c>
      <c r="C55" s="295">
        <f>M.w2RS*Molweight</f>
        <v>0.15342957938143861</v>
      </c>
      <c r="D55" s="446">
        <f t="shared" si="13"/>
        <v>9.8670399851127858E-12</v>
      </c>
      <c r="E55" s="295">
        <f>M.w2CS*Molweight</f>
        <v>0.71281947666518375</v>
      </c>
      <c r="F55" s="446">
        <f t="shared" si="14"/>
        <v>2.4187464820973687E-12</v>
      </c>
      <c r="G55" s="296">
        <f>M.w2MS*Molweight</f>
        <v>8.2357227421771002E-3</v>
      </c>
      <c r="H55" s="446">
        <f t="shared" si="15"/>
        <v>1.7362847223814512E-16</v>
      </c>
      <c r="I55" s="296">
        <f>M.w2AS*Molweight</f>
        <v>6.704228159453465E-5</v>
      </c>
      <c r="J55" s="446">
        <f t="shared" si="16"/>
        <v>2.1348798890483124E-18</v>
      </c>
      <c r="K55" s="296">
        <f>M.w2TS*Molweight</f>
        <v>1.2966134410313131E-4</v>
      </c>
      <c r="L55" s="461">
        <f t="shared" si="17"/>
        <v>1.1085138529588414E-18</v>
      </c>
      <c r="M55" s="124">
        <f>C.w2RS*Molweight</f>
        <v>1.5342957938143841E-11</v>
      </c>
      <c r="N55" s="124">
        <f>C.w2CS*Molweight</f>
        <v>9.5979096930474117E-16</v>
      </c>
      <c r="O55" s="124">
        <f>C.w2MS*Molweight</f>
        <v>2.1233975665130016E-18</v>
      </c>
      <c r="P55" s="124">
        <f>C.w2AS*Molweight</f>
        <v>2.629109082138614E-20</v>
      </c>
      <c r="Q55" s="124">
        <f>C.w2TS*Molweight</f>
        <v>1.4527881692227599E-20</v>
      </c>
      <c r="R55" s="160" t="s">
        <v>139</v>
      </c>
      <c r="S55" s="163"/>
      <c r="T55" s="163"/>
      <c r="U55" s="163"/>
      <c r="V55" s="163"/>
      <c r="W55" s="162"/>
      <c r="X55" s="17"/>
      <c r="Y55" s="156"/>
      <c r="Z55" s="17"/>
      <c r="AA55" s="21" t="s">
        <v>68</v>
      </c>
      <c r="AB55" s="942" t="str">
        <f>ScenarioName</f>
        <v>default scenario</v>
      </c>
      <c r="AC55" s="38"/>
      <c r="AD55" s="38"/>
      <c r="AE55" s="38"/>
      <c r="AF55" s="21"/>
      <c r="AG55" s="21"/>
      <c r="AH55" s="21"/>
      <c r="AI55" s="21"/>
      <c r="AJ55" s="21"/>
      <c r="AK55" s="38"/>
      <c r="AL55" s="927"/>
      <c r="AM55" s="925"/>
      <c r="AN55" s="17"/>
      <c r="AO55" s="17"/>
      <c r="AP55" s="17"/>
      <c r="AQ55" s="17"/>
      <c r="AR55" s="46"/>
      <c r="AS55" s="2"/>
      <c r="AT55" s="58" t="s">
        <v>161</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207</v>
      </c>
      <c r="BU55" s="2"/>
      <c r="BV55" s="2"/>
      <c r="BW55" s="89">
        <f>M76</f>
        <v>1.4770993648532047E-3</v>
      </c>
      <c r="BX55" s="120" t="s">
        <v>156</v>
      </c>
      <c r="BY55" s="2"/>
      <c r="BZ55" s="2"/>
      <c r="CA55" s="2"/>
      <c r="CB55" s="2"/>
      <c r="CC55" s="2"/>
      <c r="CD55" s="2"/>
      <c r="CE55" s="2"/>
    </row>
    <row r="56" spans="1:83" ht="12.75" customHeight="1" x14ac:dyDescent="0.2">
      <c r="A56" s="17"/>
      <c r="B56" s="159" t="s">
        <v>131</v>
      </c>
      <c r="C56" s="295">
        <f>M.w2RA*Molweight</f>
        <v>509771.46414919768</v>
      </c>
      <c r="D56" s="446">
        <f t="shared" si="13"/>
        <v>3.2783348819100829E-5</v>
      </c>
      <c r="E56" s="295">
        <f>M.w2CA*Molweight</f>
        <v>8977322767.8238888</v>
      </c>
      <c r="F56" s="446">
        <f t="shared" si="14"/>
        <v>3.0461945238802444E-2</v>
      </c>
      <c r="G56" s="296">
        <f>M.w2MA*Molweight</f>
        <v>46807383968.270668</v>
      </c>
      <c r="H56" s="446">
        <f t="shared" si="15"/>
        <v>9.8681012247465462E-4</v>
      </c>
      <c r="I56" s="296">
        <f>M.w2AA*Molweight</f>
        <v>37427540307.66169</v>
      </c>
      <c r="J56" s="446">
        <f t="shared" si="16"/>
        <v>1.1918344841337534E-3</v>
      </c>
      <c r="K56" s="296">
        <f>M.w2TA*Molweight</f>
        <v>107871925822.11069</v>
      </c>
      <c r="L56" s="461">
        <f t="shared" si="17"/>
        <v>9.2222955844146971E-4</v>
      </c>
      <c r="M56" s="124">
        <f>C.w2RA*Molweight</f>
        <v>5.0977146414919715E-5</v>
      </c>
      <c r="N56" s="124">
        <f>C.w2CA*Molweight</f>
        <v>1.208770748156531E-5</v>
      </c>
      <c r="O56" s="124">
        <f>C.w2MA*Molweight</f>
        <v>1.20682407998101E-5</v>
      </c>
      <c r="P56" s="124">
        <f>C.w2AA*Molweight</f>
        <v>1.4677466787318312E-5</v>
      </c>
      <c r="Q56" s="124">
        <f>C.w2TA*Molweight</f>
        <v>1.2086490288191676E-5</v>
      </c>
      <c r="R56" s="160" t="s">
        <v>139</v>
      </c>
      <c r="S56" s="163"/>
      <c r="T56" s="163"/>
      <c r="U56" s="163"/>
      <c r="V56" s="163"/>
      <c r="W56" s="162"/>
      <c r="X56" s="17"/>
      <c r="Y56" s="156"/>
      <c r="Z56" s="17"/>
      <c r="AA56" s="21" t="s">
        <v>70</v>
      </c>
      <c r="AB56" s="942" t="str">
        <f>CaseName</f>
        <v>defaults only</v>
      </c>
      <c r="AC56" s="38"/>
      <c r="AD56" s="38"/>
      <c r="AE56" s="940"/>
      <c r="AF56" s="941"/>
      <c r="AG56" s="941"/>
      <c r="AH56" s="162"/>
      <c r="AI56" s="21"/>
      <c r="AJ56" s="21"/>
      <c r="AK56" s="38"/>
      <c r="AL56" s="927"/>
      <c r="AM56" s="925"/>
      <c r="AN56" s="17"/>
      <c r="AO56" s="17"/>
      <c r="AP56" s="17"/>
      <c r="AQ56" s="17"/>
      <c r="AR56" s="46"/>
      <c r="AS56" s="2"/>
      <c r="AT56" s="64" t="s">
        <v>164</v>
      </c>
      <c r="AU56" s="11"/>
      <c r="AV56" s="11"/>
      <c r="AW56" s="11"/>
      <c r="AX56" s="11"/>
      <c r="AY56" s="11"/>
      <c r="AZ56" s="11"/>
      <c r="BA56" s="11"/>
      <c r="BB56" s="11"/>
      <c r="BC56" s="11"/>
      <c r="BD56" s="11"/>
      <c r="BE56" s="11"/>
      <c r="BF56" s="11"/>
      <c r="BG56" s="11"/>
      <c r="BH56" s="11"/>
      <c r="BI56" s="11"/>
      <c r="BJ56" s="11"/>
      <c r="BK56" s="2"/>
      <c r="BL56" s="46"/>
      <c r="BM56" s="2"/>
      <c r="BN56" s="119"/>
      <c r="BO56" s="2" t="s">
        <v>77</v>
      </c>
      <c r="BP56" s="2"/>
      <c r="BQ56" s="2"/>
      <c r="BR56" s="120"/>
      <c r="BS56" s="2"/>
      <c r="BT56" s="88" t="s">
        <v>208</v>
      </c>
      <c r="BU56" s="2"/>
      <c r="BV56" s="2"/>
      <c r="BW56" s="89">
        <f>M84</f>
        <v>3.9889212210041632E-3</v>
      </c>
      <c r="BX56" s="120" t="s">
        <v>156</v>
      </c>
      <c r="BY56" s="2"/>
      <c r="BZ56" s="2"/>
      <c r="CA56" s="2"/>
      <c r="CB56" s="2"/>
      <c r="CC56" s="2"/>
      <c r="CD56" s="2"/>
      <c r="CE56" s="2"/>
    </row>
    <row r="57" spans="1:83" ht="12.75" customHeight="1" thickBot="1" x14ac:dyDescent="0.25">
      <c r="A57" s="17"/>
      <c r="B57" s="159" t="s">
        <v>133</v>
      </c>
      <c r="C57" s="295">
        <f>M.w2RP*Molweight</f>
        <v>4476.8232150859922</v>
      </c>
      <c r="D57" s="446">
        <f t="shared" si="13"/>
        <v>2.8790402637888326E-7</v>
      </c>
      <c r="E57" s="295">
        <f>M.w2CP*Molweight</f>
        <v>364071.95240864094</v>
      </c>
      <c r="F57" s="446">
        <f t="shared" si="14"/>
        <v>1.2353727457595041E-6</v>
      </c>
      <c r="G57" s="296">
        <f>M.w2MP*Molweight</f>
        <v>1698852.2675678472</v>
      </c>
      <c r="H57" s="446">
        <f t="shared" si="15"/>
        <v>3.5815815200468881E-8</v>
      </c>
      <c r="I57" s="296">
        <f>M.w2AP*Molweight</f>
        <v>649822.20596274501</v>
      </c>
      <c r="J57" s="446">
        <f t="shared" si="16"/>
        <v>2.0692797529730372E-8</v>
      </c>
      <c r="K57" s="296">
        <f>M.w2TP*Molweight</f>
        <v>7851509.7376186885</v>
      </c>
      <c r="L57" s="461">
        <f t="shared" si="17"/>
        <v>6.7124919697491899E-8</v>
      </c>
      <c r="M57" s="124">
        <f>C.w2RP*Molweight</f>
        <v>4.4768232150859871E-7</v>
      </c>
      <c r="N57" s="124">
        <f>C.w2CP*Molweight</f>
        <v>4.9021243602058609E-10</v>
      </c>
      <c r="O57" s="124">
        <f>C.w2MP*Molweight</f>
        <v>4.3801119631488058E-10</v>
      </c>
      <c r="P57" s="124">
        <f>C.w2AP*Molweight</f>
        <v>2.5483223763244902E-10</v>
      </c>
      <c r="Q57" s="124">
        <f>C.w2TP*Molweight</f>
        <v>8.7972097900489527E-10</v>
      </c>
      <c r="R57" s="160" t="s">
        <v>139</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166</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209</v>
      </c>
      <c r="BU57" s="2"/>
      <c r="BV57" s="2"/>
      <c r="BW57" s="89">
        <f>M92</f>
        <v>1.4770993648532042E-3</v>
      </c>
      <c r="BX57" s="120" t="s">
        <v>156</v>
      </c>
      <c r="BY57" s="2"/>
      <c r="BZ57" s="2"/>
      <c r="CA57" s="2"/>
      <c r="CB57" s="2"/>
      <c r="CC57" s="2"/>
      <c r="CD57" s="2"/>
      <c r="CE57" s="2"/>
    </row>
    <row r="58" spans="1:83" ht="12.75" customHeight="1" x14ac:dyDescent="0.2">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44" t="s">
        <v>210</v>
      </c>
      <c r="AB58" s="928"/>
      <c r="AC58" s="929" t="s">
        <v>77</v>
      </c>
      <c r="AD58" s="930" t="s">
        <v>78</v>
      </c>
      <c r="AE58" s="930" t="s">
        <v>79</v>
      </c>
      <c r="AF58" s="930" t="s">
        <v>211</v>
      </c>
      <c r="AG58" s="930" t="s">
        <v>212</v>
      </c>
      <c r="AH58" s="931" t="s">
        <v>82</v>
      </c>
      <c r="AI58" s="930" t="s">
        <v>83</v>
      </c>
      <c r="AJ58" s="930" t="s">
        <v>84</v>
      </c>
      <c r="AK58" s="930" t="s">
        <v>85</v>
      </c>
      <c r="AL58" s="930" t="s">
        <v>86</v>
      </c>
      <c r="AM58" s="930" t="s">
        <v>87</v>
      </c>
      <c r="AN58" s="930" t="s">
        <v>88</v>
      </c>
      <c r="AO58" s="931" t="s">
        <v>89</v>
      </c>
      <c r="AP58" s="929" t="s">
        <v>90</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213</v>
      </c>
      <c r="BP58" s="2"/>
      <c r="BQ58" s="2"/>
      <c r="BR58" s="120"/>
      <c r="BS58" s="2"/>
      <c r="BT58" s="92"/>
      <c r="BU58" s="80"/>
      <c r="BV58" s="80"/>
      <c r="BW58" s="93"/>
      <c r="BX58" s="122"/>
      <c r="BY58" s="2"/>
      <c r="BZ58" s="2"/>
      <c r="CA58" s="2"/>
      <c r="CB58" s="2"/>
      <c r="CC58" s="2"/>
      <c r="CD58" s="2"/>
      <c r="CE58" s="2"/>
    </row>
    <row r="59" spans="1:83" ht="12.75" customHeight="1" x14ac:dyDescent="0.2">
      <c r="A59" s="17"/>
      <c r="B59" s="104" t="s">
        <v>214</v>
      </c>
      <c r="C59" s="295"/>
      <c r="D59" s="446"/>
      <c r="E59" s="296"/>
      <c r="F59" s="446"/>
      <c r="G59" s="296">
        <f>SUM(G60,G63:G65)</f>
        <v>45885249160673.109</v>
      </c>
      <c r="H59" s="446">
        <f t="shared" ref="H59:H65" si="18">G59/$G$103</f>
        <v>0.96736934443330258</v>
      </c>
      <c r="I59" s="296">
        <f>SUM(I60,I63:I65)</f>
        <v>30166141234599.527</v>
      </c>
      <c r="J59" s="446">
        <f t="shared" ref="J59:J65" si="19">I59/$I$103</f>
        <v>0.96060406537816279</v>
      </c>
      <c r="K59" s="296">
        <f>SUM(K60,K63:K65)</f>
        <v>113403415709408.67</v>
      </c>
      <c r="L59" s="461">
        <f t="shared" ref="L59:L65" si="20">K59/$K$103</f>
        <v>0.96951993021715055</v>
      </c>
      <c r="M59" s="459"/>
      <c r="N59" s="459"/>
      <c r="O59" s="459">
        <f>(M.w3MD+M.w3MS+M.w3MA+M.w3MP)*Molweight/(VOLUME.w3M)</f>
        <v>3.943496296835424E-4</v>
      </c>
      <c r="P59" s="459">
        <f>(M.w3AD+M.w3AS+M.w3AA+M.w3AP)*Molweight/(VOLUME.w3A)</f>
        <v>3.9432864358953637E-4</v>
      </c>
      <c r="Q59" s="459">
        <f>(M.w3TD+M.w3TS+M.w3TA+M.w3TP)*Molweight/(VOLUME.w3T)</f>
        <v>4.2354216884933214E-4</v>
      </c>
      <c r="R59" s="160" t="s">
        <v>139</v>
      </c>
      <c r="S59" s="163"/>
      <c r="T59" s="163"/>
      <c r="U59" s="163"/>
      <c r="V59" s="163"/>
      <c r="W59" s="162"/>
      <c r="X59" s="17"/>
      <c r="Y59" s="156"/>
      <c r="Z59" s="17"/>
      <c r="AA59" s="932"/>
      <c r="AB59" s="933"/>
      <c r="AC59" s="916"/>
      <c r="AD59" s="357"/>
      <c r="AE59" s="357"/>
      <c r="AF59" s="357"/>
      <c r="AG59" s="357"/>
      <c r="AH59" s="843"/>
      <c r="AI59" s="357" t="s">
        <v>113</v>
      </c>
      <c r="AJ59" s="357" t="s">
        <v>113</v>
      </c>
      <c r="AK59" s="357" t="s">
        <v>113</v>
      </c>
      <c r="AL59" s="357" t="s">
        <v>113</v>
      </c>
      <c r="AM59" s="357" t="s">
        <v>113</v>
      </c>
      <c r="AN59" s="357" t="s">
        <v>113</v>
      </c>
      <c r="AO59" s="843" t="s">
        <v>113</v>
      </c>
      <c r="AP59" s="916" t="s">
        <v>114</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2">
      <c r="A60" s="17"/>
      <c r="B60" s="443" t="s">
        <v>121</v>
      </c>
      <c r="C60" s="295"/>
      <c r="D60" s="446"/>
      <c r="E60" s="296"/>
      <c r="F60" s="446"/>
      <c r="G60" s="296">
        <f>M.w3MD*Molweight</f>
        <v>44478554594887.547</v>
      </c>
      <c r="H60" s="446">
        <f t="shared" si="18"/>
        <v>0.93771290309728894</v>
      </c>
      <c r="I60" s="296">
        <f>M.w3AD*Molweight</f>
        <v>29242927121578.164</v>
      </c>
      <c r="J60" s="446">
        <f t="shared" si="19"/>
        <v>0.93120543519586962</v>
      </c>
      <c r="K60" s="296">
        <f>M.w3TD*Molweight</f>
        <v>109920376998310.58</v>
      </c>
      <c r="L60" s="461">
        <f t="shared" si="20"/>
        <v>0.9397423840382898</v>
      </c>
      <c r="M60" s="124"/>
      <c r="N60" s="124"/>
      <c r="O60" s="124">
        <f>C.w3M*Molweight</f>
        <v>3.8226013488418037E-4</v>
      </c>
      <c r="P60" s="124">
        <f>C.w3A*Molweight</f>
        <v>3.8226048524938781E-4</v>
      </c>
      <c r="Q60" s="124">
        <f>C.w3T*Molweight</f>
        <v>4.1053362090872296E-4</v>
      </c>
      <c r="R60" s="160" t="s">
        <v>139</v>
      </c>
      <c r="S60" s="163"/>
      <c r="T60" s="163"/>
      <c r="U60" s="163">
        <f>F.w3M</f>
        <v>2.1628365522427359E-22</v>
      </c>
      <c r="V60" s="163">
        <f>F.w3A</f>
        <v>4.4450811082926592E-28</v>
      </c>
      <c r="W60" s="162">
        <f>F.w3T</f>
        <v>2.1473316955307843E-19</v>
      </c>
      <c r="X60" s="17"/>
      <c r="Y60" s="156"/>
      <c r="Z60" s="17"/>
      <c r="AA60" s="915" t="s">
        <v>119</v>
      </c>
      <c r="AB60" s="304"/>
      <c r="AC60" s="917"/>
      <c r="AD60" s="918"/>
      <c r="AE60" s="918"/>
      <c r="AF60" s="918"/>
      <c r="AG60" s="918"/>
      <c r="AH60" s="919"/>
      <c r="AI60" s="38"/>
      <c r="AJ60" s="38"/>
      <c r="AK60" s="38"/>
      <c r="AL60" s="38"/>
      <c r="AM60" s="38"/>
      <c r="AN60" s="38"/>
      <c r="AO60" s="160"/>
      <c r="AP60" s="934"/>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2">
      <c r="A61" s="17"/>
      <c r="B61" s="159" t="s">
        <v>142</v>
      </c>
      <c r="C61" s="295"/>
      <c r="D61" s="446"/>
      <c r="E61" s="296"/>
      <c r="F61" s="446"/>
      <c r="G61" s="296">
        <f>FRw.w3M*G60</f>
        <v>44446553076672.336</v>
      </c>
      <c r="H61" s="446">
        <f t="shared" si="18"/>
        <v>0.93703823556768007</v>
      </c>
      <c r="I61" s="296">
        <f>FRw.w3A*I60</f>
        <v>29221887362677.035</v>
      </c>
      <c r="J61" s="446">
        <f t="shared" si="19"/>
        <v>0.93053544967210566</v>
      </c>
      <c r="K61" s="296">
        <f>FRw.w3T*K60</f>
        <v>109841291268597.17</v>
      </c>
      <c r="L61" s="461">
        <f t="shared" si="20"/>
        <v>0.93906625633372931</v>
      </c>
      <c r="M61" s="124"/>
      <c r="N61" s="124"/>
      <c r="O61" s="124">
        <f>O60*FRw.w3M</f>
        <v>3.8198510560814245E-4</v>
      </c>
      <c r="P61" s="124">
        <f>P60*FRw.w3A</f>
        <v>3.8198545572126844E-4</v>
      </c>
      <c r="Q61" s="124">
        <f>Q60*FRw.w3T</f>
        <v>4.1023824936917711E-4</v>
      </c>
      <c r="R61" s="160" t="s">
        <v>139</v>
      </c>
      <c r="S61" s="163"/>
      <c r="T61" s="163"/>
      <c r="U61" s="163">
        <f>U60*FRw.w3M</f>
        <v>2.1612804303328958E-22</v>
      </c>
      <c r="V61" s="163">
        <f>V60*FRw.w3A</f>
        <v>4.4418829525668111E-28</v>
      </c>
      <c r="W61" s="162">
        <f>W60*FRw.w3T</f>
        <v>2.1457867290858424E-19</v>
      </c>
      <c r="X61" s="17"/>
      <c r="Y61" s="156"/>
      <c r="Z61" s="17"/>
      <c r="AA61" s="312" t="s">
        <v>122</v>
      </c>
      <c r="AB61" s="162" t="s">
        <v>91</v>
      </c>
      <c r="AC61" s="948">
        <f>E.aRS*Molweight</f>
        <v>0.3170979198376459</v>
      </c>
      <c r="AD61" s="138">
        <f>k.aC.aR*(M.aCS+M.aCA+M.aCP)*Molweight</f>
        <v>3.7918010674578811E-2</v>
      </c>
      <c r="AE61" s="138">
        <f>k.aR.aC*(M.aRS+M.aRA+M.aRP)*Molweight</f>
        <v>0.31921386310546895</v>
      </c>
      <c r="AF61" s="138">
        <f>kesc.aR*VOLUME.aR*(C.aRS+C.aRA+C.aRP)*Molweight</f>
        <v>1.2413431847661739E-5</v>
      </c>
      <c r="AG61" s="138"/>
      <c r="AH61" s="949">
        <f>(kdegS.a*C.aRS+kdegA.a*C.aRA+kdegP.a*C.aRP)*VOLUME.aR*Molweight</f>
        <v>0</v>
      </c>
      <c r="AI61" s="138">
        <f>SUM(AI62:AI64)</f>
        <v>2.5697087611617165E-3</v>
      </c>
      <c r="AJ61" s="138">
        <f>SUM(AJ62:AJ64)</f>
        <v>0</v>
      </c>
      <c r="AK61" s="138">
        <f>SUM(AK67:AK69)</f>
        <v>3.3219945213746341E-2</v>
      </c>
      <c r="AL61" s="138">
        <f>SUM(AL67:AL69)</f>
        <v>0</v>
      </c>
      <c r="AM61" s="163"/>
      <c r="AN61" s="163"/>
      <c r="AO61" s="162"/>
      <c r="AP61" s="917">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2">
      <c r="A62" s="17"/>
      <c r="B62" s="159" t="s">
        <v>144</v>
      </c>
      <c r="C62" s="295"/>
      <c r="D62" s="446"/>
      <c r="E62" s="296"/>
      <c r="F62" s="446"/>
      <c r="G62" s="296">
        <f>(1-FRw.w3M)*G60</f>
        <v>32001518215.208412</v>
      </c>
      <c r="H62" s="446">
        <f t="shared" si="18"/>
        <v>6.7466752960882099E-4</v>
      </c>
      <c r="I62" s="296">
        <f>(1-FRw.w3A)*I60</f>
        <v>21039758901.13031</v>
      </c>
      <c r="J62" s="446">
        <f t="shared" si="19"/>
        <v>6.6998552376400667E-4</v>
      </c>
      <c r="K62" s="296">
        <f>(1-FRw.w3T)*K60</f>
        <v>79085729713.400665</v>
      </c>
      <c r="L62" s="461">
        <f t="shared" si="20"/>
        <v>6.7612770456037662E-4</v>
      </c>
      <c r="M62" s="124"/>
      <c r="N62" s="124"/>
      <c r="O62" s="124">
        <f>O61*Kp.susp3M</f>
        <v>3.8198510560814247E-2</v>
      </c>
      <c r="P62" s="124">
        <f>P61*Kp.susp3A</f>
        <v>3.8198545572126846E-2</v>
      </c>
      <c r="Q62" s="124">
        <f>Q61*Kp.susp3T</f>
        <v>4.102382493691771E-2</v>
      </c>
      <c r="R62" s="160" t="s">
        <v>145</v>
      </c>
      <c r="S62" s="163"/>
      <c r="T62" s="163"/>
      <c r="U62" s="163">
        <f>U60*(1-FRw.w3M)</f>
        <v>1.5561219098398958E-25</v>
      </c>
      <c r="V62" s="163">
        <f>V60*(1-FRw.w3A)</f>
        <v>3.1981557258485365E-31</v>
      </c>
      <c r="W62" s="162">
        <f>W60*(1-FRw.w3T)</f>
        <v>1.5449664449420155E-22</v>
      </c>
      <c r="X62" s="17"/>
      <c r="Y62" s="156"/>
      <c r="Z62" s="17"/>
      <c r="AA62" s="312" t="s">
        <v>124</v>
      </c>
      <c r="AB62" s="162" t="s">
        <v>125</v>
      </c>
      <c r="AC62" s="948">
        <f>E.w0RS*Molweight</f>
        <v>0</v>
      </c>
      <c r="AD62" s="138">
        <f>k.w1R.w0R*(M.w1RS+M.w1RA+M.w1RP)*Molweight</f>
        <v>0</v>
      </c>
      <c r="AE62" s="138">
        <f>(k.w0R.w1R+k.w0R.w2R)*(M.w0RS+M.w0RA+M.w0RP)*Molweight</f>
        <v>1.8478328746825549E-4</v>
      </c>
      <c r="AF62" s="163"/>
      <c r="AG62" s="163">
        <f>(kdis.w0S.w0D*M.w0RS+kdis.w0A.w0D*M.w0RA+kdis.w0P.w0D*M.w0RP)*Molweight</f>
        <v>7.7081028486758004E-10</v>
      </c>
      <c r="AH62" s="949">
        <f>(kdegS.w0*M.w0RS+kdegA.w0*M.w0RA+kdegP.w0*M.w0RP)*Molweight</f>
        <v>0</v>
      </c>
      <c r="AI62" s="138">
        <f>((k.aRS.w0RS*M.aRS+k.aRA.w0RA*M.aRA+k.aRP.w0RP*M.aRP)+(k.cwRS.w0RS*M.cwRS+k.cwRA.w0RA*M.cwRA+k.cwRP.w0RP*M.cwRP))*Molweight</f>
        <v>1.9026920489735135E-4</v>
      </c>
      <c r="AJ62" s="163"/>
      <c r="AK62" s="163"/>
      <c r="AL62" s="163"/>
      <c r="AM62" s="163"/>
      <c r="AN62" s="138">
        <f>(k.w0RS.sd0RS*M.w0RS+k.w0RA.sd0RA*M.w0RA+k.w0RP.sd0RP*M.w0RP)*Molweight</f>
        <v>5.4851466188110617E-6</v>
      </c>
      <c r="AO62" s="949">
        <f>(k.sd0RS.w0RS*M.sd0RS+k.sd0RA.w0RA*M.sd0RA+k.sd0RP.w0RP*M.sd0RP)*Molweight</f>
        <v>0</v>
      </c>
      <c r="AP62" s="951">
        <f>SUM(AC62,AD62,AI62,AM62,AO62)-SUM(AF62,AE62,AH62,AJ62,AN62,AG62)</f>
        <v>0</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2">
      <c r="A63" s="17"/>
      <c r="B63" s="159" t="s">
        <v>128</v>
      </c>
      <c r="C63" s="295"/>
      <c r="D63" s="446"/>
      <c r="E63" s="296"/>
      <c r="F63" s="446"/>
      <c r="G63" s="296">
        <f>M.w3MS*Molweight</f>
        <v>3.4280056729326453E-7</v>
      </c>
      <c r="H63" s="446">
        <f t="shared" si="18"/>
        <v>7.2270449898323046E-21</v>
      </c>
      <c r="I63" s="296">
        <f>M.w3AS*Molweight</f>
        <v>3.2674238056012223E-9</v>
      </c>
      <c r="J63" s="446">
        <f t="shared" si="19"/>
        <v>1.0404713571300065E-22</v>
      </c>
      <c r="K63" s="296">
        <f>M.w3TS*Molweight</f>
        <v>4.7093791098749908E-9</v>
      </c>
      <c r="L63" s="461">
        <f t="shared" si="20"/>
        <v>4.0261899321197397E-23</v>
      </c>
      <c r="M63" s="124"/>
      <c r="N63" s="124"/>
      <c r="O63" s="124">
        <f>C.w3MS*Molweight</f>
        <v>2.9461162190499493E-24</v>
      </c>
      <c r="P63" s="124">
        <f>C.w3AS*Molweight</f>
        <v>4.2711422295440817E-26</v>
      </c>
      <c r="Q63" s="124">
        <f>C.w3TS*Molweight</f>
        <v>1.7588717497198848E-26</v>
      </c>
      <c r="R63" s="160" t="s">
        <v>215</v>
      </c>
      <c r="S63" s="163"/>
      <c r="T63" s="163"/>
      <c r="U63" s="163"/>
      <c r="V63" s="163"/>
      <c r="W63" s="162"/>
      <c r="X63" s="17"/>
      <c r="Y63" s="156"/>
      <c r="Z63" s="17"/>
      <c r="AA63" s="312" t="s">
        <v>127</v>
      </c>
      <c r="AB63" s="162" t="s">
        <v>92</v>
      </c>
      <c r="AC63" s="948">
        <f>E.w1RS*Molweight</f>
        <v>0.3170979198376459</v>
      </c>
      <c r="AD63" s="138">
        <f>(WATERflow.w0R.w1R*(C.w0RS+C.w0RA+C.w0RP)+WATERflow.w1C.w1R*(C.w1CS+C.w1CA+C.w1CP))*Molweight</f>
        <v>1.8478328746825549E-4</v>
      </c>
      <c r="AE63" s="138">
        <f>(WATERflow.w1R.w0R+WATERflow.w1R.w2R)*(C.w1RS+C.w1RA+C.w1RP)*Molweight</f>
        <v>0.55658875045364409</v>
      </c>
      <c r="AF63" s="163"/>
      <c r="AG63" s="163">
        <f>(kdis.w1S.w1D*M.w1RS+kdis.w1A.w1D*M.w1RA+kdis.w1P.w1D*M.w1RP)*Molweight</f>
        <v>7.6618417133875911E-7</v>
      </c>
      <c r="AH63" s="949">
        <f>(kdegS.w1*M.w1RS+kdegA.w1*M.w1RA+kdegP.w1*M.w1RP)*Molweight</f>
        <v>0</v>
      </c>
      <c r="AI63" s="138">
        <f>((k.aRS.w1RS*M.aRS+k.aRA.w1RA*M.aRA+k.aRP.w1RP*M.aRP)+(k.cwRS.w1RS*M.cwRS+k.cwRA.w1RA*M.cwRA+k.cwRP.w1RP*M.cwRP))*Molweight</f>
        <v>2.0929612538708648E-3</v>
      </c>
      <c r="AJ63" s="163"/>
      <c r="AK63" s="163"/>
      <c r="AL63" s="163"/>
      <c r="AM63" s="138">
        <f>(k.s1RS.w1RS*M.s1RS+k.s1RA.w1RA*M.s1RA+k.s1RP.w1RP*M.s1RP+k.s2RS.w1RS*M.s2RS+k.s2RA.w1RA*M.s2RA+k.s2RP.w1RP*M.s2RP+k.s3RS.w1RS*M.s3RS+k.s3RA.w1RA*M.s3RA+k.s3RP.w1RP*M.s3RP)*Molweight</f>
        <v>0.34695120697414228</v>
      </c>
      <c r="AN63" s="138">
        <f>(k.w1RS.sd1RS*M.w1RS+k.w1RA.sd1RA*M.w1RA+k.w1RP.sd1RP*M.w1RP)*Molweight</f>
        <v>1.1146496137507991</v>
      </c>
      <c r="AO63" s="949">
        <f>(k.sd1RS.w1RS*M.sd1RS+k.sd1RA.w1RA*M.sd1RA+k.sd1RP.w1RP*M.sd1RP)*Molweight</f>
        <v>1.0049122590354871</v>
      </c>
      <c r="AP63" s="951">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25">
      <c r="A64" s="17"/>
      <c r="B64" s="159" t="s">
        <v>131</v>
      </c>
      <c r="C64" s="295"/>
      <c r="D64" s="446"/>
      <c r="E64" s="296"/>
      <c r="F64" s="446"/>
      <c r="G64" s="296">
        <f>M.w3MA*Molweight</f>
        <v>1406591558659.6982</v>
      </c>
      <c r="H64" s="446">
        <f t="shared" si="18"/>
        <v>2.9654269702696957E-2</v>
      </c>
      <c r="I64" s="296">
        <f>M.w3AA*Molweight</f>
        <v>923180645264.5614</v>
      </c>
      <c r="J64" s="446">
        <f t="shared" si="19"/>
        <v>2.9397564442297026E-2</v>
      </c>
      <c r="K64" s="296">
        <f>M.w3TA*Molweight</f>
        <v>3482480897750.7383</v>
      </c>
      <c r="L64" s="461">
        <f t="shared" si="20"/>
        <v>2.9772777264677516E-2</v>
      </c>
      <c r="M64" s="124"/>
      <c r="N64" s="124"/>
      <c r="O64" s="124">
        <f>C.w3MA*Molweight</f>
        <v>1.2088609529636293E-5</v>
      </c>
      <c r="P64" s="124">
        <f>C.w3AA*Molweight</f>
        <v>1.2067720853131519E-5</v>
      </c>
      <c r="Q64" s="124">
        <f>C.w3TA*Molweight</f>
        <v>1.3006464604111069E-5</v>
      </c>
      <c r="R64" s="160" t="s">
        <v>215</v>
      </c>
      <c r="S64" s="163"/>
      <c r="T64" s="163"/>
      <c r="U64" s="163"/>
      <c r="V64" s="163"/>
      <c r="W64" s="162"/>
      <c r="X64" s="17"/>
      <c r="Y64" s="156"/>
      <c r="Z64" s="17"/>
      <c r="AA64" s="312" t="s">
        <v>129</v>
      </c>
      <c r="AB64" s="162" t="s">
        <v>93</v>
      </c>
      <c r="AC64" s="948">
        <f>E.w2RS*Molweight</f>
        <v>0</v>
      </c>
      <c r="AD64" s="138">
        <f>(k.w1R.w2R*(M.w1RS+M.w1RA+M.w1RP)+k.w2C.w2R*(M.w2CS+M.w2CA+M.w2CP))*Molweight</f>
        <v>0.70562039332149307</v>
      </c>
      <c r="AE64" s="138">
        <f>k.w2R.w2C*(M.w2RS+M.w2RA+M.w2RP)*Molweight</f>
        <v>0.70444551608370887</v>
      </c>
      <c r="AF64" s="163"/>
      <c r="AG64" s="163">
        <f>(kdis.w2S.w2D*M.w2RS+kdis.w2A.w2D*M.w2RA+kdis.w2P.w2D*M.w2RP)*Molweight</f>
        <v>5.1424844079386306E-8</v>
      </c>
      <c r="AH64" s="949">
        <f>(kdegS.w2*M.w2RS+kdegA.w2*M.w2RA+kdegP.w2*M.w2RP)*Molweight</f>
        <v>0</v>
      </c>
      <c r="AI64" s="138">
        <f>((k.aRS.w2RS*M.aRS+k.aRA.w2RA*M.aRA+k.aRP.w2RP*M.aRP)+(k.cwRS.w2RS*M.cwRS+k.cwRA.w2RA*M.cwRA+k.cwRP.w2RP*M.cwRP))*Molweight</f>
        <v>2.8647830239350011E-4</v>
      </c>
      <c r="AJ64" s="163"/>
      <c r="AK64" s="163"/>
      <c r="AL64" s="163"/>
      <c r="AM64" s="163"/>
      <c r="AN64" s="138">
        <f>(k.w2RS.sd2RS*M.w2RS+k.w2RA.sd2RA*M.w2RA+k.w2RP.sd2RP*M.w2RP)*Molweight</f>
        <v>1.5667221712805744E-2</v>
      </c>
      <c r="AO64" s="949">
        <f>(k.sd2RS.w2RS*M.sd2RS+k.sd2RA.w2RA*M.sd2RA+k.sd2RP.w2RP*M.sd2RP)*Molweight</f>
        <v>1.4205917597472077E-2</v>
      </c>
      <c r="AP64" s="951">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60</v>
      </c>
      <c r="BO64" s="2"/>
      <c r="BP64" s="2"/>
      <c r="BQ64" s="2"/>
      <c r="BR64" s="2"/>
      <c r="BS64" s="2" t="s">
        <v>61</v>
      </c>
      <c r="BT64" s="111" t="str">
        <f>ChemName</f>
        <v>nTiO2_10nm</v>
      </c>
      <c r="BU64" s="2"/>
      <c r="BV64" s="2" t="s">
        <v>62</v>
      </c>
      <c r="BW64" s="2" t="str">
        <f>CONCATENATE(version!$B$2," ",version!$B$3," ",version!$C$3)</f>
        <v>SimpleBox4nano vs 4.02-nano 44497</v>
      </c>
      <c r="BX64" s="2"/>
      <c r="BY64" s="2"/>
      <c r="BZ64" s="2"/>
      <c r="CA64" s="2"/>
      <c r="CB64" s="112"/>
      <c r="CC64" s="2"/>
      <c r="CD64" s="112">
        <f>AF22</f>
        <v>7.2352709251823487E-6</v>
      </c>
      <c r="CE64" s="2"/>
    </row>
    <row r="65" spans="1:83" ht="12.75" customHeight="1" x14ac:dyDescent="0.2">
      <c r="A65" s="17"/>
      <c r="B65" s="454" t="s">
        <v>133</v>
      </c>
      <c r="C65" s="295"/>
      <c r="D65" s="446"/>
      <c r="E65" s="296"/>
      <c r="F65" s="446"/>
      <c r="G65" s="296">
        <f>M.w3MP*Molweight</f>
        <v>103007125.87109546</v>
      </c>
      <c r="H65" s="446">
        <f t="shared" si="18"/>
        <v>2.171633316775882E-6</v>
      </c>
      <c r="I65" s="296">
        <f>M.w3AP*Molweight</f>
        <v>33467756.80098914</v>
      </c>
      <c r="J65" s="446">
        <f t="shared" si="19"/>
        <v>1.0657399961133818E-6</v>
      </c>
      <c r="K65" s="296">
        <f>M.w3TP*Molweight</f>
        <v>557813347.3657937</v>
      </c>
      <c r="L65" s="461">
        <f t="shared" si="20"/>
        <v>4.7689141833089448E-6</v>
      </c>
      <c r="M65" s="124"/>
      <c r="N65" s="124"/>
      <c r="O65" s="124">
        <f>C.w3MP*Molweight</f>
        <v>8.8526972578471771E-10</v>
      </c>
      <c r="P65" s="124">
        <f>C.w3AP*Molweight</f>
        <v>4.3748701700639404E-10</v>
      </c>
      <c r="Q65" s="124">
        <f>C.w3TP*Molweight</f>
        <v>2.0833364980982031E-9</v>
      </c>
      <c r="R65" s="160" t="s">
        <v>215</v>
      </c>
      <c r="S65" s="163"/>
      <c r="T65" s="163"/>
      <c r="U65" s="163"/>
      <c r="V65" s="163"/>
      <c r="W65" s="162"/>
      <c r="X65" s="17"/>
      <c r="Y65" s="156"/>
      <c r="Z65" s="17"/>
      <c r="AA65" s="312" t="s">
        <v>132</v>
      </c>
      <c r="AB65" s="162" t="s">
        <v>94</v>
      </c>
      <c r="AC65" s="948"/>
      <c r="AD65" s="163"/>
      <c r="AE65" s="163"/>
      <c r="AF65" s="138">
        <f>kbur.sd1R*(M.sd1RS+M.sd1RA+M.sd1RP)*Molweight</f>
        <v>0.10973356474612576</v>
      </c>
      <c r="AG65" s="163">
        <f>(kdis.sd1S.sd1D*M.sd1RS+kdis.sd1A.sd1D*M.sd1RA+kdis.sd1P.sd1D*M.sd1RP)*Molweight</f>
        <v>3.7899691862741481E-6</v>
      </c>
      <c r="AH65" s="949">
        <f>(kdegS.sd1*M.sd1RS+kdegA.sd1*M.sd1RA+kdegP.sd1*M.sd1RP)*Molweight</f>
        <v>0</v>
      </c>
      <c r="AI65" s="163"/>
      <c r="AJ65" s="163"/>
      <c r="AK65" s="163"/>
      <c r="AL65" s="163"/>
      <c r="AM65" s="163"/>
      <c r="AN65" s="138">
        <f>AN63</f>
        <v>1.1146496137507991</v>
      </c>
      <c r="AO65" s="949">
        <f>AO63</f>
        <v>1.0049122590354871</v>
      </c>
      <c r="AP65" s="951">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216</v>
      </c>
      <c r="BO65" s="2"/>
      <c r="BP65" s="2"/>
      <c r="BQ65" s="2"/>
      <c r="BR65" s="2"/>
      <c r="BS65" s="2"/>
      <c r="BT65" s="45"/>
      <c r="BU65" s="2"/>
      <c r="BV65" s="2" t="s">
        <v>64</v>
      </c>
      <c r="BW65" s="6">
        <f ca="1">TODAY()</f>
        <v>45336</v>
      </c>
      <c r="BX65" s="2"/>
      <c r="BY65" s="2"/>
      <c r="BZ65" s="2"/>
      <c r="CA65" s="2"/>
      <c r="CB65" s="2"/>
      <c r="CC65" s="2"/>
      <c r="CD65" s="2"/>
      <c r="CE65" s="2"/>
    </row>
    <row r="66" spans="1:83" ht="12.75" customHeight="1" x14ac:dyDescent="0.2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134</v>
      </c>
      <c r="AB66" s="162" t="s">
        <v>95</v>
      </c>
      <c r="AC66" s="948"/>
      <c r="AD66" s="163"/>
      <c r="AE66" s="163"/>
      <c r="AF66" s="138">
        <f>kbur.sd2R*(M.sd2RS+M.sd2RA+M.sd2RP)*Molweight</f>
        <v>1.4611443039911369E-3</v>
      </c>
      <c r="AG66" s="163">
        <f>(kdis.sd2S.sd2D*M.sd2RS+kdis.sd2A.sd2D*M.sd2RA+kdis.sd2P.sd2D*M.sd2RP)*Molweight</f>
        <v>1.598113425246067E-7</v>
      </c>
      <c r="AH66" s="949">
        <f>(kdegS.sd2*M.sd2RS+kdegA.sd2*M.sd2RA+kdegP.sd2*M.sd2RP)*Molweight</f>
        <v>0</v>
      </c>
      <c r="AI66" s="163"/>
      <c r="AJ66" s="163"/>
      <c r="AK66" s="163"/>
      <c r="AL66" s="163"/>
      <c r="AM66" s="163"/>
      <c r="AN66" s="138">
        <f>AN64</f>
        <v>1.5667221712805744E-2</v>
      </c>
      <c r="AO66" s="949">
        <f>AO64</f>
        <v>1.4205917597472077E-2</v>
      </c>
      <c r="AP66" s="951">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25">
      <c r="A67" s="17"/>
      <c r="B67" s="104" t="s">
        <v>217</v>
      </c>
      <c r="C67" s="295">
        <f>SUM(C68,C71:C73)</f>
        <v>2026464.1596590236</v>
      </c>
      <c r="D67" s="446">
        <f t="shared" ref="D67:D73" si="21">C67/$C$103</f>
        <v>1.3032169528434827E-4</v>
      </c>
      <c r="E67" s="295">
        <f>SUM(E68,E71:E73)</f>
        <v>1751348537.3502281</v>
      </c>
      <c r="F67" s="446">
        <f t="shared" ref="F67:F73" si="22">E67/$E$103</f>
        <v>5.9426941214626022E-3</v>
      </c>
      <c r="G67" s="296">
        <f>SUM(G68,G71:G73)</f>
        <v>18340119901.155579</v>
      </c>
      <c r="H67" s="446">
        <f t="shared" ref="H67:H73" si="23">G67/$G$103</f>
        <v>3.8665301137374883E-4</v>
      </c>
      <c r="I67" s="296">
        <f>SUM(I68,I71:I73)</f>
        <v>12020390249.771753</v>
      </c>
      <c r="J67" s="446">
        <f t="shared" ref="J67:J73" si="24">I67/$I$103</f>
        <v>3.8277470265633286E-4</v>
      </c>
      <c r="K67" s="296">
        <f>SUM(K68,K71:K73)</f>
        <v>45643724022.859879</v>
      </c>
      <c r="L67" s="461">
        <f t="shared" ref="L67:L73" si="25">K67/$K$103</f>
        <v>3.9022193337534994E-4</v>
      </c>
      <c r="M67" s="459">
        <f>((M.sd2RD+M.sd2RS+M.sd2RA+M.sd2RP)*Molweight*1000/(VOLUME.sd2R))/ (FRACw.sdR*1000+FRACs.sdR*RHOsolid)</f>
        <v>5.1960619478436443E-2</v>
      </c>
      <c r="N67" s="459">
        <f>((M.sd2CD+M.sd2CS+M.sd2CA+M.sd2CP)*Molweight*1000/(VOLUME.sd2C))/ (FRACw.sdC*1000+FRACs.sdC*RHOsolid)</f>
        <v>1.2093028443551869E-2</v>
      </c>
      <c r="O67" s="459">
        <f>((M.sdMD+M.sdMS+M.sdMA+M.sdMP)*Molweight*1000/(VOLUME.sdM))/(FRACw.sdM*1000+FRACs.sdM*RHOsolid)</f>
        <v>1.2124592784201938E-2</v>
      </c>
      <c r="P67" s="459">
        <f xml:space="preserve"> ((M.sdAD+M.sdAS+M.sdAA+M.sdAP)*Molweight*1000/(VOLUME.sdA))/(FRACw.sdA*1000+FRACs.sdA*RHOsolid)</f>
        <v>1.2086868023903222E-2</v>
      </c>
      <c r="Q67" s="459">
        <f>((M.sdTD+M.sdTS+M.sdTA+M.sdTP)*Molweight*1000/(VOLUME.sdT))/(FRACw.sdT*1000+FRACs.sdT*RHOsolid)</f>
        <v>1.3113186532459921E-2</v>
      </c>
      <c r="R67" s="160" t="s">
        <v>156</v>
      </c>
      <c r="S67" s="163"/>
      <c r="T67" s="163"/>
      <c r="U67" s="163"/>
      <c r="V67" s="163"/>
      <c r="W67" s="162"/>
      <c r="X67" s="17"/>
      <c r="Y67" s="156"/>
      <c r="Z67" s="17"/>
      <c r="AA67" s="312" t="s">
        <v>136</v>
      </c>
      <c r="AB67" s="162" t="s">
        <v>96</v>
      </c>
      <c r="AC67" s="948">
        <f>E.s1RS*Molweight</f>
        <v>0</v>
      </c>
      <c r="AD67" s="163"/>
      <c r="AE67" s="163"/>
      <c r="AF67" s="138">
        <f>kleach.s1R*(M.s1RS+M.s1RA)*Molweight</f>
        <v>5.2360797328264265E-5</v>
      </c>
      <c r="AG67" s="163">
        <f>(kdis.s1S.s1D*M.s1RS+kdis.s1A.s1D*M.s1RA+kdis.s1P.s1D*M.s1RP)*Molweight</f>
        <v>7.4422567219755108E-6</v>
      </c>
      <c r="AH67" s="949">
        <f>(kdegS.s1*M.s1RS+kdegA.s1*M.s1RA+kdegP.s1*M.s1RP)*Molweight</f>
        <v>0</v>
      </c>
      <c r="AI67" s="163"/>
      <c r="AJ67" s="163"/>
      <c r="AK67" s="138">
        <f>((k.aRS.s1RS*M.aRS+k.aRA.s1RA*M.aRA+k.aRP.s1RP*M.aRP)+(k.cwRS.s1RS*M.cwRS+k.cwRA.s1RA*M.cwRA+k.cwRP.s1RP*M.cwRP))*Molweight</f>
        <v>9.2467888739293964E-3</v>
      </c>
      <c r="AL67" s="163"/>
      <c r="AM67" s="138">
        <f>(k.s1RS.w1RS*M.s1RS+k.s1RA.w1RA*M.s1RA+k.s1RP.w1RP*M.s1RP)*Molweight</f>
        <v>9.1869858198791558E-3</v>
      </c>
      <c r="AN67" s="163"/>
      <c r="AO67" s="162"/>
      <c r="AP67" s="951">
        <f>SUM(AC67,AD67,AK67)-SUM(AE67,AF67,AH67,AL67,AM67,AP66,AG67)</f>
        <v>0</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72</v>
      </c>
      <c r="BT67" s="77">
        <f>IF(ISERROR(F12),0,F12)</f>
        <v>6.7019006782317719E-8</v>
      </c>
      <c r="BU67" s="113"/>
      <c r="BV67" s="113"/>
      <c r="BW67" s="113"/>
      <c r="BX67" s="2"/>
      <c r="BY67" s="2"/>
      <c r="BZ67" s="2"/>
      <c r="CA67" s="2"/>
      <c r="CB67" s="113"/>
      <c r="CC67" s="113"/>
      <c r="CD67" s="113"/>
      <c r="CE67" s="2"/>
    </row>
    <row r="68" spans="1:83" ht="12.75" customHeight="1" x14ac:dyDescent="0.25">
      <c r="A68" s="17"/>
      <c r="B68" s="443" t="s">
        <v>121</v>
      </c>
      <c r="C68" s="295">
        <f>M.sd2RD*Molweight</f>
        <v>428350.73441295681</v>
      </c>
      <c r="D68" s="446">
        <f t="shared" si="21"/>
        <v>2.7547190321088674E-5</v>
      </c>
      <c r="E68" s="295">
        <f>M.sd2CD*Molweight</f>
        <v>1517504683.1262987</v>
      </c>
      <c r="F68" s="446">
        <f t="shared" si="22"/>
        <v>5.1492127165908754E-3</v>
      </c>
      <c r="G68" s="296">
        <f>M.sdMD*Molweight</f>
        <v>15850782373.682453</v>
      </c>
      <c r="H68" s="446">
        <f t="shared" si="23"/>
        <v>3.3417190129864403E-4</v>
      </c>
      <c r="I68" s="296">
        <f>M.sdAD*Molweight</f>
        <v>10421275473.111683</v>
      </c>
      <c r="J68" s="446">
        <f t="shared" si="24"/>
        <v>3.3185283818849419E-4</v>
      </c>
      <c r="K68" s="296">
        <f>M.sdTD*Molweight</f>
        <v>39172226291.123108</v>
      </c>
      <c r="L68" s="461">
        <f t="shared" si="25"/>
        <v>3.3489515163756382E-4</v>
      </c>
      <c r="M68" s="124">
        <f>C.sd2R*(Molweight*1000)/(FRACw.sdR*1000+FRACs.sdR*RHOsolid)</f>
        <v>1.0983352164434778E-2</v>
      </c>
      <c r="N68" s="124">
        <f>C.sd2C*(Molweight*1000)/(FRACw.sdC*1000+FRACs.sdC*RHOsolid)</f>
        <v>1.0478341063986447E-2</v>
      </c>
      <c r="O68" s="124">
        <f>C.sdM*(Molweight*1000)/(FRACw.sdM*1000+FRACs.sdM*RHOsolid)</f>
        <v>1.0478899954181669E-2</v>
      </c>
      <c r="P68" s="124">
        <f>C.sdA*(Molweight*1000)/(FRACw.sdA*1000+FRACs.sdA*RHOsolid)</f>
        <v>1.0478909475225423E-2</v>
      </c>
      <c r="Q68" s="124">
        <f>C.sdT*(Molweight*1000)/(FRACw.sdT*1000+FRACs.sdT*RHOsolid)</f>
        <v>1.1253961442540575E-2</v>
      </c>
      <c r="R68" s="160" t="s">
        <v>156</v>
      </c>
      <c r="S68" s="163">
        <f>F.sd2R</f>
        <v>3.1312896827686649E-22</v>
      </c>
      <c r="T68" s="163">
        <f>F.sd2C</f>
        <v>2.9873139616187937E-22</v>
      </c>
      <c r="U68" s="163">
        <f>F.sdM</f>
        <v>2.9874732979558149E-22</v>
      </c>
      <c r="V68" s="163">
        <f>F.sdA</f>
        <v>6.1398819058516493E-28</v>
      </c>
      <c r="W68" s="162">
        <f>F.sdT</f>
        <v>2.9660568716726362E-19</v>
      </c>
      <c r="X68" s="166"/>
      <c r="Y68" s="156"/>
      <c r="Z68" s="17"/>
      <c r="AA68" s="312" t="s">
        <v>140</v>
      </c>
      <c r="AB68" s="162" t="s">
        <v>97</v>
      </c>
      <c r="AC68" s="948">
        <f>E.s2RS*Molweight</f>
        <v>0.3170979198376459</v>
      </c>
      <c r="AD68" s="163"/>
      <c r="AE68" s="163"/>
      <c r="AF68" s="138">
        <f>kleach.s2R*(M.s2RS+M.s2RA)*Molweight</f>
        <v>1.766270009070545E-3</v>
      </c>
      <c r="AG68" s="163">
        <f>(kdis.s2S.s2D*M.s2RS+kdis.s2A.s2D*M.s2RA+kdis.s2P.s2D*M.s2RP)*Molweight</f>
        <v>1.5184357348512322E-3</v>
      </c>
      <c r="AH68" s="949">
        <f>(kdegS.s2*M.s2RS+kdegA.s2*M.s2RA+kdegP.s2*M.s2RP)*Molweight</f>
        <v>0</v>
      </c>
      <c r="AI68" s="163"/>
      <c r="AJ68" s="163"/>
      <c r="AK68" s="138">
        <f>((k.aRS.s2RS*M.aRS+k.aRA.s2RA*M.aRA+k.aRP.s2RP*M.aRP)+(k.cwRS.s2RS*M.cwRS+k.cwRA.s2RA*M.cwRA+k.cwRP.s2RP*M.cwRP))*Molweight</f>
        <v>2.0548419719843093E-2</v>
      </c>
      <c r="AL68" s="163"/>
      <c r="AM68" s="138">
        <f>(k.s2RS.w1RS*M.s2RS+k.s2RA.w1RA*M.s2RA+k.s2RP.w1RP*M.s2RP)*Molweight</f>
        <v>0.33436163381356709</v>
      </c>
      <c r="AN68" s="163"/>
      <c r="AO68" s="162"/>
      <c r="AP68" s="951">
        <f>SUM(AC68,AD68,AK68)-SUM(AE68,AF68,AH68,AL68,AM68,AP67,AG68)</f>
        <v>0</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25">
      <c r="A69" s="17"/>
      <c r="B69" s="159" t="s">
        <v>159</v>
      </c>
      <c r="C69" s="295">
        <f>C68*FRACw.sdR</f>
        <v>342680.58753036545</v>
      </c>
      <c r="D69" s="446">
        <f t="shared" si="21"/>
        <v>2.203775225687094E-5</v>
      </c>
      <c r="E69" s="295">
        <f>E68*FRACw.sdC</f>
        <v>1214003746.501039</v>
      </c>
      <c r="F69" s="446">
        <f t="shared" si="22"/>
        <v>4.1193701732727007E-3</v>
      </c>
      <c r="G69" s="296">
        <f>FRACw.sdM*G68</f>
        <v>12680625898.945963</v>
      </c>
      <c r="H69" s="446">
        <f t="shared" si="23"/>
        <v>2.6733752103891523E-4</v>
      </c>
      <c r="I69" s="296">
        <f>FRACw.sdA*I68</f>
        <v>8337020378.4893465</v>
      </c>
      <c r="J69" s="446">
        <f t="shared" si="24"/>
        <v>2.6548227055079535E-4</v>
      </c>
      <c r="K69" s="296">
        <f>FRACw.sdT*K68</f>
        <v>31337781032.898487</v>
      </c>
      <c r="L69" s="461">
        <f t="shared" si="25"/>
        <v>2.6791612131005108E-4</v>
      </c>
      <c r="M69" s="124">
        <f>M70/Kp.sd2R</f>
        <v>5.5342472146376802E-4</v>
      </c>
      <c r="N69" s="124">
        <f>N70/Kp.sd2C</f>
        <v>5.279784257047435E-4</v>
      </c>
      <c r="O69" s="124">
        <f>O70/Kp.sdM</f>
        <v>5.2800658683861137E-4</v>
      </c>
      <c r="P69" s="124">
        <f>P70/Kp.sdA</f>
        <v>5.2800706658112607E-4</v>
      </c>
      <c r="Q69" s="124">
        <f>Q70/Kp.sdT</f>
        <v>5.6706007268615319E-4</v>
      </c>
      <c r="R69" s="160" t="s">
        <v>139</v>
      </c>
      <c r="S69" s="163">
        <f>S68*FRACw.sdR</f>
        <v>2.5050317462149318E-22</v>
      </c>
      <c r="T69" s="163">
        <f>T68*FRACw.sdC</f>
        <v>2.3898511692950349E-22</v>
      </c>
      <c r="U69" s="163">
        <f>U68*FRACw.sdM</f>
        <v>2.3899786383646521E-22</v>
      </c>
      <c r="V69" s="163">
        <f>V68*FRACw.sdA</f>
        <v>4.9119055246813196E-28</v>
      </c>
      <c r="W69" s="162">
        <f>W68*FRACw.sdT</f>
        <v>2.3728454973381092E-19</v>
      </c>
      <c r="X69" s="166"/>
      <c r="Y69" s="156"/>
      <c r="Z69" s="17"/>
      <c r="AA69" s="312" t="s">
        <v>141</v>
      </c>
      <c r="AB69" s="162" t="s">
        <v>98</v>
      </c>
      <c r="AC69" s="948">
        <f>E.s3RS*Molweight</f>
        <v>0</v>
      </c>
      <c r="AD69" s="163"/>
      <c r="AE69" s="163"/>
      <c r="AF69" s="138">
        <f>kleach.s3R*(M.s3RS+M.s3RA)*Molweight</f>
        <v>1.9392887899357137E-5</v>
      </c>
      <c r="AG69" s="163">
        <f>(kdis.s3S.s3D*M.s3RS+kdis.s3A.s3D*M.s3RA+kdis.s3P.s3D*M.s3RP)*Molweight</f>
        <v>2.7563913785094478E-6</v>
      </c>
      <c r="AH69" s="949">
        <f>(kdegS.s3*M.s3RS+kdegA.s3*M.s3RA+kdegP.s3*M.s3RP)*Molweight</f>
        <v>0</v>
      </c>
      <c r="AI69" s="163"/>
      <c r="AJ69" s="163"/>
      <c r="AK69" s="138">
        <f>((k.aRS.s3RS*M.aRS+k.aRA.s3RA*M.aRA+k.aRP.s3RP*M.aRP)+(k.cwRS.s3RS*M.cwRS+k.cwRA.s3RA*M.cwRA+k.cwRP.s3RP*M.cwRP))*Molweight</f>
        <v>3.4247366199738499E-3</v>
      </c>
      <c r="AL69" s="163"/>
      <c r="AM69" s="138">
        <f>(k.s3RS.w1RS*M.s3RS+k.s3RA.w1RA*M.s3RA+k.s3RP.w1RP*M.s3RP)*Molweight</f>
        <v>3.4025873406959835E-3</v>
      </c>
      <c r="AN69" s="163"/>
      <c r="AO69" s="162"/>
      <c r="AP69" s="951">
        <f>SUM(AC69,AD69,AK69)-SUM(AE69,AF69,AH69,AL69,AM69,AP68,AG69)</f>
        <v>0</v>
      </c>
      <c r="AQ69" s="17"/>
      <c r="AR69" s="46"/>
      <c r="AS69" s="2"/>
      <c r="AT69" s="2"/>
      <c r="AU69" s="2"/>
      <c r="AV69" s="2"/>
      <c r="AW69" s="2"/>
      <c r="AX69" s="2"/>
      <c r="AY69" s="2"/>
      <c r="AZ69" s="2"/>
      <c r="BA69" s="2"/>
      <c r="BB69" s="2"/>
      <c r="BC69" s="2"/>
      <c r="BD69" s="2"/>
      <c r="BE69" s="2"/>
      <c r="BF69" s="2"/>
      <c r="BG69" s="2"/>
      <c r="BH69" s="2"/>
      <c r="BI69" s="2"/>
      <c r="BJ69" s="2"/>
      <c r="BK69" s="2"/>
      <c r="BL69" s="46"/>
      <c r="BM69" s="2"/>
      <c r="BN69" s="128" t="s">
        <v>107</v>
      </c>
      <c r="BO69" s="129"/>
      <c r="BP69" s="130">
        <f>AD22</f>
        <v>0.18723202791114046</v>
      </c>
      <c r="BQ69" s="113"/>
      <c r="BR69" s="78"/>
      <c r="BS69" s="113"/>
      <c r="BT69" s="113"/>
      <c r="BU69" s="113"/>
      <c r="BV69" s="113"/>
      <c r="BW69" s="113"/>
      <c r="BX69" s="2"/>
      <c r="BY69" s="2"/>
      <c r="BZ69" s="2"/>
      <c r="CA69" s="2"/>
      <c r="CB69" s="113"/>
      <c r="CC69" s="113"/>
      <c r="CD69" s="113"/>
      <c r="CE69" s="2"/>
    </row>
    <row r="70" spans="1:83" ht="12.75" customHeight="1" x14ac:dyDescent="0.2">
      <c r="A70" s="17"/>
      <c r="B70" s="159" t="s">
        <v>160</v>
      </c>
      <c r="C70" s="295">
        <f>C68*FRACs.sdR</f>
        <v>85670.146882591347</v>
      </c>
      <c r="D70" s="446">
        <f t="shared" si="21"/>
        <v>5.5094380642177342E-6</v>
      </c>
      <c r="E70" s="295">
        <f>E68*FRACs.sdC</f>
        <v>303500936.62525964</v>
      </c>
      <c r="F70" s="446">
        <f t="shared" si="22"/>
        <v>1.0298425433181747E-3</v>
      </c>
      <c r="G70" s="296">
        <f>(1-FRACw.sdM)*G68</f>
        <v>3170156474.7364898</v>
      </c>
      <c r="H70" s="446">
        <f t="shared" si="23"/>
        <v>6.6834380259728779E-5</v>
      </c>
      <c r="I70" s="296">
        <f>(1-FRACw.sdA)*I68</f>
        <v>2084255094.6223361</v>
      </c>
      <c r="J70" s="446">
        <f t="shared" si="24"/>
        <v>6.6370567637698825E-5</v>
      </c>
      <c r="K70" s="296">
        <f>(1-FRACw.sdT)*K68</f>
        <v>7834445258.2246199</v>
      </c>
      <c r="L70" s="461">
        <f t="shared" si="25"/>
        <v>6.6979030327512755E-5</v>
      </c>
      <c r="M70" s="124">
        <f>C.sd2R*FRACs.sdR/(FRACw.sdR/(Kp.sd2R*RHOsolid/1000)+FRACs.sdR)*(Molweight*1000)/(FRACs.sdR*RHOsolid)</f>
        <v>2.7671236073188402E-2</v>
      </c>
      <c r="N70" s="124">
        <f>C.sd2C*FRACs.sdC/(FRACw.sdC/(Kp.sd2C*RHOsolid/1000)+FRACs.sdC)*(Molweight*1000)/(FRACs.sdC*RHOsolid)</f>
        <v>2.6398921285237173E-2</v>
      </c>
      <c r="O70" s="124">
        <f>C.sdM*FRACs.sdM/(FRACw.sdM/(Kp.sdM*RHOsolid/1000)+FRACs.sdM)*(Molweight*1000)/(FRACs.sdM*RHOsolid)</f>
        <v>2.6400329341930571E-2</v>
      </c>
      <c r="P70" s="124">
        <f>C.sdA*FRACs.sdA/(FRACw.sdA/(Kp.sdA*RHOsolid/1000)+FRACs.sdA)*(Molweight*1000)/(FRACs.sdA*RHOsolid)</f>
        <v>2.6400353329056304E-2</v>
      </c>
      <c r="Q70" s="124">
        <f>C.sdT*FRACs.sdT/(FRACw.sdT/(Kp.sdT*RHOsolid/1000)+FRACs.sdT)*(Molweight*1000)/(FRACs.sdT*RHOsolid)</f>
        <v>2.835300363430766E-2</v>
      </c>
      <c r="R70" s="160" t="s">
        <v>145</v>
      </c>
      <c r="S70" s="163">
        <f>S68*(1-FRACw.sdR)</f>
        <v>6.2625793655373284E-23</v>
      </c>
      <c r="T70" s="163">
        <f>T68*(1-FRACw.sdC)</f>
        <v>5.974627923237586E-23</v>
      </c>
      <c r="U70" s="163">
        <f>U68*(1-FRACw.sdM)</f>
        <v>5.9749465959116279E-23</v>
      </c>
      <c r="V70" s="163">
        <f>V68*(1-FRACw.sdA)</f>
        <v>1.2279763811703297E-28</v>
      </c>
      <c r="W70" s="162">
        <f>W68*(1-FRACw.sdT)</f>
        <v>5.9321137433452718E-20</v>
      </c>
      <c r="X70" s="166"/>
      <c r="Y70" s="156"/>
      <c r="Z70" s="17"/>
      <c r="AA70" s="915" t="s">
        <v>143</v>
      </c>
      <c r="AB70" s="304"/>
      <c r="AC70" s="951"/>
      <c r="AD70" s="163"/>
      <c r="AE70" s="163"/>
      <c r="AF70" s="163"/>
      <c r="AG70" s="163"/>
      <c r="AH70" s="162"/>
      <c r="AI70" s="163"/>
      <c r="AJ70" s="163"/>
      <c r="AK70" s="163"/>
      <c r="AL70" s="163"/>
      <c r="AM70" s="163"/>
      <c r="AN70" s="163"/>
      <c r="AO70" s="162"/>
      <c r="AP70" s="952"/>
      <c r="AQ70" s="17"/>
      <c r="AR70" s="46"/>
      <c r="AS70" s="2"/>
      <c r="AT70" s="2"/>
      <c r="AU70" s="2"/>
      <c r="AV70" s="2"/>
      <c r="AW70" s="2"/>
      <c r="AX70" s="2"/>
      <c r="AY70" s="2"/>
      <c r="AZ70" s="2"/>
      <c r="BA70" s="2"/>
      <c r="BB70" s="2"/>
      <c r="BC70" s="2"/>
      <c r="BD70" s="2"/>
      <c r="BE70" s="2"/>
      <c r="BF70" s="2"/>
      <c r="BG70" s="2"/>
      <c r="BH70" s="2"/>
      <c r="BI70" s="2"/>
      <c r="BJ70" s="2"/>
      <c r="BK70" s="2"/>
      <c r="BL70" s="46"/>
      <c r="BM70" s="2"/>
      <c r="BN70" s="131">
        <f>AE22</f>
        <v>3.3224512502171101E-2</v>
      </c>
      <c r="BO70" s="132"/>
      <c r="BP70" s="132" t="s">
        <v>115</v>
      </c>
      <c r="BQ70" s="113"/>
      <c r="BR70" s="113"/>
      <c r="BS70" s="113"/>
      <c r="BT70" s="113"/>
      <c r="BU70" s="2"/>
      <c r="BV70" s="113"/>
      <c r="BW70" s="113"/>
      <c r="BX70" s="2"/>
      <c r="BY70" s="17" t="s">
        <v>116</v>
      </c>
      <c r="BZ70" s="2"/>
      <c r="CA70" s="2"/>
      <c r="CB70" s="113"/>
      <c r="CC70" s="113"/>
      <c r="CD70" s="113"/>
      <c r="CE70" s="2"/>
    </row>
    <row r="71" spans="1:83" ht="12.75" customHeight="1" x14ac:dyDescent="0.2">
      <c r="A71" s="17"/>
      <c r="B71" s="159" t="s">
        <v>128</v>
      </c>
      <c r="C71" s="295">
        <f>M.sd2RS*Molweight</f>
        <v>2.740979286530712E-10</v>
      </c>
      <c r="D71" s="446">
        <f t="shared" si="21"/>
        <v>1.7627208734847322E-20</v>
      </c>
      <c r="E71" s="295">
        <f>M.sd2CS*Molweight</f>
        <v>2.8519099449200311E-11</v>
      </c>
      <c r="F71" s="446">
        <f t="shared" si="22"/>
        <v>9.6771305672023411E-23</v>
      </c>
      <c r="G71" s="296">
        <f>M.sdMS*Molweight</f>
        <v>9.1433748093940993E-19</v>
      </c>
      <c r="H71" s="446">
        <f t="shared" si="23"/>
        <v>1.9276391993208022E-32</v>
      </c>
      <c r="I71" s="296">
        <f>M.sdAS*Molweight</f>
        <v>8.8723591347396024E-21</v>
      </c>
      <c r="J71" s="446">
        <f t="shared" si="24"/>
        <v>2.8252948191300498E-34</v>
      </c>
      <c r="K71" s="296">
        <f>M.sdTS*Molweight</f>
        <v>1.2429462210241026E-20</v>
      </c>
      <c r="L71" s="461">
        <f t="shared" si="25"/>
        <v>1.0626321314332152E-34</v>
      </c>
      <c r="M71" s="124">
        <f>C.sd2RS*(Molweight*1000)/(FRACw.sdR*1000+FRACs.sdR*RHOsolid)</f>
        <v>7.0281520167454074E-18</v>
      </c>
      <c r="N71" s="124">
        <f>C.sd2CS*(Molweight*1000)/(FRACw.sdC*1000+FRACs.sdC*RHOsolid)</f>
        <v>1.9692384095370705E-22</v>
      </c>
      <c r="O71" s="124">
        <f>C.sdMS*(Molweight*1000)/(FRACw.sdM*1000+FRACs.sdM*RHOsolid)</f>
        <v>6.0446549332672786E-31</v>
      </c>
      <c r="P71" s="124">
        <f>C.sdAS*(Molweight*1000)/(FRACw.sdA*1000+FRACs.sdA*RHOsolid)</f>
        <v>8.9214269831469096E-33</v>
      </c>
      <c r="Q71" s="124">
        <f>C.sdTS*(Molweight*1000)/(FRACw.sdT*1000+FRACs.sdT*RHOsolid)</f>
        <v>3.570914949433607E-33</v>
      </c>
      <c r="R71" s="160" t="s">
        <v>218</v>
      </c>
      <c r="S71" s="163"/>
      <c r="T71" s="163"/>
      <c r="U71" s="163"/>
      <c r="V71" s="163"/>
      <c r="W71" s="162"/>
      <c r="X71" s="166"/>
      <c r="Y71" s="156"/>
      <c r="Z71" s="17"/>
      <c r="AA71" s="312" t="s">
        <v>122</v>
      </c>
      <c r="AB71" s="162" t="s">
        <v>99</v>
      </c>
      <c r="AC71" s="948">
        <f>E.aCS*Molweight</f>
        <v>0</v>
      </c>
      <c r="AD71" s="138">
        <f>(k.aR.aC*(M.aRS+M.aRA+M.aRP)+k.aM.aC*(M.aMS+M.aMA+M.aMP))*Molweight</f>
        <v>0.33218209018931355</v>
      </c>
      <c r="AE71" s="138">
        <f>(k.aC.aM+k.aC.aR)*(M.aCS+M.aCA+M.aCP)*Molweight</f>
        <v>0.21233989825178656</v>
      </c>
      <c r="AF71" s="138">
        <f>kesc.aC*VOLUME.aC*(C.aCS+C.aCA+C.aCP)*Molweight</f>
        <v>4.6241060481382089E-5</v>
      </c>
      <c r="AG71" s="163"/>
      <c r="AH71" s="949">
        <f>(kdegS.a*C.aCS+kdegA.a*C.aCA+kdegP.a*C.aCP)*VOLUME.aC*Molweight</f>
        <v>0</v>
      </c>
      <c r="AI71" s="163">
        <f>SUM(AI72:AI74,AK77:AK79)</f>
        <v>0.11979595087704563</v>
      </c>
      <c r="AJ71" s="163">
        <f>SUM(AJ72:AJ74,AL77:AL79)</f>
        <v>0</v>
      </c>
      <c r="AK71" s="163"/>
      <c r="AL71" s="163"/>
      <c r="AM71" s="163"/>
      <c r="AN71" s="163"/>
      <c r="AO71" s="162"/>
      <c r="AP71" s="917">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120</v>
      </c>
      <c r="BZ71" s="2"/>
      <c r="CA71" s="2"/>
      <c r="CB71" s="113"/>
      <c r="CC71" s="113"/>
      <c r="CD71" s="113"/>
      <c r="CE71" s="2"/>
    </row>
    <row r="72" spans="1:83" ht="12.75" customHeight="1" x14ac:dyDescent="0.2">
      <c r="A72" s="17"/>
      <c r="B72" s="159" t="s">
        <v>131</v>
      </c>
      <c r="C72" s="295">
        <f>M.sd2RA*Molweight</f>
        <v>255080.14887029849</v>
      </c>
      <c r="D72" s="446">
        <f t="shared" si="21"/>
        <v>1.640417733307194E-5</v>
      </c>
      <c r="E72" s="295">
        <f>M.sd2CA*Molweight</f>
        <v>228293139.20374385</v>
      </c>
      <c r="F72" s="446">
        <f t="shared" si="22"/>
        <v>7.7464666077773942E-4</v>
      </c>
      <c r="G72" s="296">
        <f>M.sdMA*Molweight</f>
        <v>2384639688.3104267</v>
      </c>
      <c r="H72" s="446">
        <f t="shared" si="23"/>
        <v>5.0273832531950291E-5</v>
      </c>
      <c r="I72" s="296">
        <f>M.sdAA*Molweight</f>
        <v>1565097694.938256</v>
      </c>
      <c r="J72" s="446">
        <f t="shared" si="24"/>
        <v>4.9838631887968727E-5</v>
      </c>
      <c r="K72" s="296">
        <f>M.sdTA*Molweight</f>
        <v>5904478972.6985283</v>
      </c>
      <c r="L72" s="461">
        <f t="shared" si="25"/>
        <v>5.0479167719675376E-5</v>
      </c>
      <c r="M72" s="124">
        <f>C.sd2RA*(Molweight*1000)/(FRACw.sdR*1000+FRACs.sdR*RHOsolid)</f>
        <v>6.5405166376999542E-3</v>
      </c>
      <c r="N72" s="124">
        <f>C.sd2CA*(Molweight*1000)/(FRACw.sdC*1000+FRACs.sdC*RHOsolid)</f>
        <v>1.576359797596665E-3</v>
      </c>
      <c r="O72" s="124">
        <f>C.sdMA*(Molweight*1000)/(FRACw.sdM*1000+FRACs.sdM*RHOsolid)</f>
        <v>1.5764774338246509E-3</v>
      </c>
      <c r="P72" s="124">
        <f>C.sdAA*(Molweight*1000)/(FRACw.sdA*1000+FRACs.sdA*RHOsolid)</f>
        <v>1.5737533382989E-3</v>
      </c>
      <c r="Q72" s="124">
        <f>C.sdTA*(Molweight*1000)/(FRACw.sdT*1000+FRACs.sdT*RHOsolid)</f>
        <v>1.6963237729508088E-3</v>
      </c>
      <c r="R72" s="160" t="s">
        <v>218</v>
      </c>
      <c r="S72" s="163"/>
      <c r="T72" s="163"/>
      <c r="U72" s="163"/>
      <c r="V72" s="163"/>
      <c r="W72" s="162"/>
      <c r="X72" s="166"/>
      <c r="Y72" s="156"/>
      <c r="Z72" s="17"/>
      <c r="AA72" s="312" t="s">
        <v>124</v>
      </c>
      <c r="AB72" s="162" t="s">
        <v>147</v>
      </c>
      <c r="AC72" s="948"/>
      <c r="AD72" s="138">
        <f>k.w1C.w0C*(M.w1CS+M.w1CA+M.w1CP)*Molweight</f>
        <v>0</v>
      </c>
      <c r="AE72" s="138">
        <f>(k.w0C.w1C+k.w0C.w2C)*(M.w0CS+M.w0CA+M.w0CP)*Molweight</f>
        <v>1.8563995281889738E-4</v>
      </c>
      <c r="AF72" s="163"/>
      <c r="AG72" s="163">
        <f>(kdis.w0S.w0D*M.w0CS+kdis.w0A.w0D*M.w0CA+kdis.w0P.w0D*M.w0CP)*Molweight</f>
        <v>7.7438380318740063E-9</v>
      </c>
      <c r="AH72" s="949">
        <f>(kdegS.w0*M.w0CS+kdegA.w0*M.w0CA+kdegP.w0*M.w0CP)*Molweight</f>
        <v>0</v>
      </c>
      <c r="AI72" s="138">
        <f>((k.aCS.w0CS*M.aCS+k.aCA.w0CA*M.aCA+k.aCP.w0CP*M.aCP)+(k.cwCS.w0CS*M.cwCS+k.cwCA.w0CA*M.cwCA+k.cwCP.w0CP*M.cwCP))*Molweight</f>
        <v>2.2389227527307726E-4</v>
      </c>
      <c r="AJ72" s="163"/>
      <c r="AK72" s="163"/>
      <c r="AL72" s="163"/>
      <c r="AM72" s="163"/>
      <c r="AN72" s="138">
        <f>(k.w0CS.sd0CS*M.w0CS+k.w0CA.sd0CA*M.w0CA+k.w0CP.sd0CP*M.w0CP)*Molweight</f>
        <v>3.8244578616147978E-5</v>
      </c>
      <c r="AO72" s="949">
        <f>(k.sd0CS.w0CS*M.sd0CS+k.sd0CA.w0CA*M.sd0CA+k.sd0CP.w0CP*M.sd0CP)*Molweight</f>
        <v>0</v>
      </c>
      <c r="AP72" s="951">
        <f>SUM(AC72,AD72,AI72,AM72,AO72)-SUM(AF72,AE72,AH72,AJ72,AN72,AG72)</f>
        <v>0</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7.5218714607842909E-29</v>
      </c>
      <c r="BS72" s="113"/>
      <c r="BT72" s="113"/>
      <c r="BU72" s="113"/>
      <c r="BV72" s="113"/>
      <c r="BW72" s="113"/>
      <c r="BX72" s="2"/>
      <c r="BY72" s="2"/>
      <c r="BZ72" s="2"/>
      <c r="CA72" s="2"/>
      <c r="CB72" s="113"/>
      <c r="CC72" s="113"/>
      <c r="CD72" s="112"/>
      <c r="CE72" s="2"/>
    </row>
    <row r="73" spans="1:83" ht="12.75" customHeight="1" x14ac:dyDescent="0.2">
      <c r="A73" s="17"/>
      <c r="B73" s="159" t="s">
        <v>133</v>
      </c>
      <c r="C73" s="295">
        <f>M.sd2RP*Molweight</f>
        <v>1343033.276375768</v>
      </c>
      <c r="D73" s="446">
        <f t="shared" si="21"/>
        <v>8.637032763018763E-5</v>
      </c>
      <c r="E73" s="295">
        <f>M.sd2CP*Molweight</f>
        <v>5550715.0201854855</v>
      </c>
      <c r="F73" s="446">
        <f t="shared" si="22"/>
        <v>1.8834744093987272E-5</v>
      </c>
      <c r="G73" s="296">
        <f>M.sdMP*Molweight</f>
        <v>104697839.1626984</v>
      </c>
      <c r="H73" s="446">
        <f t="shared" si="23"/>
        <v>2.207277543154506E-6</v>
      </c>
      <c r="I73" s="296">
        <f>M.sdAP*Molweight</f>
        <v>34017081.721814305</v>
      </c>
      <c r="J73" s="446">
        <f t="shared" si="24"/>
        <v>1.0832325798699331E-6</v>
      </c>
      <c r="K73" s="296">
        <f>M.sdTP*Molweight</f>
        <v>567018759.03823805</v>
      </c>
      <c r="L73" s="461">
        <f t="shared" si="25"/>
        <v>4.8476140181107282E-6</v>
      </c>
      <c r="M73" s="124">
        <f>C.sd2RP*(Molweight*1000)/(FRACw.sdR*1000+FRACs.sdR*RHOsolid)</f>
        <v>3.4436750676301711E-2</v>
      </c>
      <c r="N73" s="124">
        <f>C.sd2CP*(Molweight*1000)/(FRACw.sdC*1000+FRACs.sdC*RHOsolid)</f>
        <v>3.8327581968757074E-5</v>
      </c>
      <c r="O73" s="124">
        <f>C.sdMP*(Molweight*1000)/(FRACw.sdM*1000+FRACs.sdM*RHOsolid)</f>
        <v>6.9215396195616171E-5</v>
      </c>
      <c r="P73" s="124">
        <f>C.sdAP*(Molweight*1000)/(FRACw.sdA*1000+FRACs.sdA*RHOsolid)</f>
        <v>3.4205210378898251E-5</v>
      </c>
      <c r="Q73" s="124">
        <f>C.sdTP*(Molweight*1000)/(FRACw.sdT*1000+FRACs.sdT*RHOsolid)</f>
        <v>1.6290131696853783E-4</v>
      </c>
      <c r="R73" s="160" t="s">
        <v>218</v>
      </c>
      <c r="S73" s="163"/>
      <c r="T73" s="163"/>
      <c r="U73" s="163"/>
      <c r="V73" s="163"/>
      <c r="W73" s="162"/>
      <c r="X73" s="166"/>
      <c r="Y73" s="156"/>
      <c r="Z73" s="17"/>
      <c r="AA73" s="312" t="s">
        <v>127</v>
      </c>
      <c r="AB73" s="162" t="s">
        <v>100</v>
      </c>
      <c r="AC73" s="948">
        <f>E.w1CS*Molweight</f>
        <v>0</v>
      </c>
      <c r="AD73" s="138">
        <f>k.w0C.w1C*(M.w0CS+M.w0CA+M.w0CP)*Molweight</f>
        <v>1.8563995281889738E-4</v>
      </c>
      <c r="AE73" s="138">
        <f>(k.w1C.w0C+k.w1C.w1R+k.w1C.w2C)*(M.w1CS+M.w1CA+M.w1CP)*Molweight</f>
        <v>2.9509789108759742E-2</v>
      </c>
      <c r="AF73" s="163"/>
      <c r="AG73" s="163">
        <f>(kdis.w1S.w1D*M.w1CS+kdis.w1A.w1D*M.w1CA+kdis.w1P.w1D*M.w1CP)*Molweight</f>
        <v>4.0622332550286976E-8</v>
      </c>
      <c r="AH73" s="949">
        <f>(kdegS.w1*M.w1CS+kdegA.w1*M.w1CA+kdegP.w1*M.w1CP)*Molweight</f>
        <v>0</v>
      </c>
      <c r="AI73" s="138">
        <f>((k.aCS.w1CS*M.aCS+k.aCA.w1CA*M.aCA+k.aCP.w1CP*M.aCP)+(k.cwCS.w1CS*M.cwCS+k.cwCA.w1CA*M.cwCA+k.cwCP.w1CP*M.cwCP))*Molweight</f>
        <v>2.4628150280038498E-3</v>
      </c>
      <c r="AJ73" s="163"/>
      <c r="AK73" s="163"/>
      <c r="AL73" s="163"/>
      <c r="AM73" s="138">
        <f>(k.s1CS.w1CS*M.s1CS+k.s1CA.w1CA*M.s1CA+k.s1CP.w1CP*M.s1CP+k.s2CS.w1CS*M.s2CS+k.s2CA.w1CA*M.s2CA+k.s2CP.w1CP*M.s2CP+k.s3CS.w1CS*M.s3CS+k.s3CA.w1CA*M.s3CA+k.s3CP.w1CP*M.s3CP)*Molweight</f>
        <v>2.7934523979296254E-2</v>
      </c>
      <c r="AN73" s="138">
        <f>(k.w1CS.sd1CS*M.w1CS+k.w1CA.sd1CA*M.w1CA+k.w1CP.sd1CP*M.w1CP)*Molweight</f>
        <v>1.0803177201500938E-2</v>
      </c>
      <c r="AO73" s="949">
        <f>(k.sd1CS.w1CS*M.sd1CS+k.sd1CA.w1CA*M.sd1CA+k.sd1CP.w1CP*M.sd1CP)*Molweight</f>
        <v>9.7300279724742214E-3</v>
      </c>
      <c r="AP73" s="951">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2">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129</v>
      </c>
      <c r="AB74" s="162" t="s">
        <v>101</v>
      </c>
      <c r="AC74" s="948">
        <f>E.w2CS*Molweight</f>
        <v>0</v>
      </c>
      <c r="AD74" s="138">
        <f>(k.w2M.w2C*(M.w2MS+M.w2MA+M.w2MP)+k.w2R.w2C*(M.w2RS+M.w2RA+M.w2RP)+k.w1C.w2C*(M.w1CS+M.w1CA+M.w1CP))*Molweight</f>
        <v>284.78953876715724</v>
      </c>
      <c r="AE74" s="138">
        <f>(k.w2C.w2M+k.w2C.w2R)*(M.w2CS+M.w2CA+M.w2CP)*Molweight</f>
        <v>284.66402313586087</v>
      </c>
      <c r="AF74" s="163"/>
      <c r="AG74" s="163">
        <f>(kdis.w2S.w2D*M.w2CS+kdis.w2A.w2D*M.w2CA+kdis.w2P.w2D*M.w2CP)*Molweight</f>
        <v>8.9776868404891177E-4</v>
      </c>
      <c r="AH74" s="949">
        <f>(kdegS.w2*M.w2CS+kdegA.w2*M.w2CA+kdegP.w2*M.w2CP)*Molweight</f>
        <v>0</v>
      </c>
      <c r="AI74" s="138">
        <f>((k.aCS.w2CS*M.aCS+k.aCA.w2CA*M.aCA+k.aCP.w2CP*M.aCP)+(k.cwCS.w2CS*M.cwCS+k.cwCA.w2CA*M.cwCA+k.cwCP.w2CP*M.cwCP))*Molweight</f>
        <v>8.8982908631003235E-2</v>
      </c>
      <c r="AJ74" s="163"/>
      <c r="AK74" s="163"/>
      <c r="AL74" s="163"/>
      <c r="AM74" s="163"/>
      <c r="AN74" s="138">
        <f>(k.w2CS.sd2CS*M.w2CS+k.w2CA.sd2CA*M.w2CA+k.w2CP.sd2CP*M.w2CP)*Molweight</f>
        <v>2.2554617931810381</v>
      </c>
      <c r="AO74" s="949">
        <f>(k.sd2CS.w2CS*M.sd2CS+k.sd2CA.w2CA*M.sd2CA+k.sd2CP.w2CP*M.sd2CP)*Molweight</f>
        <v>2.04186102193776</v>
      </c>
      <c r="AP74" s="951">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4.2490350242103435E-20</v>
      </c>
      <c r="BY74" s="113"/>
      <c r="BZ74" s="138">
        <f>IF(AL30&lt;0,"",AL30)</f>
        <v>1.5737166756334599E-20</v>
      </c>
      <c r="CA74" s="113"/>
      <c r="CB74" s="136">
        <f>IF(AL29&lt;0,"",AL29)</f>
        <v>9.4431887343146907E-20</v>
      </c>
      <c r="CC74" s="140"/>
      <c r="CD74" s="113"/>
      <c r="CE74" s="2"/>
    </row>
    <row r="75" spans="1:83" ht="12.75" customHeight="1" x14ac:dyDescent="0.25">
      <c r="A75" s="17"/>
      <c r="B75" s="104" t="s">
        <v>219</v>
      </c>
      <c r="C75" s="295">
        <f>SUM(C76,C79:C81)</f>
        <v>82170960.031627327</v>
      </c>
      <c r="D75" s="446">
        <f t="shared" ref="D75:D81" si="26">C75/$C$103</f>
        <v>5.2844057287773369E-3</v>
      </c>
      <c r="E75" s="295">
        <f>SUM(E76,E79:E81)</f>
        <v>10741797.75675584</v>
      </c>
      <c r="F75" s="998">
        <f>E75/$E$103</f>
        <v>3.6449180172665757E-5</v>
      </c>
      <c r="G75" s="296"/>
      <c r="H75" s="446"/>
      <c r="I75" s="296"/>
      <c r="J75" s="446"/>
      <c r="K75" s="296"/>
      <c r="L75" s="461"/>
      <c r="M75" s="459">
        <f>((M.s1RD+M.s1RS+M.s1RA+M.s1RP)*Molweight*1000/(VOLUME.s1R))/(FRACw.s1R*1000+(1-FRACa.s1R-FRACw.s1R)*RHOsolid)</f>
        <v>1.5664496601943387E-2</v>
      </c>
      <c r="N75" s="459">
        <f>((M.s1CD+M.s1CS+M.s1CA+M.s1CP)*Molweight*1000/(VOLUME.s1C))/(FRACw.s1C*1000+(1-FRACa.s1C-FRACw.s1C)*RHOsolid)</f>
        <v>1.3427242496409921E-4</v>
      </c>
      <c r="O75" s="124"/>
      <c r="P75" s="124"/>
      <c r="Q75" s="124"/>
      <c r="R75" s="160" t="s">
        <v>156</v>
      </c>
      <c r="S75" s="163"/>
      <c r="T75" s="163"/>
      <c r="U75" s="163"/>
      <c r="V75" s="163"/>
      <c r="W75" s="162"/>
      <c r="X75" s="166"/>
      <c r="Y75" s="156"/>
      <c r="Z75" s="17"/>
      <c r="AA75" s="312" t="s">
        <v>132</v>
      </c>
      <c r="AB75" s="162" t="s">
        <v>102</v>
      </c>
      <c r="AC75" s="948"/>
      <c r="AD75" s="163"/>
      <c r="AE75" s="163"/>
      <c r="AF75" s="138">
        <f>kbur.sd1C*(M.sd1CS+M.sd1CA+M.sd1CP)*Molweight</f>
        <v>1.0731118933753421E-3</v>
      </c>
      <c r="AG75" s="163">
        <f>(kdis.sd1S.sd1D*M.sd1CS+kdis.sd1A.sd1D*M.sd1CA+kdis.sd1P.sd1D*M.sd1CP)*Molweight</f>
        <v>3.7335651376376081E-8</v>
      </c>
      <c r="AH75" s="949">
        <f>(kdegS.sd1*M.sd1CS+kdegA.sd1*M.sd1CA+kdegP.sd1*M.sd1CP)*Molweight</f>
        <v>0</v>
      </c>
      <c r="AI75" s="163"/>
      <c r="AJ75" s="163"/>
      <c r="AK75" s="163"/>
      <c r="AL75" s="163"/>
      <c r="AM75" s="163"/>
      <c r="AN75" s="138">
        <f>AN73</f>
        <v>1.0803177201500938E-2</v>
      </c>
      <c r="AO75" s="949">
        <f>AO73</f>
        <v>9.7300279724742214E-3</v>
      </c>
      <c r="AP75" s="951">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5.5424716130626631E-23</v>
      </c>
      <c r="BW75" s="2"/>
      <c r="BX75" s="137"/>
      <c r="BY75" s="113"/>
      <c r="BZ75" s="113"/>
      <c r="CA75" s="113"/>
      <c r="CB75" s="2"/>
      <c r="CC75" s="137"/>
      <c r="CD75" s="113"/>
      <c r="CE75" s="2"/>
    </row>
    <row r="76" spans="1:83" ht="12.75" customHeight="1" x14ac:dyDescent="0.2">
      <c r="A76" s="17"/>
      <c r="B76" s="443" t="s">
        <v>121</v>
      </c>
      <c r="C76" s="295">
        <f>M.s1R*Molweight</f>
        <v>7748392.8118722085</v>
      </c>
      <c r="D76" s="446">
        <f t="shared" si="26"/>
        <v>4.9829832033257003E-4</v>
      </c>
      <c r="E76" s="295">
        <f>M.s1C*Molweight</f>
        <v>4260511.8347440735</v>
      </c>
      <c r="F76" s="998">
        <f t="shared" ref="F76:F81" si="27">E76/$E$103</f>
        <v>1.4456813189830684E-5</v>
      </c>
      <c r="G76" s="296"/>
      <c r="H76" s="446"/>
      <c r="I76" s="296"/>
      <c r="J76" s="446"/>
      <c r="K76" s="296"/>
      <c r="L76" s="461"/>
      <c r="M76" s="124">
        <f>C.s1R*(Molweight*1000)/(FRACw.s1R*1000+(1-FRACa.s1R-FRACw.s1R)*RHOsolid)</f>
        <v>1.4770993648532047E-3</v>
      </c>
      <c r="N76" s="124">
        <f>C.s1C*(Molweight*1000)/(FRACw.s1C*1000+(1-FRACa.s1C-FRACw.s1C)*RHOsolid)</f>
        <v>5.3256379294568138E-5</v>
      </c>
      <c r="O76" s="124"/>
      <c r="P76" s="124"/>
      <c r="Q76" s="124"/>
      <c r="R76" s="160" t="s">
        <v>156</v>
      </c>
      <c r="S76" s="163">
        <f>F.s1R</f>
        <v>4.7045315101631543E-23</v>
      </c>
      <c r="T76" s="163">
        <f>F.s1C</f>
        <v>1.6962048760571759E-24</v>
      </c>
      <c r="U76" s="163"/>
      <c r="V76" s="163"/>
      <c r="W76" s="162"/>
      <c r="X76" s="166"/>
      <c r="Y76" s="156"/>
      <c r="Z76" s="17"/>
      <c r="AA76" s="312" t="s">
        <v>134</v>
      </c>
      <c r="AB76" s="162" t="s">
        <v>103</v>
      </c>
      <c r="AC76" s="948"/>
      <c r="AD76" s="163"/>
      <c r="AE76" s="163"/>
      <c r="AF76" s="138">
        <f>kbur.sd2C*(M.sd2CS+M.sd2CA+M.sd2CP)*Molweight</f>
        <v>0.21357738685785546</v>
      </c>
      <c r="AG76" s="163">
        <f>(kdis.sd2S.sd2D*M.sd2CS+kdis.sd2A.sd2D*M.sd2CA+kdis.sd2P.sd2D*M.sd2CP)*Molweight</f>
        <v>2.3384385422392933E-5</v>
      </c>
      <c r="AH76" s="949">
        <f>(kdegS.sd2*M.sd2CS+kdegA.sd2*M.sd2CA+kdegP.sd2*M.sd2CP)*Molweight</f>
        <v>0</v>
      </c>
      <c r="AI76" s="163"/>
      <c r="AJ76" s="163"/>
      <c r="AK76" s="163"/>
      <c r="AL76" s="163"/>
      <c r="AM76" s="163"/>
      <c r="AN76" s="138">
        <f>AN74</f>
        <v>2.2554617931810381</v>
      </c>
      <c r="AO76" s="949">
        <f>AO74</f>
        <v>2.04186102193776</v>
      </c>
      <c r="AP76" s="951">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1.0441340080389798E-16</v>
      </c>
      <c r="BR76" s="113"/>
      <c r="BS76" s="113"/>
      <c r="BT76" s="138">
        <f>IF(AJ24&lt;0,"",AJ24)</f>
        <v>2.4593654738446271E-20</v>
      </c>
      <c r="BU76" s="113"/>
      <c r="BV76" s="2"/>
      <c r="BW76" s="2"/>
      <c r="BX76" s="137"/>
      <c r="BY76" s="113"/>
      <c r="BZ76" s="113"/>
      <c r="CA76" s="113"/>
      <c r="CB76" s="2"/>
      <c r="CC76" s="137"/>
      <c r="CD76" s="113"/>
      <c r="CE76" s="2"/>
    </row>
    <row r="77" spans="1:83" ht="12.75" customHeight="1" x14ac:dyDescent="0.2">
      <c r="A77" s="17"/>
      <c r="B77" s="159" t="s">
        <v>220</v>
      </c>
      <c r="C77" s="295">
        <f>C76*FRwD.s1R</f>
        <v>51313.859681272901</v>
      </c>
      <c r="D77" s="446">
        <f t="shared" si="26"/>
        <v>3.2999888763746355E-6</v>
      </c>
      <c r="E77" s="295">
        <f>E76*FRw.s1C</f>
        <v>28215.310163868035</v>
      </c>
      <c r="F77" s="998">
        <f t="shared" si="27"/>
        <v>9.5740484700865452E-8</v>
      </c>
      <c r="G77" s="296"/>
      <c r="H77" s="446"/>
      <c r="I77" s="296"/>
      <c r="J77" s="446"/>
      <c r="K77" s="296"/>
      <c r="L77" s="461"/>
      <c r="M77" s="124">
        <f>M78/Kp.s1R</f>
        <v>8.3147977491736691E-5</v>
      </c>
      <c r="N77" s="124">
        <f>N78/Kp.s1C</f>
        <v>2.9978756556544977E-6</v>
      </c>
      <c r="O77" s="124"/>
      <c r="P77" s="124"/>
      <c r="Q77" s="124"/>
      <c r="R77" s="160" t="s">
        <v>139</v>
      </c>
      <c r="S77" s="163">
        <f>S76*FRACw.s1R</f>
        <v>9.4090630203263088E-24</v>
      </c>
      <c r="T77" s="163">
        <f>T76*FRACw.s1C</f>
        <v>3.3924097521143519E-25</v>
      </c>
      <c r="U77" s="163"/>
      <c r="V77" s="163"/>
      <c r="W77" s="162"/>
      <c r="X77" s="166"/>
      <c r="Y77" s="156"/>
      <c r="Z77" s="17"/>
      <c r="AA77" s="312" t="s">
        <v>136</v>
      </c>
      <c r="AB77" s="162" t="s">
        <v>104</v>
      </c>
      <c r="AC77" s="948">
        <f>E.s1CS*Molweight</f>
        <v>0</v>
      </c>
      <c r="AD77" s="163"/>
      <c r="AE77" s="163"/>
      <c r="AF77" s="138">
        <f>kleach.s1C*(M.s1CS+M.s1CA)*Molweight</f>
        <v>5.156854730929728E-5</v>
      </c>
      <c r="AG77" s="163">
        <f>(kdis.s1S.s1D*M.s1CS+kdis.s1A.s1D*M.s1CA+kdis.s1P.s1D*M.s1CP)*Molweight</f>
        <v>6.4812859220117673E-7</v>
      </c>
      <c r="AH77" s="949">
        <f>(kdegS.s1*M.s1CS+kdegA.s1*M.s1CA+kdegP.s1*M.s1CP)*Molweight</f>
        <v>0</v>
      </c>
      <c r="AI77" s="163"/>
      <c r="AJ77" s="163"/>
      <c r="AK77" s="138">
        <f>((k.aCS.s1CS*M.aCS+k.aCA.s1CA*M.aCA+k.aCP.s1CP*M.aCP)+(k.cwCS.s1CS*M.cwCS+k.cwCA.s1CA*M.cwCA+k.cwCP.s1CP*M.cwCP))*Molweight</f>
        <v>7.8289798294295596E-3</v>
      </c>
      <c r="AL77" s="163"/>
      <c r="AM77" s="138">
        <f>(k.s1CS.w1CS*M.s1CS+k.s1CA.w1CA*M.s1CA+k.s1CP.w1CP*M.s1CP)*Molweight</f>
        <v>7.7767631535280626E-3</v>
      </c>
      <c r="AN77" s="163"/>
      <c r="AO77" s="162"/>
      <c r="AP77" s="951">
        <f>SUM(AC77,AD77,AK77)-SUM(AE77,AF77,AH77,AL77,AM77,AP76,AG77)</f>
        <v>0</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2">
      <c r="A78" s="17"/>
      <c r="B78" s="159" t="s">
        <v>160</v>
      </c>
      <c r="C78" s="295">
        <f>C76*FRs.s1R</f>
        <v>7697078.9521909356</v>
      </c>
      <c r="D78" s="446">
        <f t="shared" si="26"/>
        <v>4.9499833145619536E-4</v>
      </c>
      <c r="E78" s="295">
        <f>E76*FRs.s1C</f>
        <v>4232296.5245802049</v>
      </c>
      <c r="F78" s="998">
        <f t="shared" si="27"/>
        <v>1.4361072705129816E-5</v>
      </c>
      <c r="G78" s="296"/>
      <c r="H78" s="446"/>
      <c r="I78" s="296"/>
      <c r="J78" s="446"/>
      <c r="K78" s="296"/>
      <c r="L78" s="461"/>
      <c r="M78" s="124">
        <f>C.s1R*FRs.s1R*(Molweight*1000)/(FRACs.s1R*RHOsolid)</f>
        <v>1.6629595498347338E-3</v>
      </c>
      <c r="N78" s="124">
        <f>C.s1C*FRs.s1C*(Molweight*1000)/(FRACs.s1C*RHOsolid)</f>
        <v>5.9957513113089956E-5</v>
      </c>
      <c r="O78" s="124"/>
      <c r="P78" s="124"/>
      <c r="Q78" s="124"/>
      <c r="R78" s="160" t="s">
        <v>145</v>
      </c>
      <c r="S78" s="163">
        <f>S76*(1-FRACw.s1R)</f>
        <v>3.7636252081305235E-23</v>
      </c>
      <c r="T78" s="163">
        <f>T76*(1-FRACw.s1C)</f>
        <v>1.3569639008457407E-24</v>
      </c>
      <c r="U78" s="163"/>
      <c r="V78" s="163"/>
      <c r="W78" s="162"/>
      <c r="X78" s="166"/>
      <c r="Y78" s="156"/>
      <c r="Z78" s="17"/>
      <c r="AA78" s="312" t="s">
        <v>140</v>
      </c>
      <c r="AB78" s="162" t="s">
        <v>105</v>
      </c>
      <c r="AC78" s="948">
        <f>E.s2CS*Molweight</f>
        <v>0</v>
      </c>
      <c r="AD78" s="163"/>
      <c r="AE78" s="163"/>
      <c r="AF78" s="138">
        <f>kleach.s2C*(M.s2CS+M.s2CA)*Molweight</f>
        <v>1.1460359344294631E-4</v>
      </c>
      <c r="AG78" s="163">
        <f>(kdis.s2S.s2D*M.s2CS+kdis.s2A.s2D*M.s2CA+kdis.s2P.s2D*M.s2CP)*Molweight</f>
        <v>5.6511845316002415E-6</v>
      </c>
      <c r="AH78" s="949">
        <f>(kdegS.s2*M.s2CS+kdegA.s2*M.s2CA+kdegP.s2*M.s2CP)*Molweight</f>
        <v>0</v>
      </c>
      <c r="AI78" s="163"/>
      <c r="AJ78" s="163"/>
      <c r="AK78" s="138">
        <f>((k.aCS.s2CS*M.aCS+k.aCA.s2CA*M.aCA+k.aCP.s2CP*M.aCP)+(k.cwCS.s2CS*M.cwCS+k.cwCA.s2CA*M.cwCA+k.cwCP.s2CP*M.cwCP))*Molweight</f>
        <v>1.7397732954287908E-2</v>
      </c>
      <c r="AL78" s="163"/>
      <c r="AM78" s="138">
        <f>(k.s2CS.w1CS*M.s2CS+k.s2CA.w1CA*M.s2CA+k.s2CP.w1CP*M.s2CP)*Molweight</f>
        <v>1.7277478176313362E-2</v>
      </c>
      <c r="AN78" s="163"/>
      <c r="AO78" s="162"/>
      <c r="AP78" s="951">
        <f>SUM(AC78,AD78,AK78)-SUM(AE78,AF78,AH78,AL78,AM78,AP77,AG78)</f>
        <v>0</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25">
      <c r="A79" s="17"/>
      <c r="B79" s="159" t="s">
        <v>128</v>
      </c>
      <c r="C79" s="295">
        <f>M.s1RS*Molweight</f>
        <v>4.3340709719427273E-2</v>
      </c>
      <c r="D79" s="446">
        <f t="shared" si="26"/>
        <v>2.7872364475535428E-12</v>
      </c>
      <c r="E79" s="295">
        <f>M.s1CS*Molweight</f>
        <v>3.3629572375907775E-3</v>
      </c>
      <c r="F79" s="998">
        <f t="shared" si="27"/>
        <v>1.1411221570320869E-14</v>
      </c>
      <c r="G79" s="296"/>
      <c r="H79" s="446"/>
      <c r="I79" s="296"/>
      <c r="J79" s="446"/>
      <c r="K79" s="296"/>
      <c r="L79" s="461"/>
      <c r="M79" s="124">
        <f>C.s1RS*(Molweight*1000)/(FRACw.s1R*1000+(1-FRACa.s1R-FRACw.s1R)*RHOsolid)</f>
        <v>8.2621695044632915E-12</v>
      </c>
      <c r="N79" s="124">
        <f>C.s1CS*(Molweight*1000)/(FRACw.s1C*1000+(1-FRACa.s1C-FRACw.s1C)*RHOsolid)</f>
        <v>4.2036950756951927E-14</v>
      </c>
      <c r="O79" s="124"/>
      <c r="P79" s="124"/>
      <c r="Q79" s="124"/>
      <c r="R79" s="160" t="s">
        <v>218</v>
      </c>
      <c r="S79" s="163"/>
      <c r="T79" s="163"/>
      <c r="U79" s="163"/>
      <c r="V79" s="163"/>
      <c r="W79" s="162"/>
      <c r="X79" s="166"/>
      <c r="Y79" s="156"/>
      <c r="Z79" s="17"/>
      <c r="AA79" s="312" t="s">
        <v>141</v>
      </c>
      <c r="AB79" s="162" t="s">
        <v>106</v>
      </c>
      <c r="AC79" s="948">
        <f>E.s3CS*Molweight</f>
        <v>0</v>
      </c>
      <c r="AD79" s="163"/>
      <c r="AE79" s="163"/>
      <c r="AF79" s="138">
        <f>kleach.s3C*(M.s3CS+M.s3CA)*Molweight</f>
        <v>1.9099461966406397E-5</v>
      </c>
      <c r="AG79" s="163">
        <f>(kdis.s3S.s3D*M.s3CS+kdis.s3A.s3D*M.s3CA+kdis.s3P.s3D*M.s3CP)*Molweight</f>
        <v>2.4004762674117643E-7</v>
      </c>
      <c r="AH79" s="949">
        <f>(kdegS.s3*M.s3CS+kdegA.s3*M.s3CA+kdegP.s3*M.s3CP)*Molweight</f>
        <v>0</v>
      </c>
      <c r="AI79" s="163"/>
      <c r="AJ79" s="163"/>
      <c r="AK79" s="138">
        <f>((k.aCS.s3CS*M.aCS+k.aCA.s3CA*M.aCA+k.aCP.s3CP*M.aCP)+(k.cwCS.s3CS*M.cwCS+k.cwCA.s3CA*M.cwCA+k.cwCP.s3CP*M.cwCP))*Molweight</f>
        <v>2.8996221590479846E-3</v>
      </c>
      <c r="AL79" s="163"/>
      <c r="AM79" s="138">
        <f>(k.s3CS.w1CS*M.s3CS+k.s3CA.w1CA*M.s3CA+k.s3CP.w1CP*M.s3CP)*Molweight</f>
        <v>2.8802826494548372E-3</v>
      </c>
      <c r="AN79" s="163"/>
      <c r="AO79" s="162"/>
      <c r="AP79" s="951">
        <f>SUM(AC79,AD79,AK79)-SUM(AE79,AF79,AH79,AL79,AM79,AP78,AG79)</f>
        <v>0</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7.1854047154205708E-2</v>
      </c>
      <c r="BU79" s="137"/>
      <c r="BV79" s="140"/>
      <c r="BW79" s="113"/>
      <c r="BX79" s="2"/>
      <c r="BY79" s="113"/>
      <c r="BZ79" s="140"/>
      <c r="CA79" s="137"/>
      <c r="CB79" s="2"/>
      <c r="CC79" s="2"/>
      <c r="CD79" s="78"/>
      <c r="CE79" s="2"/>
    </row>
    <row r="80" spans="1:83" ht="12.75" customHeight="1" x14ac:dyDescent="0.2">
      <c r="A80" s="17"/>
      <c r="B80" s="159" t="s">
        <v>131</v>
      </c>
      <c r="C80" s="295">
        <f>M.s1RA*Molweight</f>
        <v>55100.783523922051</v>
      </c>
      <c r="D80" s="446">
        <f t="shared" si="26"/>
        <v>3.5435255472476085E-6</v>
      </c>
      <c r="E80" s="295">
        <f>M.s1CA*Molweight</f>
        <v>54267.115205467271</v>
      </c>
      <c r="F80" s="998">
        <f t="shared" si="27"/>
        <v>1.8413974125800938E-7</v>
      </c>
      <c r="G80" s="296"/>
      <c r="H80" s="446"/>
      <c r="I80" s="296"/>
      <c r="J80" s="446"/>
      <c r="K80" s="296"/>
      <c r="L80" s="461"/>
      <c r="M80" s="124">
        <f>C.s1RA*(Molweight*1000)/(FRACw.s1R*1000+(1-FRACa.s1R-FRACw.s1R)*RHOsolid)</f>
        <v>1.0504027650920483E-5</v>
      </c>
      <c r="N80" s="124">
        <f>C.s1CA*(Molweight*1000)/(FRACw.s1C*1000+(1-FRACa.s1C-FRACw.s1C)*RHOsolid)</f>
        <v>6.7833870264979458E-7</v>
      </c>
      <c r="O80" s="124"/>
      <c r="P80" s="124"/>
      <c r="Q80" s="124"/>
      <c r="R80" s="160" t="s">
        <v>218</v>
      </c>
      <c r="S80" s="163"/>
      <c r="T80" s="163"/>
      <c r="U80" s="163"/>
      <c r="V80" s="163"/>
      <c r="W80" s="162"/>
      <c r="X80" s="166"/>
      <c r="Y80" s="156"/>
      <c r="Z80" s="17"/>
      <c r="AA80" s="915" t="s">
        <v>163</v>
      </c>
      <c r="AB80" s="304"/>
      <c r="AC80" s="951"/>
      <c r="AD80" s="163"/>
      <c r="AE80" s="163"/>
      <c r="AF80" s="163"/>
      <c r="AG80" s="163"/>
      <c r="AH80" s="162"/>
      <c r="AI80" s="163"/>
      <c r="AJ80" s="163"/>
      <c r="AK80" s="163"/>
      <c r="AL80" s="163"/>
      <c r="AM80" s="163"/>
      <c r="AN80" s="163"/>
      <c r="AO80" s="162"/>
      <c r="AP80" s="952"/>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7.9434132759314463E-2</v>
      </c>
      <c r="BR80" s="113"/>
      <c r="BS80" s="113"/>
      <c r="BT80" s="138">
        <f>IF(AI24&lt;0,"",AI24)</f>
        <v>2.0505690529156601E-3</v>
      </c>
      <c r="BU80" s="137"/>
      <c r="BV80" s="138">
        <f>IF(AI23&lt;0,"",AI23)</f>
        <v>1.864153684468782E-4</v>
      </c>
      <c r="BW80" s="114"/>
      <c r="BX80" s="136">
        <f>IF(AK28&lt;0,"",AK28)</f>
        <v>2.0132859792256881E-2</v>
      </c>
      <c r="BY80" s="113"/>
      <c r="BZ80" s="138">
        <f>IF(AK30&lt;0,"",AK30)</f>
        <v>7.4566147378729176E-3</v>
      </c>
      <c r="CA80" s="137"/>
      <c r="CB80" s="136">
        <f>IF(AK29&lt;0,"",AK29)</f>
        <v>4.4739688427237509E-2</v>
      </c>
      <c r="CC80" s="140"/>
      <c r="CD80" s="113"/>
      <c r="CE80" s="2"/>
    </row>
    <row r="81" spans="1:83" ht="12.75" customHeight="1" x14ac:dyDescent="0.2">
      <c r="A81" s="17"/>
      <c r="B81" s="159" t="s">
        <v>133</v>
      </c>
      <c r="C81" s="295">
        <f>M.s1RP*Molweight</f>
        <v>74367466.392890483</v>
      </c>
      <c r="D81" s="446">
        <f t="shared" si="26"/>
        <v>4.7825638801102834E-3</v>
      </c>
      <c r="E81" s="295">
        <f>M.s1CP*Molweight</f>
        <v>6427018.8034433424</v>
      </c>
      <c r="F81" s="998">
        <f t="shared" si="27"/>
        <v>2.1808227230165841E-5</v>
      </c>
      <c r="G81" s="296"/>
      <c r="H81" s="446"/>
      <c r="I81" s="296"/>
      <c r="J81" s="446"/>
      <c r="K81" s="296"/>
      <c r="L81" s="461"/>
      <c r="M81" s="124">
        <f>C.s1RP*(Molweight*1000)/(FRACw.s1R*1000+(1-FRACa.s1R-FRACw.s1R)*RHOsolid)</f>
        <v>1.4176893201177092E-2</v>
      </c>
      <c r="N81" s="124">
        <f>C.s1CP*(Molweight*1000)/(FRACw.s1C*1000+(1-FRACa.s1C-FRACw.s1C)*RHOsolid)</f>
        <v>8.0337706924844319E-5</v>
      </c>
      <c r="O81" s="124"/>
      <c r="P81" s="124"/>
      <c r="Q81" s="124"/>
      <c r="R81" s="160" t="s">
        <v>218</v>
      </c>
      <c r="S81" s="163"/>
      <c r="T81" s="163"/>
      <c r="U81" s="163"/>
      <c r="V81" s="163"/>
      <c r="W81" s="162"/>
      <c r="X81" s="166"/>
      <c r="Y81" s="156"/>
      <c r="Z81" s="17"/>
      <c r="AA81" s="312" t="s">
        <v>122</v>
      </c>
      <c r="AB81" s="162" t="s">
        <v>165</v>
      </c>
      <c r="AC81" s="948">
        <f>E.aMS*Molweight</f>
        <v>0</v>
      </c>
      <c r="AD81" s="138">
        <f>(k.aC.aM*(M.aCS+M.aCA+M.aCP)+k.aA.aM*(M.aAS+M.aAA+M.aAP)+k.aT.aM*(M.aTS+M.aTA+M.aTP))*Molweight</f>
        <v>0.20836350457344366</v>
      </c>
      <c r="AE81" s="138">
        <f>(k.aM.aA+k.aM.aC+k.aM.aT)*(M.aMS+M.aMA+M.aMP)*Molweight</f>
        <v>0.11776570687059693</v>
      </c>
      <c r="AF81" s="138">
        <f>kesc.aM*VOLUME.aM*(C.aMS+C.aMA+C.aMP)*Molweight</f>
        <v>3.7044228384829806E-5</v>
      </c>
      <c r="AG81" s="163"/>
      <c r="AH81" s="949">
        <f>(kdegS.a*C.aMS+kdegA.a*C.aMA+kdegP.a*C.aMP)*VOLUME.aM*Molweight</f>
        <v>0</v>
      </c>
      <c r="AI81" s="163">
        <f>SUM(AI82,AK85)</f>
        <v>9.056075347446195E-2</v>
      </c>
      <c r="AJ81" s="163">
        <f>SUM(AJ82,AL85)</f>
        <v>0</v>
      </c>
      <c r="AK81" s="163"/>
      <c r="AL81" s="163"/>
      <c r="AM81" s="163"/>
      <c r="AN81" s="163"/>
      <c r="AO81" s="162"/>
      <c r="AP81" s="917">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1.8054099827931455E-4</v>
      </c>
      <c r="BO81" s="113"/>
      <c r="BP81" s="113"/>
      <c r="BQ81" s="137"/>
      <c r="BR81" s="113"/>
      <c r="BS81" s="113"/>
      <c r="BT81" s="137"/>
      <c r="BU81" s="302"/>
      <c r="BV81" s="137"/>
      <c r="BW81" s="55"/>
      <c r="BX81" s="137"/>
      <c r="BY81" s="113"/>
      <c r="BZ81" s="137"/>
      <c r="CA81" s="137"/>
      <c r="CB81" s="55"/>
      <c r="CC81" s="141"/>
      <c r="CD81" s="113"/>
      <c r="CE81" s="2"/>
    </row>
    <row r="82" spans="1:83" ht="12.75" customHeight="1" x14ac:dyDescent="0.2">
      <c r="A82" s="17"/>
      <c r="B82" s="159"/>
      <c r="C82" s="295"/>
      <c r="D82" s="446"/>
      <c r="E82" s="296"/>
      <c r="F82" s="998"/>
      <c r="G82" s="296"/>
      <c r="H82" s="446"/>
      <c r="I82" s="296"/>
      <c r="J82" s="446"/>
      <c r="K82" s="296"/>
      <c r="L82" s="461"/>
      <c r="M82" s="124"/>
      <c r="N82" s="124"/>
      <c r="O82" s="124"/>
      <c r="P82" s="124"/>
      <c r="Q82" s="124"/>
      <c r="R82" s="160"/>
      <c r="S82" s="163"/>
      <c r="T82" s="163"/>
      <c r="U82" s="163"/>
      <c r="V82" s="163"/>
      <c r="W82" s="162"/>
      <c r="X82" s="166"/>
      <c r="Y82" s="156"/>
      <c r="Z82" s="17"/>
      <c r="AA82" s="312" t="s">
        <v>167</v>
      </c>
      <c r="AB82" s="162" t="s">
        <v>168</v>
      </c>
      <c r="AC82" s="948">
        <f>E.w2MS*Molweight</f>
        <v>0</v>
      </c>
      <c r="AD82" s="138">
        <f>(k.w2C.w2M*(M.w2CS+M.w2CA+M.w2CP)+k.w2A.w2M*(M.w2AS+M.w2AA+M.w2AP)+k.w2T.w2M*(M.w2TS+M.w2TA+M.w2TP)+k.w3M.w2M*(M.w3MS+M.w3MA+M.w3MP))*Molweight</f>
        <v>13778.430836409058</v>
      </c>
      <c r="AE82" s="138">
        <f>((k.w2M.w2C+k.w2M.w2A+k.w2M.w2T)*(M.w2MS+M.w2MA+M.w2MP)+k.w2MS.w3MS*M.w2MS+k.w2MA.w3MA*M.w2MA+k.w2MP.w3MP*M.w2MP)*Molweight</f>
        <v>13778.516563945745</v>
      </c>
      <c r="AF82" s="163"/>
      <c r="AG82" s="163">
        <f>(kdis.w2S.w2D*M.w2MS+kdis.w2A.w2D*M.w2MA+kdis.w2P.w2D*M.w2MP)*Molweight</f>
        <v>4.6809082820546471E-3</v>
      </c>
      <c r="AH82" s="949">
        <f>(kdegS.w2*C.w2MS+kdegA.w2*C.w2MA+kdegP.w2*C.w2MP)*VOLUME.w2M*Molweight</f>
        <v>0</v>
      </c>
      <c r="AI82" s="138">
        <f>((k.aMS.w2MS*M.aMS+k.aMA.w2MA*M.aMA+k.aMP.w2MP*M.aMP)+(k.cwMS.w2MS*M.cwMS+k.cwMA.w2MA*M.cwMA+k.cwMP.w2MP*M.cwMP))*Molweight</f>
        <v>6.7800564525499832E-2</v>
      </c>
      <c r="AJ82" s="163"/>
      <c r="AK82" s="163"/>
      <c r="AL82" s="163"/>
      <c r="AM82" s="138">
        <f>(k.sMS.w2MS*M.sMS+k.sMA.w2MA*M.sMA+k.sMP.w2MP*M.sMP)*Molweight</f>
        <v>2.2607880443165088E-2</v>
      </c>
      <c r="AN82" s="163"/>
      <c r="AO82" s="162"/>
      <c r="AP82" s="951">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7.2934305170397146E-2</v>
      </c>
      <c r="BO82" s="113"/>
      <c r="BP82" s="113"/>
      <c r="BQ82" s="137"/>
      <c r="BR82" s="113"/>
      <c r="BS82" s="130">
        <f>AD24</f>
        <v>1.8054099827931455E-4</v>
      </c>
      <c r="BT82" s="113"/>
      <c r="BU82" s="137"/>
      <c r="BV82" s="137"/>
      <c r="BW82" s="113"/>
      <c r="BX82" s="137"/>
      <c r="BY82" s="113"/>
      <c r="BZ82" s="137"/>
      <c r="CA82" s="137"/>
      <c r="CB82" s="113"/>
      <c r="CC82" s="137"/>
      <c r="CD82" s="113"/>
      <c r="CE82" s="2"/>
    </row>
    <row r="83" spans="1:83" ht="12.75" customHeight="1" x14ac:dyDescent="0.2">
      <c r="A83" s="17"/>
      <c r="B83" s="104" t="s">
        <v>221</v>
      </c>
      <c r="C83" s="295">
        <f>SUM(C84,C87:C89)</f>
        <v>15370353884.103245</v>
      </c>
      <c r="D83" s="446">
        <f t="shared" ref="D83:D89" si="28">C83/$C$103</f>
        <v>0.98846582889171131</v>
      </c>
      <c r="E83" s="295">
        <f>SUM(E84,E87:E89)</f>
        <v>77319684.145335466</v>
      </c>
      <c r="F83" s="998">
        <f>E83/$E$103</f>
        <v>2.6236195859621956E-4</v>
      </c>
      <c r="G83" s="296"/>
      <c r="H83" s="446"/>
      <c r="I83" s="296"/>
      <c r="J83" s="446"/>
      <c r="K83" s="296"/>
      <c r="L83" s="461"/>
      <c r="M83" s="459">
        <f>((M.s2RD+M.s2RS+M.s2RA+M.s2RP)*Molweight*1000/(VOLUME.s2R))/(FRACw.s2R*1000+(1-FRACa.s2R-FRACw.s2R)*RHOsolid)</f>
        <v>0.32963587514064946</v>
      </c>
      <c r="N83" s="459">
        <f>((M.s2CD+M.s2CS+M.s2CA+M.s2CP)*Molweight*1000/(VOLUME.s2C))/(FRACw.s2C*1000+(1-FRACa.s2C-FRACw.s2C)*RHOsolid)</f>
        <v>1.0873076777360925E-4</v>
      </c>
      <c r="O83" s="124"/>
      <c r="P83" s="124"/>
      <c r="Q83" s="124"/>
      <c r="R83" s="160" t="s">
        <v>156</v>
      </c>
      <c r="S83" s="163"/>
      <c r="T83" s="163"/>
      <c r="U83" s="163"/>
      <c r="V83" s="163"/>
      <c r="W83" s="162"/>
      <c r="X83" s="166"/>
      <c r="Y83" s="156"/>
      <c r="Z83" s="17"/>
      <c r="AA83" s="312" t="s">
        <v>170</v>
      </c>
      <c r="AB83" s="162" t="s">
        <v>171</v>
      </c>
      <c r="AC83" s="948"/>
      <c r="AD83" s="138">
        <f>(k.w2MS.w3MS*M.w2MS+k.w2MA.w3MA*M.w2MA+k.w2MP.w3MP*M.w2MP+k.w3A.w3M*(M.w3AS+M.w3AA+M.w3AP)+k.w3T.w3M*(M.w3TS+M.w3TA+M.w3TP))*Molweight</f>
        <v>13494.382909854776</v>
      </c>
      <c r="AE83" s="138">
        <f>(k.w3M.w2M+k.w3M.w3A+k.w3M.w3T)*(M.w3MS+M.w3MA+M.w3MP)*Molweight</f>
        <v>13494.234563444772</v>
      </c>
      <c r="AF83" s="163"/>
      <c r="AG83" s="163">
        <f>(kdis.w2S.w2D*M.w3MS+kdis.w2A.w2D*M.w3MA+kdis.w2P.w2D*M.w3MP)*Molweight</f>
        <v>0.14066945657855695</v>
      </c>
      <c r="AH83" s="949">
        <f>(kdegS.w3*C.w3MS+kdegA.w3*C.w3MA+kdegP.w3*C.w3MP)*VOLUME.w3M*Molweight</f>
        <v>0</v>
      </c>
      <c r="AI83" s="163"/>
      <c r="AJ83" s="163"/>
      <c r="AK83" s="163"/>
      <c r="AL83" s="163"/>
      <c r="AM83" s="163"/>
      <c r="AN83" s="138">
        <f>(k.w3MS.sdMS*M.w3MS+k.w3MA.sdMA*M.w3MA+k.w3MP.sdMP*M.w3MP)*Molweight</f>
        <v>24.010063049041385</v>
      </c>
      <c r="AO83" s="949">
        <f>(k.sdMS.w3MS*M.sdMS+k.sdMA.w3MA*M.sdMA+k.sdMP.w3MP*M.sdMP)*Molweight</f>
        <v>24.002386095619645</v>
      </c>
      <c r="AP83" s="951">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9001.334001250345</v>
      </c>
      <c r="BO83" s="132"/>
      <c r="BP83" s="130">
        <f>AD25</f>
        <v>9002.639633576262</v>
      </c>
      <c r="BQ83" s="301"/>
      <c r="BR83" s="134"/>
      <c r="BS83" s="135"/>
      <c r="BT83" s="55">
        <f>AH24</f>
        <v>4.0704765956930652E-15</v>
      </c>
      <c r="BU83" s="113"/>
      <c r="BV83" s="954">
        <f>AH23</f>
        <v>3.0577671657175917E-16</v>
      </c>
      <c r="BW83" s="113"/>
      <c r="BX83" s="137"/>
      <c r="BY83" s="113"/>
      <c r="BZ83" s="2"/>
      <c r="CA83" s="113"/>
      <c r="CB83" s="2"/>
      <c r="CC83" s="141"/>
      <c r="CD83" s="113"/>
      <c r="CE83" s="2"/>
    </row>
    <row r="84" spans="1:83" ht="12.75" customHeight="1" x14ac:dyDescent="0.25">
      <c r="A84" s="17"/>
      <c r="B84" s="443" t="s">
        <v>121</v>
      </c>
      <c r="C84" s="295">
        <f>M.s2R*Molweight</f>
        <v>185996535.59092405</v>
      </c>
      <c r="D84" s="446">
        <f t="shared" si="28"/>
        <v>1.1961417486556191E-2</v>
      </c>
      <c r="E84" s="295">
        <f>M.s2C*Molweight</f>
        <v>20807838.829333048</v>
      </c>
      <c r="F84" s="998">
        <f t="shared" ref="F84:F89" si="29">E84/$E$103</f>
        <v>7.060537571722127E-5</v>
      </c>
      <c r="G84" s="163"/>
      <c r="H84" s="446"/>
      <c r="I84" s="296"/>
      <c r="J84" s="446"/>
      <c r="K84" s="296"/>
      <c r="L84" s="461"/>
      <c r="M84" s="124">
        <f>C.s2R*(Molweight*1000)/(FRACw.s2R*1000+(1-FRACa.s2R-FRACw.s2R)*RHOsolid)</f>
        <v>3.9889212210041632E-3</v>
      </c>
      <c r="N84" s="124">
        <f>C.s2C*(Molweight*1000)/(FRACw.s2C*1000+(1-FRACa.s2C-FRACw.s2C)*RHOsolid)</f>
        <v>2.9261013112395003E-5</v>
      </c>
      <c r="O84" s="124"/>
      <c r="P84" s="124"/>
      <c r="Q84" s="124"/>
      <c r="R84" s="160" t="s">
        <v>156</v>
      </c>
      <c r="S84" s="163">
        <f>F.s2R</f>
        <v>1.2704633163008331E-22</v>
      </c>
      <c r="T84" s="163">
        <f>F.s2C</f>
        <v>9.3195733125401625E-25</v>
      </c>
      <c r="U84" s="163"/>
      <c r="V84" s="163"/>
      <c r="W84" s="162"/>
      <c r="X84" s="166"/>
      <c r="Y84" s="156"/>
      <c r="Z84" s="17"/>
      <c r="AA84" s="312" t="s">
        <v>186</v>
      </c>
      <c r="AB84" s="162" t="s">
        <v>172</v>
      </c>
      <c r="AC84" s="948"/>
      <c r="AD84" s="163"/>
      <c r="AE84" s="163"/>
      <c r="AF84" s="138">
        <f>kbur.sdM*(M.sdMS+M.sdMA+M.sdMP)*Molweight</f>
        <v>7.4280196689883752E-3</v>
      </c>
      <c r="AG84" s="163">
        <f>(kdis.sd2S.sd2D*M.sdMS+kdis.sd2A.sd2D*M.sdMA+kdis.sd2P.sd2D*M.sdMP)*Molweight</f>
        <v>2.4893375274731252E-4</v>
      </c>
      <c r="AH84" s="949">
        <f>(kdegS.sd2*C.sdMS+kdegA.sd2*C.sdMA+kdegP.sd2*C.sdMP)*VOLUME.sdM*Molweight</f>
        <v>0</v>
      </c>
      <c r="AI84" s="163"/>
      <c r="AJ84" s="163"/>
      <c r="AK84" s="163"/>
      <c r="AL84" s="163"/>
      <c r="AM84" s="163"/>
      <c r="AN84" s="138">
        <f>AN83</f>
        <v>24.010063049041385</v>
      </c>
      <c r="AO84" s="949">
        <f>AO83</f>
        <v>24.002386095619645</v>
      </c>
      <c r="AP84" s="951">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25">
      <c r="A85" s="17"/>
      <c r="B85" s="159" t="s">
        <v>220</v>
      </c>
      <c r="C85" s="295">
        <f>C84*FRwD.s2R</f>
        <v>1231765.1363637354</v>
      </c>
      <c r="D85" s="446">
        <f t="shared" si="28"/>
        <v>7.9214685341431722E-5</v>
      </c>
      <c r="E85" s="295">
        <f>E84*FRw.s2C</f>
        <v>137800.25714790099</v>
      </c>
      <c r="F85" s="998">
        <f t="shared" si="29"/>
        <v>4.6758526965047208E-7</v>
      </c>
      <c r="G85" s="296"/>
      <c r="H85" s="446"/>
      <c r="I85" s="296"/>
      <c r="J85" s="446"/>
      <c r="K85" s="296"/>
      <c r="L85" s="461"/>
      <c r="M85" s="124">
        <f>M86/Kp.s2R</f>
        <v>2.2454192303665821E-4</v>
      </c>
      <c r="N85" s="124">
        <f>N86/Kp.s2C</f>
        <v>1.6471431222209107E-6</v>
      </c>
      <c r="O85" s="124"/>
      <c r="P85" s="124"/>
      <c r="Q85" s="124"/>
      <c r="R85" s="160" t="s">
        <v>139</v>
      </c>
      <c r="S85" s="163">
        <f>S84*FRACw.s2R</f>
        <v>2.5409266326016663E-23</v>
      </c>
      <c r="T85" s="163">
        <f>T84*FRACw.s2C</f>
        <v>1.8639146625080326E-25</v>
      </c>
      <c r="U85" s="163"/>
      <c r="V85" s="163"/>
      <c r="W85" s="162"/>
      <c r="X85" s="166"/>
      <c r="Y85" s="156"/>
      <c r="Z85" s="17"/>
      <c r="AA85" s="312" t="s">
        <v>187</v>
      </c>
      <c r="AB85" s="162" t="s">
        <v>173</v>
      </c>
      <c r="AC85" s="948">
        <f>E.sMS*Molweight</f>
        <v>0</v>
      </c>
      <c r="AD85" s="163"/>
      <c r="AE85" s="163"/>
      <c r="AF85" s="138">
        <f>kleach.sM*(M.sMS+M.sMA)*Molweight</f>
        <v>1.5222978927246377E-4</v>
      </c>
      <c r="AG85" s="163">
        <f>(kdis.s1S.s1D*M.sMS+kdis.s1A.s1D*M.sMA+kdis.s1P.s1D*M.sMP)*Molweight</f>
        <v>7.8716524572176113E-8</v>
      </c>
      <c r="AH85" s="949">
        <f>(kdegS.s1*C.sMS+kdegA.s1*C.sMA+kdegP.s1*C.sMP)*VOLUME.sM*Molweight</f>
        <v>0</v>
      </c>
      <c r="AI85" s="163"/>
      <c r="AJ85" s="163"/>
      <c r="AK85" s="138">
        <f>((k.aMS.sMS*M.aMS+k.aMA.sMA*M.aMA+k.aMP.sMP*M.aMP)+(k.cwMS.sMS*M.cwMS+k.cwMA.sMA*M.cwMA+k.cwMP.sMP*M.cwMP))*Molweight</f>
        <v>2.2760188948962114E-2</v>
      </c>
      <c r="AL85" s="163"/>
      <c r="AM85" s="138">
        <f>AM82</f>
        <v>2.2607880443165088E-2</v>
      </c>
      <c r="AN85" s="163"/>
      <c r="AO85" s="162"/>
      <c r="AP85" s="951">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150</v>
      </c>
      <c r="BU85" s="140"/>
      <c r="BV85" s="98" t="s">
        <v>151</v>
      </c>
      <c r="BW85" s="113"/>
      <c r="BX85" s="2"/>
      <c r="BY85" s="113"/>
      <c r="BZ85" s="2"/>
      <c r="CA85" s="113"/>
      <c r="CB85" s="113"/>
      <c r="CC85" s="55"/>
      <c r="CD85" s="2"/>
      <c r="CE85" s="2"/>
    </row>
    <row r="86" spans="1:83" ht="12.75" customHeight="1" x14ac:dyDescent="0.25">
      <c r="A86" s="17"/>
      <c r="B86" s="159" t="s">
        <v>160</v>
      </c>
      <c r="C86" s="295">
        <f>C84*FRs.s2R</f>
        <v>184764770.45456031</v>
      </c>
      <c r="D86" s="446">
        <f t="shared" si="28"/>
        <v>1.1882202801214759E-2</v>
      </c>
      <c r="E86" s="295">
        <f>E84*FRs.s2C</f>
        <v>20670038.572185148</v>
      </c>
      <c r="F86" s="998">
        <f t="shared" si="29"/>
        <v>7.0137790447570797E-5</v>
      </c>
      <c r="G86" s="296"/>
      <c r="H86" s="446"/>
      <c r="I86" s="296"/>
      <c r="J86" s="446"/>
      <c r="K86" s="296"/>
      <c r="L86" s="461"/>
      <c r="M86" s="124">
        <f>C.s2R*FRs.s2R*(Molweight*1000)/(FRACs.s2R*RHOsolid)</f>
        <v>4.4908384607331639E-3</v>
      </c>
      <c r="N86" s="124">
        <f>C.s2C*FRs.s2C*(Molweight*1000)/(FRACs.s2C*RHOsolid)</f>
        <v>3.2942862444418213E-5</v>
      </c>
      <c r="O86" s="124"/>
      <c r="P86" s="124"/>
      <c r="Q86" s="124"/>
      <c r="R86" s="160" t="s">
        <v>145</v>
      </c>
      <c r="S86" s="163">
        <f>S84*(1-FRACw.s2R)</f>
        <v>1.0163706530406665E-22</v>
      </c>
      <c r="T86" s="163">
        <f>T84*(1-FRACw.s2C)</f>
        <v>7.4556586500321306E-25</v>
      </c>
      <c r="U86" s="163"/>
      <c r="V86" s="163"/>
      <c r="W86" s="162"/>
      <c r="X86" s="166"/>
      <c r="Y86" s="156"/>
      <c r="Z86" s="17"/>
      <c r="AA86" s="915" t="s">
        <v>188</v>
      </c>
      <c r="AB86" s="304"/>
      <c r="AC86" s="951"/>
      <c r="AD86" s="163"/>
      <c r="AE86" s="163"/>
      <c r="AF86" s="163"/>
      <c r="AG86" s="163"/>
      <c r="AH86" s="162"/>
      <c r="AI86" s="163"/>
      <c r="AJ86" s="163"/>
      <c r="AK86" s="163"/>
      <c r="AL86" s="163"/>
      <c r="AM86" s="163"/>
      <c r="AN86" s="163"/>
      <c r="AO86" s="162"/>
      <c r="AP86" s="952"/>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2.4665372377098795E-2</v>
      </c>
      <c r="BT86" s="82">
        <f>IF(ISERROR(F36),0,F36)</f>
        <v>3.4067588618403857E-6</v>
      </c>
      <c r="BU86" s="113"/>
      <c r="BV86" s="82">
        <f>IF(ISERROR(E20),0,E20)</f>
        <v>75311.387853656925</v>
      </c>
      <c r="BW86" s="2"/>
      <c r="BX86" s="76" t="s">
        <v>152</v>
      </c>
      <c r="BY86" s="42"/>
      <c r="BZ86" s="76" t="s">
        <v>153</v>
      </c>
      <c r="CA86" s="113"/>
      <c r="CB86" s="113"/>
      <c r="CC86" s="76" t="s">
        <v>154</v>
      </c>
      <c r="CD86" s="94"/>
      <c r="CE86" s="2"/>
    </row>
    <row r="87" spans="1:83" ht="12.75" customHeight="1" x14ac:dyDescent="0.25">
      <c r="A87" s="17"/>
      <c r="B87" s="159" t="s">
        <v>128</v>
      </c>
      <c r="C87" s="295">
        <f>M.s2RS*Molweight</f>
        <v>2.5699904785416794</v>
      </c>
      <c r="D87" s="446">
        <f t="shared" si="28"/>
        <v>1.6527581523304133E-10</v>
      </c>
      <c r="E87" s="295">
        <f>M.s2CS*Molweight</f>
        <v>7.4732428173398579E-3</v>
      </c>
      <c r="F87" s="998">
        <f t="shared" si="29"/>
        <v>2.5358285465017639E-14</v>
      </c>
      <c r="G87" s="296"/>
      <c r="H87" s="446"/>
      <c r="I87" s="296"/>
      <c r="J87" s="446"/>
      <c r="K87" s="296"/>
      <c r="L87" s="461"/>
      <c r="M87" s="124">
        <f>C.s2RS*(Molweight*1000)/(FRACw.s2R*1000+(1-FRACa.s2R-FRACw.s2R)*RHOsolid)</f>
        <v>5.511656184919707E-11</v>
      </c>
      <c r="N87" s="124">
        <f>C.s2CS*(Molweight*1000)/(FRACw.s2C*1000+(1-FRACa.s2C-FRACw.s2C)*RHOsolid)</f>
        <v>1.0509244033648762E-14</v>
      </c>
      <c r="O87" s="124"/>
      <c r="P87" s="124"/>
      <c r="Q87" s="124"/>
      <c r="R87" s="160" t="s">
        <v>156</v>
      </c>
      <c r="S87" s="163"/>
      <c r="T87" s="163"/>
      <c r="U87" s="163"/>
      <c r="V87" s="163"/>
      <c r="W87" s="162"/>
      <c r="X87" s="166"/>
      <c r="Y87" s="156"/>
      <c r="Z87" s="17"/>
      <c r="AA87" s="312" t="s">
        <v>122</v>
      </c>
      <c r="AB87" s="162" t="s">
        <v>174</v>
      </c>
      <c r="AC87" s="948">
        <f>E.aAS*Molweight</f>
        <v>0</v>
      </c>
      <c r="AD87" s="138">
        <f>k.aM.aA*(M.aMS+M.aMA+M.aMP)*Molweight</f>
        <v>3.835853985453757E-2</v>
      </c>
      <c r="AE87" s="138">
        <f>k.aA.aM*(M.aAS+M.aAA+M.aAP)*Molweight</f>
        <v>1.6791687521623713E-2</v>
      </c>
      <c r="AF87" s="138">
        <f>kesc.aA*VOLUME.aA*(C.aAS+C.aAA+C.aAP)*Molweight</f>
        <v>8.8846712340008973E-6</v>
      </c>
      <c r="AG87" s="163"/>
      <c r="AH87" s="949">
        <f>(kdegS.a*C.aAS+kdegA.a*C.aAA+kdegP.a*C.aAP)*VOLUME.aA*Molweight</f>
        <v>0</v>
      </c>
      <c r="AI87" s="163">
        <f>SUM(AI88,AK91)</f>
        <v>2.1557967661679851E-2</v>
      </c>
      <c r="AJ87" s="163">
        <f>SUM(AJ88,AL91)</f>
        <v>0</v>
      </c>
      <c r="AK87" s="163"/>
      <c r="AL87" s="163"/>
      <c r="AM87" s="163"/>
      <c r="AN87" s="163"/>
      <c r="AO87" s="162"/>
      <c r="AP87" s="917">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1.4456813189830684E-5</v>
      </c>
      <c r="BY87" s="42"/>
      <c r="BZ87" s="96">
        <f>IF(ISERROR(F92),0,F92)</f>
        <v>5.3543752554928432E-6</v>
      </c>
      <c r="CA87" s="113"/>
      <c r="CB87" s="113"/>
      <c r="CC87" s="96">
        <f>IF(ISERROR(F84),0,F84)</f>
        <v>7.060537571722127E-5</v>
      </c>
      <c r="CD87" s="2"/>
      <c r="CE87" s="2"/>
    </row>
    <row r="88" spans="1:83" ht="12.75" customHeight="1" x14ac:dyDescent="0.2">
      <c r="A88" s="17"/>
      <c r="B88" s="159" t="s">
        <v>131</v>
      </c>
      <c r="C88" s="295">
        <f>M.s2RA*Molweight</f>
        <v>4084562.3223546511</v>
      </c>
      <c r="D88" s="446">
        <f t="shared" si="28"/>
        <v>2.6267776995049329E-4</v>
      </c>
      <c r="E88" s="295">
        <f>M.s2CA*Molweight</f>
        <v>265025.05206450127</v>
      </c>
      <c r="F88" s="998">
        <f t="shared" si="29"/>
        <v>8.9928577056793851E-7</v>
      </c>
      <c r="G88" s="296"/>
      <c r="H88" s="446"/>
      <c r="I88" s="296"/>
      <c r="J88" s="446"/>
      <c r="K88" s="296"/>
      <c r="L88" s="461"/>
      <c r="M88" s="124">
        <f>C.s2RA*(Molweight*1000)/(FRACw.s2R*1000+(1-FRACa.s2R-FRACw.s2R)*RHOsolid)</f>
        <v>8.7598391412993363E-5</v>
      </c>
      <c r="N88" s="124">
        <f>C.s2CA*(Molweight*1000)/(FRACw.s2C*1000+(1-FRACa.s2C-FRACw.s2C)*RHOsolid)</f>
        <v>3.7269134902373271E-7</v>
      </c>
      <c r="O88" s="124"/>
      <c r="P88" s="124"/>
      <c r="Q88" s="124"/>
      <c r="R88" s="160" t="s">
        <v>156</v>
      </c>
      <c r="S88" s="163"/>
      <c r="T88" s="163"/>
      <c r="U88" s="163"/>
      <c r="V88" s="163"/>
      <c r="W88" s="162"/>
      <c r="X88" s="166"/>
      <c r="Y88" s="156"/>
      <c r="Z88" s="17"/>
      <c r="AA88" s="312" t="s">
        <v>167</v>
      </c>
      <c r="AB88" s="162" t="s">
        <v>175</v>
      </c>
      <c r="AC88" s="948">
        <f>E.w2AS*Molweight</f>
        <v>0</v>
      </c>
      <c r="AD88" s="138">
        <f>(k.w2M.w2A*(M.w2MS+M.w2MA+M.w2MP)+k.w3A.w2A*(M.w3AS+M.w3AA+M.w3AP))*Molweight</f>
        <v>10096.494378940131</v>
      </c>
      <c r="AE88" s="138">
        <f>(k.w2A.w2M*(M.w2AS+M.w2AA+M.w2AP)+k.w2AS.w3AS*M.w2AS+k.w2AA.w3AA*M.w2AA+k.w2AP.w3AP*M.w2AP)*Molweight</f>
        <v>10096.512170140371</v>
      </c>
      <c r="AF88" s="163"/>
      <c r="AG88" s="163">
        <f>(kdis.w2S.w2D*M.w2AS+kdis.w2A.w2D*M.w2AA+kdis.w2P.w2D*M.w2AP)*Molweight</f>
        <v>3.7428190129867723E-3</v>
      </c>
      <c r="AH88" s="949">
        <f>(kdegS.w2*C.w2AS+kdegA.w2*C.w2AA+kdegP.w2*C.w2AP)*VOLUME.w2A*Molweight</f>
        <v>0</v>
      </c>
      <c r="AI88" s="138">
        <f>((k.aAS.w2AS*M.aAS+k.aAA.w2AA*M.aAA+k.aAP.w2AP*M.aAP)+(k.cwAS.w2AS*M.cwAS+k.cwAA.w2AA*M.cwAA+k.cwAP.w2AP*M.cwAP))*Molweight</f>
        <v>1.7979450923050467E-2</v>
      </c>
      <c r="AJ88" s="163"/>
      <c r="AK88" s="163"/>
      <c r="AL88" s="163"/>
      <c r="AM88" s="138">
        <f>(k.sAS.w2AS*M.sAS+k.sAA.w2AA*M.sAA+k.sAP.w2AP*M.sAP)*Molweight</f>
        <v>3.5545683303465714E-3</v>
      </c>
      <c r="AN88" s="163"/>
      <c r="AO88" s="162"/>
      <c r="AP88" s="951">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2.5816265034430807E-2</v>
      </c>
      <c r="BT88" s="22">
        <f>AH26</f>
        <v>1.6262549740549869E-15</v>
      </c>
      <c r="BU88" s="113"/>
      <c r="BV88" s="113"/>
      <c r="BW88" s="113"/>
      <c r="BX88" s="2"/>
      <c r="BY88" s="42"/>
      <c r="BZ88" s="113"/>
      <c r="CA88" s="113"/>
      <c r="CB88" s="113"/>
      <c r="CC88" s="113"/>
      <c r="CD88" s="2"/>
      <c r="CE88" s="2"/>
    </row>
    <row r="89" spans="1:83" ht="12.75" customHeight="1" x14ac:dyDescent="0.25">
      <c r="A89" s="17"/>
      <c r="B89" s="159" t="s">
        <v>133</v>
      </c>
      <c r="C89" s="295">
        <f>M.s2RP*Molweight</f>
        <v>15180272783.619976</v>
      </c>
      <c r="D89" s="446">
        <f t="shared" si="28"/>
        <v>0.97624173346992882</v>
      </c>
      <c r="E89" s="295">
        <f>M.s2CP*Molweight</f>
        <v>56246820.256464668</v>
      </c>
      <c r="F89" s="998">
        <f t="shared" si="29"/>
        <v>1.9085729708307207E-4</v>
      </c>
      <c r="G89" s="296"/>
      <c r="H89" s="446"/>
      <c r="I89" s="296"/>
      <c r="J89" s="446"/>
      <c r="K89" s="296"/>
      <c r="L89" s="461"/>
      <c r="M89" s="124">
        <f>C.s2RP*(Molweight*1000)/(FRACw.s2R*1000+(1-FRACa.s2R-FRACw.s2R)*RHOsolid)</f>
        <v>0.32555935547311576</v>
      </c>
      <c r="N89" s="124">
        <f>C.s2CP*(Molweight*1000)/(FRACw.s2C*1000+(1-FRACa.s2C-FRACw.s2C)*RHOsolid)</f>
        <v>7.9097063301681258E-5</v>
      </c>
      <c r="O89" s="124"/>
      <c r="P89" s="124"/>
      <c r="Q89" s="124"/>
      <c r="R89" s="160" t="s">
        <v>156</v>
      </c>
      <c r="S89" s="163"/>
      <c r="T89" s="163"/>
      <c r="U89" s="163"/>
      <c r="V89" s="163"/>
      <c r="W89" s="162"/>
      <c r="X89" s="166"/>
      <c r="Y89" s="156"/>
      <c r="Z89" s="17"/>
      <c r="AA89" s="312" t="s">
        <v>170</v>
      </c>
      <c r="AB89" s="162" t="s">
        <v>176</v>
      </c>
      <c r="AC89" s="948"/>
      <c r="AD89" s="138">
        <f>(k.w2AS.w3AS*M.w2AS+k.w2AA.w3AA*M.w2AA+k.w2AP.w3AP*M.w2AP+k.w3M.w3A*(M.w3MS+M.w3MA+M.w3MP))*Molweight</f>
        <v>10096.512170140371</v>
      </c>
      <c r="AE89" s="138">
        <f>(k.w3A.w2A+k.w3A.w3M)*(M.w3AS+M.w3AA+M.w3AP)*Molweight</f>
        <v>10096.416308311129</v>
      </c>
      <c r="AF89" s="163"/>
      <c r="AG89" s="163">
        <f>(kdis.w2S.w2D*M.w3AS+kdis.w2A.w2D*M.w3AA+kdis.w2P.w2D*M.w3AP)*Molweight</f>
        <v>9.2321411302136239E-2</v>
      </c>
      <c r="AH89" s="949">
        <f>(kdegS.w3*C.w3AS+kdegA.w3*C.w3AA+kdegP.w3*C.w3AP)*VOLUME.w3A*Molweight</f>
        <v>0</v>
      </c>
      <c r="AI89" s="163"/>
      <c r="AJ89" s="163"/>
      <c r="AK89" s="163"/>
      <c r="AL89" s="163"/>
      <c r="AM89" s="163"/>
      <c r="AN89" s="138">
        <f>(k.w3AS.sdAS*M.w3AS+k.w3AA.sdAA*M.w3AA+k.w3AP.sdAP*M.w3AP)*Molweight</f>
        <v>15.423720643152727</v>
      </c>
      <c r="AO89" s="949">
        <f>(k.sdAS.w3AS*M.sdAS+k.sdAA.w3AA*M.sdAA+k.sdAP.w3AP*M.sdAP)*Molweight</f>
        <v>15.420180225213326</v>
      </c>
      <c r="AP89" s="951">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1.7303054737374878E-14</v>
      </c>
      <c r="BY89" s="42"/>
      <c r="BZ89" s="55">
        <f>AH30</f>
        <v>6.4085387916203211E-15</v>
      </c>
      <c r="CA89" s="2"/>
      <c r="CB89" s="113"/>
      <c r="CC89" s="22">
        <f>AH29</f>
        <v>8.4506084760600483E-14</v>
      </c>
      <c r="CD89" s="2"/>
      <c r="CE89" s="2"/>
    </row>
    <row r="90" spans="1:83" ht="12.75" customHeight="1" x14ac:dyDescent="0.2">
      <c r="A90" s="17"/>
      <c r="B90" s="159"/>
      <c r="C90" s="295"/>
      <c r="D90" s="446"/>
      <c r="E90" s="296"/>
      <c r="F90" s="998"/>
      <c r="G90" s="296"/>
      <c r="H90" s="446"/>
      <c r="I90" s="296"/>
      <c r="J90" s="446"/>
      <c r="K90" s="296"/>
      <c r="L90" s="461"/>
      <c r="M90" s="124"/>
      <c r="N90" s="124"/>
      <c r="O90" s="124"/>
      <c r="P90" s="124"/>
      <c r="Q90" s="124"/>
      <c r="R90" s="160"/>
      <c r="S90" s="163"/>
      <c r="T90" s="163"/>
      <c r="U90" s="163"/>
      <c r="V90" s="163"/>
      <c r="W90" s="162"/>
      <c r="X90" s="166"/>
      <c r="Y90" s="156"/>
      <c r="Z90" s="17"/>
      <c r="AA90" s="312" t="s">
        <v>186</v>
      </c>
      <c r="AB90" s="162" t="s">
        <v>177</v>
      </c>
      <c r="AC90" s="948"/>
      <c r="AD90" s="163"/>
      <c r="AE90" s="163"/>
      <c r="AF90" s="138">
        <f>kbur.sdA*(M.sdAS+M.sdAA+M.sdAP)*Molweight</f>
        <v>3.3805064617369639E-3</v>
      </c>
      <c r="AG90" s="163">
        <f>(kdis.sd2S.sd2D*M.sdAS+kdis.sd2A.sd2D*M.sdAA+kdis.sd2P.sd2D*M.sdAP)*Molweight</f>
        <v>1.5991147766600703E-4</v>
      </c>
      <c r="AH90" s="949">
        <f>(kdegS.sd2*C.sdAS+kdegA.sd2*C.sdAA+kdegP.sd2*C.sdAP)*VOLUME.sdA*Molweight</f>
        <v>0</v>
      </c>
      <c r="AI90" s="163"/>
      <c r="AJ90" s="163"/>
      <c r="AK90" s="163"/>
      <c r="AL90" s="163"/>
      <c r="AM90" s="163"/>
      <c r="AN90" s="138">
        <f>AN89</f>
        <v>15.423720643152727</v>
      </c>
      <c r="AO90" s="949">
        <f>AO89</f>
        <v>15.420180225213326</v>
      </c>
      <c r="AP90" s="951">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162</v>
      </c>
      <c r="BT90" s="2"/>
      <c r="BU90" s="113"/>
      <c r="BV90" s="113"/>
      <c r="BW90" s="113"/>
      <c r="BX90" s="113"/>
      <c r="BY90" s="113"/>
      <c r="BZ90" s="113"/>
      <c r="CA90" s="113"/>
      <c r="CB90" s="113"/>
      <c r="CC90" s="113"/>
      <c r="CD90" s="113"/>
      <c r="CE90" s="2"/>
    </row>
    <row r="91" spans="1:83" ht="12.75" customHeight="1" x14ac:dyDescent="0.2">
      <c r="A91" s="17"/>
      <c r="B91" s="104" t="s">
        <v>222</v>
      </c>
      <c r="C91" s="295">
        <f>SUM(C92,C95:C97)</f>
        <v>30433688.900602706</v>
      </c>
      <c r="D91" s="446">
        <f t="shared" ref="D91:D97" si="30">C91/$C$103</f>
        <v>1.957187306954569E-3</v>
      </c>
      <c r="E91" s="295">
        <f>SUM(E92,E95:E97)</f>
        <v>3978443.6136132721</v>
      </c>
      <c r="F91" s="998">
        <f>E91/$E$103</f>
        <v>1.349969636024657E-5</v>
      </c>
      <c r="G91" s="296">
        <f>SUM(G92,G95:G97)</f>
        <v>3321124.3794951835</v>
      </c>
      <c r="H91" s="446">
        <f t="shared" ref="H91:H97" si="31">G91/$G$103</f>
        <v>7.0017139985964614E-8</v>
      </c>
      <c r="I91" s="296">
        <f>SUM(I92,I95:I97)</f>
        <v>322249.70199371205</v>
      </c>
      <c r="J91" s="446">
        <f t="shared" ref="J91:J97" si="32">I91/$I$103</f>
        <v>1.0261649688459755E-8</v>
      </c>
      <c r="K91" s="296">
        <f>SUM(K92,K95:K97)</f>
        <v>94726.912889526924</v>
      </c>
      <c r="L91" s="461">
        <f t="shared" ref="L91:L97" si="33">K91/$K$103</f>
        <v>8.0984888682432021E-10</v>
      </c>
      <c r="M91" s="459">
        <f>((M.s3RD+M.s3RS+M.s3RA+M.s3RP)*Molweight*1000/(VOLUME.s3R))/(FRACw.s3R*1000+(1-FRACa.s3R-FRACw.s3R)*RHOsolid)</f>
        <v>1.5664496601943387E-2</v>
      </c>
      <c r="N91" s="459">
        <f>((M.s3CD+M.s3CS+M.s3CA+M.s3CP)*Molweight*1000/(VOLUME.s3C))/(FRACw.s3C*1000+(1-FRACa.s3C-FRACw.s3C)*RHOsolid)</f>
        <v>1.3427242496409918E-4</v>
      </c>
      <c r="O91" s="459">
        <f>((M.sMD+M.sMS+M.sMA+M.sMP)*Molweight*1000/(VOLUME.sM))/(FRACw.sM*1000+(1-FRACa.sM-FRACw.sM)*RHOsolid)</f>
        <v>1.0073857719702795E-6</v>
      </c>
      <c r="P91" s="459">
        <f>((M.sAD+M.sAS+M.sAA+M.sAP)*Molweight*1000/(VOLUME.sA))/(FRACw.sA*1000+(1-FRACa.sA-FRACw.sA)*RHOsolid)</f>
        <v>2.2301017439011215E-7</v>
      </c>
      <c r="Q91" s="459">
        <f>((M.sTD+M.sTS+M.sTA+M.sTP)*Molweight*1000/(VOLUME.sT))/(FRACw.sT*1000+(1-FRACa.sT-FRACw.sT)*RHOsolid)</f>
        <v>2.9135536451988273E-8</v>
      </c>
      <c r="R91" s="160" t="s">
        <v>156</v>
      </c>
      <c r="S91" s="163"/>
      <c r="T91" s="163"/>
      <c r="U91" s="163"/>
      <c r="V91" s="163"/>
      <c r="W91" s="162"/>
      <c r="X91" s="166"/>
      <c r="Y91" s="156"/>
      <c r="Z91" s="17"/>
      <c r="AA91" s="312" t="s">
        <v>187</v>
      </c>
      <c r="AB91" s="162" t="s">
        <v>178</v>
      </c>
      <c r="AC91" s="948">
        <f>E.sAS*Molweight</f>
        <v>0</v>
      </c>
      <c r="AD91" s="163"/>
      <c r="AE91" s="163"/>
      <c r="AF91" s="138">
        <f>kleach.sA*(M.sAS+M.sAA)*Molweight</f>
        <v>2.3941014395060925E-5</v>
      </c>
      <c r="AG91" s="163">
        <f>(kdis.s1S.s1D*M.sAS+kdis.s1A.s1D*M.sAA+kdis.s1P.s1D*M.sAP)*Molweight</f>
        <v>7.3938877515494339E-9</v>
      </c>
      <c r="AH91" s="949">
        <f>(kdegS.s1*C.sAS+kdegA.s1*C.sAA+kdegP.s1*C.sAP)*VOLUME.sA*Molweight</f>
        <v>0</v>
      </c>
      <c r="AI91" s="163"/>
      <c r="AJ91" s="163"/>
      <c r="AK91" s="138">
        <f>((k.aAS.sAS*M.aAS+k.aAA.sAA*M.aAA+k.aAP.sAP*M.aAP)+(k.cwAS.sAS*M.cwAS+k.cwAA.sAA*M.cwAA+k.cwAP.sAP*M.cwAP))*Molweight</f>
        <v>3.5785167386293833E-3</v>
      </c>
      <c r="AL91" s="163"/>
      <c r="AM91" s="138">
        <f>AM88</f>
        <v>3.5545683303465714E-3</v>
      </c>
      <c r="AN91" s="163"/>
      <c r="AO91" s="162"/>
      <c r="AP91" s="951">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1.3587464592690044E-6</v>
      </c>
      <c r="BU91" s="113"/>
      <c r="BV91" s="113"/>
      <c r="BW91" s="113"/>
      <c r="BX91" s="113"/>
      <c r="BY91" s="113"/>
      <c r="BZ91" s="2"/>
      <c r="CA91" s="113"/>
      <c r="CB91" s="2"/>
      <c r="CC91" s="2"/>
      <c r="CD91" s="2"/>
      <c r="CE91" s="2"/>
    </row>
    <row r="92" spans="1:83" ht="12.75" customHeight="1" x14ac:dyDescent="0.2">
      <c r="A92" s="17"/>
      <c r="B92" s="443" t="s">
        <v>121</v>
      </c>
      <c r="C92" s="295">
        <f>M.s3R*Molweight</f>
        <v>2869775.1155082243</v>
      </c>
      <c r="D92" s="446">
        <f t="shared" si="30"/>
        <v>1.8455493345650734E-4</v>
      </c>
      <c r="E92" s="295">
        <f>M.s3C*Molweight</f>
        <v>1577967.3462015078</v>
      </c>
      <c r="F92" s="998">
        <f t="shared" ref="F92:F97" si="34">E92/$E$103</f>
        <v>5.3543752554928432E-6</v>
      </c>
      <c r="G92" s="296">
        <f>M.sMD*Molweight</f>
        <v>2533959.1337734223</v>
      </c>
      <c r="H92" s="446">
        <f t="shared" si="31"/>
        <v>5.3421838845763306E-8</v>
      </c>
      <c r="I92" s="296">
        <f>M.sAD*Molweight</f>
        <v>248310.82447821769</v>
      </c>
      <c r="J92" s="446">
        <f t="shared" si="32"/>
        <v>7.907156093189522E-9</v>
      </c>
      <c r="K92" s="296">
        <f>M.sTD*Molweight</f>
        <v>64958.525599978064</v>
      </c>
      <c r="L92" s="461">
        <f t="shared" si="33"/>
        <v>5.5534998494295451E-10</v>
      </c>
      <c r="M92" s="124">
        <f>C.s3R*(Molweight*1000)/(FRACw.s3R*1000+(1-FRACa.s3R-FRACw.s3R)*RHOsolid)</f>
        <v>1.4770993648532042E-3</v>
      </c>
      <c r="N92" s="124">
        <f>C.s3C*(Molweight*1000)/(FRACw.s3C*1000+(1-FRACa.s3C-FRACw.s3C)*RHOsolid)</f>
        <v>5.3256379294568131E-5</v>
      </c>
      <c r="O92" s="124">
        <f>C.sM*(Molweight*1000)/(FRACw.sM*1000+(1-FRACa.sM-FRACw.sM)*RHOsolid)</f>
        <v>7.6861751817482057E-7</v>
      </c>
      <c r="P92" s="124">
        <f>C.sA*(Molweight*1000)/(FRACw.sA*1000+(1-FRACa.sA-FRACw.sA)*RHOsolid)</f>
        <v>1.7184140102298798E-7</v>
      </c>
      <c r="Q92" s="124">
        <f>C.sT*(Molweight*1000)/(FRACw.sT*1000+(1-FRACa.sT-FRACw.sT)*RHOsolid)</f>
        <v>1.9979554202223155E-8</v>
      </c>
      <c r="R92" s="160" t="s">
        <v>156</v>
      </c>
      <c r="S92" s="163">
        <f>F.s3R</f>
        <v>4.7045315101631531E-23</v>
      </c>
      <c r="T92" s="163">
        <f>F.s3C</f>
        <v>1.6962048760571759E-24</v>
      </c>
      <c r="U92" s="163">
        <f>F.sM</f>
        <v>2.44803120193353E-26</v>
      </c>
      <c r="V92" s="163">
        <f>F.sA</f>
        <v>1.1248382247970544E-32</v>
      </c>
      <c r="W92" s="162">
        <f>F.sT</f>
        <v>5.8827199888266966E-25</v>
      </c>
      <c r="X92" s="166"/>
      <c r="Y92" s="156"/>
      <c r="Z92" s="17"/>
      <c r="AA92" s="915" t="s">
        <v>191</v>
      </c>
      <c r="AB92" s="304"/>
      <c r="AC92" s="951"/>
      <c r="AD92" s="163"/>
      <c r="AE92" s="163"/>
      <c r="AF92" s="163"/>
      <c r="AG92" s="163"/>
      <c r="AH92" s="162"/>
      <c r="AI92" s="163"/>
      <c r="AJ92" s="163"/>
      <c r="AK92" s="163"/>
      <c r="AL92" s="163"/>
      <c r="AM92" s="163"/>
      <c r="AN92" s="163"/>
      <c r="AO92" s="162"/>
      <c r="AP92" s="952"/>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1.1520920301570893E-9</v>
      </c>
      <c r="BR92" s="113"/>
      <c r="BS92" s="113"/>
      <c r="BT92" s="113"/>
      <c r="BU92" s="113"/>
      <c r="BV92" s="113"/>
      <c r="BW92" s="55"/>
      <c r="BX92" s="2"/>
      <c r="BY92" s="55"/>
      <c r="BZ92" s="55"/>
      <c r="CA92" s="2"/>
      <c r="CB92" s="55"/>
      <c r="CC92" s="113"/>
      <c r="CD92" s="113"/>
      <c r="CE92" s="2"/>
    </row>
    <row r="93" spans="1:83" ht="12.75" customHeight="1" x14ac:dyDescent="0.2">
      <c r="A93" s="17"/>
      <c r="B93" s="159" t="s">
        <v>220</v>
      </c>
      <c r="C93" s="295">
        <f>C92*FRwD.s3R</f>
        <v>19005.133215286252</v>
      </c>
      <c r="D93" s="446">
        <f t="shared" si="30"/>
        <v>1.2222181023609757E-6</v>
      </c>
      <c r="E93" s="295">
        <f>E92*FRw.s3C</f>
        <v>10450.114875506675</v>
      </c>
      <c r="F93" s="998">
        <f t="shared" si="34"/>
        <v>3.5459438778098303E-8</v>
      </c>
      <c r="G93" s="296">
        <f>FRw.sM*G92</f>
        <v>16781.186316380281</v>
      </c>
      <c r="H93" s="446">
        <f t="shared" si="31"/>
        <v>3.5378701222359807E-10</v>
      </c>
      <c r="I93" s="296">
        <f>FRw.sA*I92</f>
        <v>1644.4425462133622</v>
      </c>
      <c r="J93" s="446">
        <f t="shared" si="32"/>
        <v>5.2365272140327954E-11</v>
      </c>
      <c r="K93" s="296">
        <f>FRw.sT*K92</f>
        <v>430.18891125813286</v>
      </c>
      <c r="L93" s="461">
        <f t="shared" si="33"/>
        <v>3.6778144698208911E-12</v>
      </c>
      <c r="M93" s="124">
        <f>M94/Kp.s3R</f>
        <v>8.3147977491736664E-5</v>
      </c>
      <c r="N93" s="124">
        <f>N94/Kp.s3C</f>
        <v>2.9978756556544973E-6</v>
      </c>
      <c r="O93" s="124">
        <f>O94/Kp.sM</f>
        <v>4.3266549036330962E-8</v>
      </c>
      <c r="P93" s="124">
        <f>P94/Kp.sA</f>
        <v>9.6731914483138922E-9</v>
      </c>
      <c r="Q93" s="124">
        <f>Q94/Kp.sT</f>
        <v>1.1246768921781246E-9</v>
      </c>
      <c r="R93" s="160" t="s">
        <v>139</v>
      </c>
      <c r="S93" s="163">
        <f>S92*FRACw.s3R</f>
        <v>9.4090630203263074E-24</v>
      </c>
      <c r="T93" s="163">
        <f>T92*FRACw.s3C</f>
        <v>3.3924097521143519E-25</v>
      </c>
      <c r="U93" s="163">
        <f>U92*FRACw.sM</f>
        <v>4.89606240386706E-27</v>
      </c>
      <c r="V93" s="163">
        <f>V92*FRACw.sA</f>
        <v>2.2496764495941088E-33</v>
      </c>
      <c r="W93" s="162">
        <f>W92*FRACw.sT</f>
        <v>1.1765439977653395E-25</v>
      </c>
      <c r="X93" s="166"/>
      <c r="Y93" s="156"/>
      <c r="Z93" s="17"/>
      <c r="AA93" s="312" t="s">
        <v>122</v>
      </c>
      <c r="AB93" s="162" t="s">
        <v>179</v>
      </c>
      <c r="AC93" s="948">
        <f>E.aTS*Molweight</f>
        <v>0</v>
      </c>
      <c r="AD93" s="138">
        <f>k.aM.aT*(M.aMS+M.aMA+M.aMP)*Molweight</f>
        <v>6.6438939932214766E-2</v>
      </c>
      <c r="AE93" s="138">
        <f>k.aT.aM*(M.aTS+M.aTA+M.aTP)*Molweight</f>
        <v>1.7149929474612174E-2</v>
      </c>
      <c r="AF93" s="138">
        <f>kesc.aT*VOLUME.aT*(C.aTS+C.aTA+C.aTP)*Molweight</f>
        <v>1.5717011969347235E-5</v>
      </c>
      <c r="AG93" s="163"/>
      <c r="AH93" s="949">
        <f>(kdegS.a*C.aTS+kdegA.a*C.aTA+kdegP.a*C.aTP)*VOLUME.aT*Molweight</f>
        <v>0</v>
      </c>
      <c r="AI93" s="163">
        <f>SUM(AI94,AK97)</f>
        <v>4.9273293445633255E-2</v>
      </c>
      <c r="AJ93" s="163">
        <f>SUM(AJ94,AL97)</f>
        <v>0</v>
      </c>
      <c r="AK93" s="163"/>
      <c r="AL93" s="163"/>
      <c r="AM93" s="163"/>
      <c r="AN93" s="163"/>
      <c r="AO93" s="162"/>
      <c r="AP93" s="917">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169</v>
      </c>
      <c r="BR93" s="2"/>
      <c r="BS93" s="113"/>
      <c r="BT93" s="113"/>
      <c r="BU93" s="113"/>
      <c r="BV93" s="113"/>
      <c r="BW93" s="2"/>
      <c r="BX93" s="2"/>
      <c r="BY93" s="113"/>
      <c r="BZ93" s="113"/>
      <c r="CA93" s="113"/>
      <c r="CB93" s="113"/>
      <c r="CC93" s="113"/>
      <c r="CD93" s="113"/>
      <c r="CE93" s="2"/>
    </row>
    <row r="94" spans="1:83" ht="12.75" customHeight="1" x14ac:dyDescent="0.2">
      <c r="A94" s="17"/>
      <c r="B94" s="159" t="s">
        <v>160</v>
      </c>
      <c r="C94" s="295">
        <f>C92*FRs.s3R</f>
        <v>2850769.982292938</v>
      </c>
      <c r="D94" s="446">
        <f t="shared" si="30"/>
        <v>1.8333271535414636E-4</v>
      </c>
      <c r="E94" s="295">
        <f>E92*FRs.s3C</f>
        <v>1567517.231326001</v>
      </c>
      <c r="F94" s="998">
        <f t="shared" si="34"/>
        <v>5.318915816714744E-6</v>
      </c>
      <c r="G94" s="296">
        <f>(1-FRw.sM)*G92</f>
        <v>2517177.9474570421</v>
      </c>
      <c r="H94" s="446">
        <f t="shared" si="31"/>
        <v>5.3068051833539708E-8</v>
      </c>
      <c r="I94" s="296">
        <f>(1-FRw.sA)*I92</f>
        <v>246666.38193200433</v>
      </c>
      <c r="J94" s="446">
        <f t="shared" si="32"/>
        <v>7.8547908210491933E-9</v>
      </c>
      <c r="K94" s="296">
        <f>(1-FRw.sT)*K92</f>
        <v>64528.33668871993</v>
      </c>
      <c r="L94" s="461">
        <f t="shared" si="33"/>
        <v>5.5167217047313363E-10</v>
      </c>
      <c r="M94" s="124">
        <f>C.s3R*FRs.s3R*(Molweight*1000)/(FRACs.s3R*RHOsolid)</f>
        <v>1.6629595498347332E-3</v>
      </c>
      <c r="N94" s="124">
        <f>C.s3C*FRs.s3C*(Molweight*1000)/(FRACs.s3C*RHOsolid)</f>
        <v>5.9957513113089942E-5</v>
      </c>
      <c r="O94" s="124">
        <f>C.sM*FRs.sM*(Molweight*1000)/(FRACs.sM*RHOsolid)</f>
        <v>8.6533098072661921E-7</v>
      </c>
      <c r="P94" s="124">
        <f>C.sA*FRs.sA*(Molweight*1000)/(FRACs.sA*RHOsolid)</f>
        <v>1.9346382896627785E-7</v>
      </c>
      <c r="Q94" s="124">
        <f>C.sT*FRs.sT*(Molweight*1000)/(FRACs.sT*RHOsolid)</f>
        <v>2.2493537843562492E-8</v>
      </c>
      <c r="R94" s="160" t="s">
        <v>145</v>
      </c>
      <c r="S94" s="163">
        <f>S92*(1-FRACw.s3R)</f>
        <v>3.7636252081305229E-23</v>
      </c>
      <c r="T94" s="163">
        <f>T92*(1-FRACw.s3C)</f>
        <v>1.3569639008457407E-24</v>
      </c>
      <c r="U94" s="163">
        <f>U92*(1-FRACw.sM)</f>
        <v>1.958424961546824E-26</v>
      </c>
      <c r="V94" s="163">
        <f>V92*(1-FRACw.sA)</f>
        <v>8.9987057983764352E-33</v>
      </c>
      <c r="W94" s="162">
        <f>W92*(1-FRACw.sT)</f>
        <v>4.7061759910613579E-25</v>
      </c>
      <c r="X94" s="166"/>
      <c r="Y94" s="156"/>
      <c r="Z94" s="17"/>
      <c r="AA94" s="312" t="s">
        <v>167</v>
      </c>
      <c r="AB94" s="162" t="s">
        <v>180</v>
      </c>
      <c r="AC94" s="948">
        <f>E.w2TS*Molweight</f>
        <v>0</v>
      </c>
      <c r="AD94" s="138">
        <f>(k.w2M.w2T*(M.w2MS+M.w2MA+M.w2MP)+k.w3T.w2T*(M.w3TS+M.w3TA+M.w3TP))*Molweight</f>
        <v>26383.371915404678</v>
      </c>
      <c r="AE94" s="138">
        <f>(k.w2T.w2M*(M.w2TS+M.w2TA+M.w2TP)+k.w2TS.w3TS*M.w2TS+k.w2TA.w3TA*M.w2TA+k.w2TP.w3TP*M.w2TP)*Molweight</f>
        <v>26383.410356290729</v>
      </c>
      <c r="AF94" s="163"/>
      <c r="AG94" s="163">
        <f>(kdis.w2S.w2D*M.w2TS+kdis.w2A.w2D*M.w2TA+kdis.w2P.w2D*M.w2TP)*Molweight</f>
        <v>1.0787977733184845E-2</v>
      </c>
      <c r="AH94" s="949">
        <f>(kdegS.w2*C.w2TS+kdegA.w2*C.w2TA+kdegP.w2*C.w2TP)*VOLUME.w2T*Molweight</f>
        <v>0</v>
      </c>
      <c r="AI94" s="138">
        <f>((k.aTS.w2TS*M.aTS+k.aTA.w2TA*M.aTA+k.aTP.w2TP*M.aTP)+(k.cwTS.w2TS*M.cwTS+k.cwTA.w2TA*M.cwTA+k.cwTP.w2TP*M.cwTP))*Molweight</f>
        <v>4.2634792767871556E-2</v>
      </c>
      <c r="AJ94" s="163"/>
      <c r="AK94" s="163"/>
      <c r="AL94" s="163"/>
      <c r="AM94" s="138">
        <f>(k.sTS.w2TS*M.sTS+k.sTA.w2TA*M.sTA+k.sTP.w2TP*M.sTP)*Molweight</f>
        <v>6.5940710160769279E-3</v>
      </c>
      <c r="AN94" s="163"/>
      <c r="AO94" s="162"/>
      <c r="AP94" s="951">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67.176654733094907</v>
      </c>
      <c r="BQ94" s="96">
        <f>IF(ISERROR(F52),0,F52)</f>
        <v>0.96327333684826044</v>
      </c>
      <c r="BR94" s="113"/>
      <c r="BS94" s="113"/>
      <c r="BT94" s="113"/>
      <c r="BU94" s="113"/>
      <c r="BV94" s="113"/>
      <c r="BW94" s="113"/>
      <c r="BX94" s="113"/>
      <c r="BY94" s="113"/>
      <c r="BZ94" s="113"/>
      <c r="CA94" s="113"/>
      <c r="CB94" s="113"/>
      <c r="CC94" s="113"/>
      <c r="CD94" s="113"/>
      <c r="CE94" s="2"/>
    </row>
    <row r="95" spans="1:83" ht="12.75" customHeight="1" x14ac:dyDescent="0.25">
      <c r="A95" s="17"/>
      <c r="B95" s="159" t="s">
        <v>128</v>
      </c>
      <c r="C95" s="295">
        <f>M.s3RS*Molweight</f>
        <v>1.6052114710898988E-2</v>
      </c>
      <c r="D95" s="446">
        <f t="shared" si="30"/>
        <v>1.032309795390201E-12</v>
      </c>
      <c r="E95" s="295">
        <f>M.s3CS*Molweight</f>
        <v>1.2455397176262138E-3</v>
      </c>
      <c r="F95" s="998">
        <f t="shared" si="34"/>
        <v>4.2263783593780993E-15</v>
      </c>
      <c r="G95" s="296">
        <f>M.sMS*Molweight</f>
        <v>3.0402423682114566E-4</v>
      </c>
      <c r="H95" s="446">
        <f t="shared" si="31"/>
        <v>6.4095484288570545E-18</v>
      </c>
      <c r="I95" s="296">
        <f>M.sAS*Molweight</f>
        <v>1.5587202527366916E-6</v>
      </c>
      <c r="J95" s="446">
        <f t="shared" si="32"/>
        <v>4.9635550000302217E-20</v>
      </c>
      <c r="K95" s="296">
        <f>M.sTS*Molweight</f>
        <v>2.1197406134995792E-6</v>
      </c>
      <c r="L95" s="461">
        <f t="shared" si="33"/>
        <v>1.8122300451202946E-20</v>
      </c>
      <c r="M95" s="124">
        <f>C.s3RS*(Molweight*1000)/(FRACw.s3R*1000+(1-FRACa.s3R-FRACw.s3R)*RHOsolid)</f>
        <v>8.2621695044632931E-12</v>
      </c>
      <c r="N95" s="124">
        <f>C.s3CS*(Molweight*1000)/(FRACw.s3C*1000+(1-FRACa.s3C-FRACw.s3C)*RHOsolid)</f>
        <v>4.2036950756951946E-14</v>
      </c>
      <c r="O95" s="124">
        <f>C.sMS*(Molweight*1000)/(FRACw.sM*1000+(1-FRACa.sM-FRACw.sM)*RHOsolid)</f>
        <v>9.2218675216945145E-17</v>
      </c>
      <c r="P95" s="124">
        <f>C.sAS*(Molweight*1000)/(FRACw.sA*1000+(1-FRACa.sA-FRACw.sA)*RHOsolid)</f>
        <v>1.0786991368420008E-18</v>
      </c>
      <c r="Q95" s="124">
        <f>C.sTS*(Molweight*1000)/(FRACw.sT*1000+(1-FRACa.sT-FRACw.sT)*RHOsolid)</f>
        <v>6.519771206457758E-19</v>
      </c>
      <c r="R95" s="160" t="s">
        <v>218</v>
      </c>
      <c r="S95" s="163"/>
      <c r="T95" s="163"/>
      <c r="U95" s="163"/>
      <c r="V95" s="163"/>
      <c r="W95" s="162"/>
      <c r="X95" s="166"/>
      <c r="Y95" s="156"/>
      <c r="Z95" s="17"/>
      <c r="AA95" s="312" t="s">
        <v>170</v>
      </c>
      <c r="AB95" s="162" t="s">
        <v>181</v>
      </c>
      <c r="AC95" s="948"/>
      <c r="AD95" s="138">
        <f>(k.w2TS.w3TS*M.w2TS+k.w2TA.w3TA*M.w2TA+k.w2TP.w3TP*M.w2TP+k.w3M.w3T*(M.w3MS+M.w3MA+M.w3MP))*Molweight</f>
        <v>26383.729074819432</v>
      </c>
      <c r="AE95" s="138">
        <f>(k.w3T.w2T+k.w3T.w3M)*(M.w3TS+M.w3TA+M.w3TP)*Molweight</f>
        <v>26383.371915404678</v>
      </c>
      <c r="AF95" s="163"/>
      <c r="AG95" s="163">
        <f>(kdis.w2S.w2D*M.w3TS+kdis.w2A.w2D*M.w3TA+kdis.w2P.w2D*M.w3TP)*Molweight</f>
        <v>0.34830387110981037</v>
      </c>
      <c r="AH95" s="949">
        <f>(kdegS.w3*C.w3TS+kdegA.w3*C.w3TA+kdegP.w3*C.w3TP)*VOLUME.w3T*Molweight</f>
        <v>0</v>
      </c>
      <c r="AI95" s="163"/>
      <c r="AJ95" s="163"/>
      <c r="AK95" s="163"/>
      <c r="AL95" s="163"/>
      <c r="AM95" s="163"/>
      <c r="AN95" s="138">
        <f>(k.w3TS.sdTS*M.w3TS+k.w3TA.sdTA*M.w3TA+k.w3TP.sdTP*M.w3TP)*Molweight</f>
        <v>62.413169984959012</v>
      </c>
      <c r="AO95" s="949">
        <f>(k.sdTS.w3TS*M.sdTS+k.sdTA.w3TA*M.sdTA+k.sdTP.w3TP*M.sdTP)*Molweight</f>
        <v>62.404314441309957</v>
      </c>
      <c r="AP95" s="951">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25">
      <c r="A96" s="17"/>
      <c r="B96" s="159" t="s">
        <v>131</v>
      </c>
      <c r="C96" s="295">
        <f>M.s3RA*Molweight</f>
        <v>20407.697601452612</v>
      </c>
      <c r="D96" s="446">
        <f t="shared" si="30"/>
        <v>1.3124168693509662E-6</v>
      </c>
      <c r="E96" s="295">
        <f>M.s3CA*Molweight</f>
        <v>20098.931557580465</v>
      </c>
      <c r="F96" s="998">
        <f t="shared" si="34"/>
        <v>6.8199904169633089E-8</v>
      </c>
      <c r="G96" s="296">
        <f>M.sMA*Molweight</f>
        <v>160195.94189591595</v>
      </c>
      <c r="H96" s="446">
        <f t="shared" si="31"/>
        <v>3.3773085278470425E-9</v>
      </c>
      <c r="I96" s="296">
        <f>M.sAA*Molweight</f>
        <v>70542.75943069128</v>
      </c>
      <c r="J96" s="446">
        <f t="shared" si="32"/>
        <v>2.2463483468145135E-9</v>
      </c>
      <c r="K96" s="296">
        <f>M.sTA*Molweight</f>
        <v>25173.897504666711</v>
      </c>
      <c r="L96" s="461">
        <f t="shared" si="33"/>
        <v>2.1521922597604124E-10</v>
      </c>
      <c r="M96" s="124">
        <f>C.s3RA*(Molweight*1000)/(FRACw.s3R*1000+(1-FRACa.s3R-FRACw.s3R)*RHOsolid)</f>
        <v>1.0504027650920483E-5</v>
      </c>
      <c r="N96" s="124">
        <f>C.s3CA*(Molweight*1000)/(FRACw.s3C*1000+(1-FRACa.s3C-FRACw.s3C)*RHOsolid)</f>
        <v>6.7833870264979468E-7</v>
      </c>
      <c r="O96" s="124">
        <f>C.sMA*(Molweight*1000)/(FRACw.sM*1000+(1-FRACa.sM-FRACw.sM)*RHOsolid)</f>
        <v>4.8591709961146714E-8</v>
      </c>
      <c r="P96" s="124">
        <f>C.sAA*(Molweight*1000)/(FRACw.sA*1000+(1-FRACa.sA-FRACw.sA)*RHOsolid)</f>
        <v>4.8818518637156587E-8</v>
      </c>
      <c r="Q96" s="124">
        <f>C.sTA*(Molweight*1000)/(FRACw.sT*1000+(1-FRACa.sT-FRACw.sT)*RHOsolid)</f>
        <v>7.7428366027425449E-9</v>
      </c>
      <c r="R96" s="160" t="s">
        <v>218</v>
      </c>
      <c r="S96" s="163"/>
      <c r="T96" s="163"/>
      <c r="U96" s="163"/>
      <c r="V96" s="163"/>
      <c r="W96" s="162"/>
      <c r="X96" s="166"/>
      <c r="Y96" s="156"/>
      <c r="Z96" s="17"/>
      <c r="AA96" s="312" t="s">
        <v>186</v>
      </c>
      <c r="AB96" s="162" t="s">
        <v>182</v>
      </c>
      <c r="AC96" s="948"/>
      <c r="AD96" s="163"/>
      <c r="AE96" s="163"/>
      <c r="AF96" s="138">
        <f>kbur.sdT*(M.sdTS+M.sdTA+M.sdTP)*Molweight</f>
        <v>8.208393875871127E-3</v>
      </c>
      <c r="AG96" s="163">
        <f>(kdis.sd2S.sd2D*M.sdTS+kdis.sd2A.sd2D*M.sdTA+kdis.sd2P.sd2D*M.sdTP)*Molweight</f>
        <v>6.4714977317367663E-4</v>
      </c>
      <c r="AH96" s="949">
        <f>(kdegS.sd2*C.sdTS+kdegA.sd2*C.sdTA+kdegP.sd2*C.sdTP)*VOLUME.sdT*Molweight</f>
        <v>0</v>
      </c>
      <c r="AI96" s="163"/>
      <c r="AJ96" s="163"/>
      <c r="AK96" s="163"/>
      <c r="AL96" s="163"/>
      <c r="AM96" s="163"/>
      <c r="AN96" s="138">
        <f>AN95</f>
        <v>62.413169984959012</v>
      </c>
      <c r="AO96" s="949">
        <f>AO95</f>
        <v>62.404314441309957</v>
      </c>
      <c r="AP96" s="951">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25">
      <c r="A97" s="17"/>
      <c r="B97" s="159" t="s">
        <v>133</v>
      </c>
      <c r="C97" s="295">
        <f>M.s3RP*Molweight</f>
        <v>27543506.071440913</v>
      </c>
      <c r="D97" s="446">
        <f t="shared" si="30"/>
        <v>1.7713199555964006E-3</v>
      </c>
      <c r="E97" s="295">
        <f>M.s3CP*Molweight</f>
        <v>2380377.3346086442</v>
      </c>
      <c r="F97" s="998">
        <f t="shared" si="34"/>
        <v>8.0771211963577159E-6</v>
      </c>
      <c r="G97" s="296">
        <f>M.sMP*Molweight</f>
        <v>626969.30352182093</v>
      </c>
      <c r="H97" s="446">
        <f t="shared" si="31"/>
        <v>1.3217992605944718E-8</v>
      </c>
      <c r="I97" s="296">
        <f>M.sAP*Molweight</f>
        <v>3396.118083244342</v>
      </c>
      <c r="J97" s="446">
        <f t="shared" si="32"/>
        <v>1.0814524840608497E-10</v>
      </c>
      <c r="K97" s="296">
        <f>M.sTP*Molweight</f>
        <v>4594.4897827624018</v>
      </c>
      <c r="L97" s="461">
        <f t="shared" si="33"/>
        <v>3.927967588720209E-11</v>
      </c>
      <c r="M97" s="124">
        <f>C.s3RP*(Molweight*1000)/(FRACw.s3R*1000+(1-FRACa.s3R-FRACw.s3R)*RHOsolid)</f>
        <v>1.4176893201177092E-2</v>
      </c>
      <c r="N97" s="124">
        <f>C.s3CP*(Molweight*1000)/(FRACw.s3C*1000+(1-FRACa.s3C-FRACw.s3C)*RHOsolid)</f>
        <v>8.0337706924844306E-5</v>
      </c>
      <c r="O97" s="124">
        <f>C.sMP*(Molweight*1000)/(FRACw.sM*1000+(1-FRACa.sM-FRACw.sM)*RHOsolid)</f>
        <v>1.9017654374209319E-7</v>
      </c>
      <c r="P97" s="124">
        <f>C.sAP*(Molweight*1000)/(FRACw.sA*1000+(1-FRACa.sA-FRACw.sA)*RHOsolid)</f>
        <v>2.3502547288888173E-9</v>
      </c>
      <c r="Q97" s="124">
        <f>C.sTP*(Molweight*1000)/(FRACw.sT*1000+(1-FRACa.sT-FRACw.sT)*RHOsolid)</f>
        <v>1.4131456463705956E-9</v>
      </c>
      <c r="R97" s="160" t="s">
        <v>218</v>
      </c>
      <c r="S97" s="163"/>
      <c r="T97" s="163"/>
      <c r="U97" s="163"/>
      <c r="V97" s="163"/>
      <c r="W97" s="162"/>
      <c r="X97" s="166"/>
      <c r="Y97" s="156"/>
      <c r="Z97" s="17"/>
      <c r="AA97" s="312" t="s">
        <v>187</v>
      </c>
      <c r="AB97" s="162" t="s">
        <v>183</v>
      </c>
      <c r="AC97" s="948">
        <f>E.sTS*Molweight</f>
        <v>0</v>
      </c>
      <c r="AD97" s="163"/>
      <c r="AE97" s="163"/>
      <c r="AF97" s="138">
        <f>kleach.sT*(M.sTS+M.sTA)*Molweight</f>
        <v>4.4426684846042558E-5</v>
      </c>
      <c r="AG97" s="163">
        <f>(kdis.s1S.s1D*M.sTS+kdis.s1A.s1D*M.sTA+kdis.s1P.s1D*M.sTP)*Molweight</f>
        <v>2.9768387289548856E-9</v>
      </c>
      <c r="AH97" s="949">
        <f>(kdegS.s1*C.sTS+kdegA.s1*C.sTA+kdegP.s1*C.sTP)*VOLUME.sT*Molweight</f>
        <v>0</v>
      </c>
      <c r="AI97" s="163"/>
      <c r="AJ97" s="163"/>
      <c r="AK97" s="138">
        <f>((k.aTS.sTS*M.aTS+k.aTA.sTA*M.aTA+k.aTP.sTP*M.aTP)+(k.cwTS.sTS*M.cwTS+k.cwTA.sTA*M.cwTA+k.cwTP.sTP*M.cwTP))*Molweight</f>
        <v>6.6385006777617021E-3</v>
      </c>
      <c r="AL97" s="163"/>
      <c r="AM97" s="138">
        <f>AM94</f>
        <v>6.5940710160769279E-3</v>
      </c>
      <c r="AN97" s="163"/>
      <c r="AO97" s="162"/>
      <c r="AP97" s="951">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68.562618959304331</v>
      </c>
      <c r="BQ97" s="55">
        <f>AH27</f>
        <v>6.1629840767557288E-12</v>
      </c>
      <c r="BR97" s="86"/>
      <c r="BS97" s="84"/>
      <c r="BT97" s="113"/>
      <c r="BU97" s="113"/>
      <c r="BV97" s="142">
        <f>AC28</f>
        <v>0</v>
      </c>
      <c r="BW97" s="113"/>
      <c r="BX97" s="113"/>
      <c r="BY97" s="113"/>
      <c r="BZ97" s="113"/>
      <c r="CA97" s="113"/>
      <c r="CB97" s="113"/>
      <c r="CC97" s="113"/>
      <c r="CD97" s="113"/>
      <c r="CE97" s="2"/>
    </row>
    <row r="98" spans="1:83" ht="12.75" customHeight="1" thickBot="1" x14ac:dyDescent="0.25">
      <c r="A98" s="17"/>
      <c r="B98" s="158"/>
      <c r="C98" s="458"/>
      <c r="D98" s="460"/>
      <c r="E98" s="297"/>
      <c r="F98" s="460"/>
      <c r="G98" s="297"/>
      <c r="H98" s="460"/>
      <c r="I98" s="297"/>
      <c r="J98" s="460"/>
      <c r="K98" s="297"/>
      <c r="L98" s="462"/>
      <c r="M98" s="463"/>
      <c r="N98" s="463"/>
      <c r="O98" s="463"/>
      <c r="P98" s="463"/>
      <c r="Q98" s="463"/>
      <c r="R98" s="843"/>
      <c r="S98" s="357"/>
      <c r="T98" s="357"/>
      <c r="U98" s="357"/>
      <c r="V98" s="357"/>
      <c r="W98" s="843"/>
      <c r="X98" s="166"/>
      <c r="Y98" s="156"/>
      <c r="Z98" s="17"/>
      <c r="AA98" s="935"/>
      <c r="AB98" s="936"/>
      <c r="AC98" s="920">
        <f>SUM(AC60:AC97)</f>
        <v>0.95129375951293771</v>
      </c>
      <c r="AD98" s="921"/>
      <c r="AE98" s="921"/>
      <c r="AF98" s="922">
        <f>SUM(AF60:AF97)</f>
        <v>0.34722632099739192</v>
      </c>
      <c r="AG98" s="922"/>
      <c r="AH98" s="923">
        <f>SUM(AH60:AH97)</f>
        <v>0</v>
      </c>
      <c r="AI98" s="937"/>
      <c r="AJ98" s="938"/>
      <c r="AK98" s="938"/>
      <c r="AL98" s="937"/>
      <c r="AM98" s="937"/>
      <c r="AN98" s="937"/>
      <c r="AO98" s="486"/>
      <c r="AP98" s="939">
        <f>SUM(AP61:AP97)</f>
        <v>0</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189</v>
      </c>
      <c r="BQ98" s="113"/>
      <c r="BR98" s="113"/>
      <c r="BS98" s="113"/>
      <c r="BT98" s="113"/>
      <c r="BU98" s="113"/>
      <c r="BV98" s="113"/>
      <c r="BW98" s="113"/>
      <c r="BX98" s="113"/>
      <c r="BY98" s="113"/>
      <c r="BZ98" s="113"/>
      <c r="CA98" s="113"/>
      <c r="CB98" s="113"/>
      <c r="CC98" s="113"/>
      <c r="CD98" s="113"/>
      <c r="CE98" s="2"/>
    </row>
    <row r="99" spans="1:83" ht="12.75" customHeight="1" x14ac:dyDescent="0.2">
      <c r="A99" s="304"/>
      <c r="B99" s="771" t="s">
        <v>223</v>
      </c>
      <c r="C99" s="296">
        <f>SUM(C12,C20,C28,C36,C44,C52,C68,C76,C84,C92)</f>
        <v>215645509.2334334</v>
      </c>
      <c r="D99" s="446">
        <f>C99/$C$103</f>
        <v>1.386813983844961E-2</v>
      </c>
      <c r="E99" s="296">
        <f>SUM(E12,E20,E28,E36,E44,E52,E68,E76,E84,E92)</f>
        <v>285428234251.56409</v>
      </c>
      <c r="F99" s="446">
        <f>E99/$E$103</f>
        <v>0.96851806114651084</v>
      </c>
      <c r="G99" s="296">
        <f>SUM(G12,G52,G60,G68,G92)</f>
        <v>45977025813959.102</v>
      </c>
      <c r="H99" s="446">
        <f>G99/$G$103</f>
        <v>0.96930421288335</v>
      </c>
      <c r="I99" s="296">
        <f>SUM(I12,I52,I60,I68,I92)</f>
        <v>30441062219251.539</v>
      </c>
      <c r="J99" s="446">
        <f>I99/$I$103</f>
        <v>0.96935858964630439</v>
      </c>
      <c r="K99" s="296">
        <f>SUM(K12,K52,K60,K68,K92)</f>
        <v>113371237583444.66</v>
      </c>
      <c r="L99" s="461">
        <f>K99/$K$103</f>
        <v>0.96924482973411841</v>
      </c>
      <c r="M99" s="484">
        <f xml:space="preserve"> (M.aRG+M.w0RD+M.w1RD+M.w2RD+M.sd0RD+M.sd1RD+M.sd2RD+M.s1RD+M.s2RD+M.s3RD)*Molweight/(VOLUME.aR+VOLUME.cwR+VOLUME.w0R+VOLUME.w1R+VOLUME.w2R+VOLUME.sd0R+VOLUME.sd1R+VOLUME.sd2R+VOLUME.s1R+VOLUME.s2R+VOLUME.s3R)</f>
        <v>9.3886319903027723E-7</v>
      </c>
      <c r="N99" s="484">
        <f xml:space="preserve"> (M.aCG+M.w0CD+M.w1CD+M.w2CD+M.sd0CD+M.sd1CD+M.sd2CD+M.s1CD+M.s2CD+M.s3CD)*Molweight/(VOLUME.aC+VOLUME.cwC+VOLUME.w0C+VOLUME.w1C+VOLUME.w2C+VOLUME.sd0C+VOLUME.sd1C+VOLUME.sd2C+VOLUME.s1C+VOLUME.s2C+VOLUME.s3C)</f>
        <v>3.5931449088875169E-5</v>
      </c>
      <c r="O99" s="484">
        <f xml:space="preserve"> (M.aMG+M.w2MD+M.w3MD+M.sdMD+M.sMD)*Molweight/(VOLUME.aM+VOLUME.cwM+VOLUME.w2M+VOLUME.w3M+VOLUME.sdM+VOLUME.sM)</f>
        <v>2.3243069628727715E-4</v>
      </c>
      <c r="P99" s="484">
        <f xml:space="preserve"> (M.aAG+M.w2AD+M.w3AD+M.sdAD+M.sAD)*Molweight/(VOLUME.aA+VOLUME.cwA+VOLUME.w2A+VOLUME.w3A+VOLUME.sdA+VOLUME.sA)</f>
        <v>2.5043733248013609E-4</v>
      </c>
      <c r="Q99" s="484">
        <f xml:space="preserve"> (M.aTG+M.w2TD+M.w3TD+M.sdTD+M.sTD)*Molweight/(VOLUME.aT+VOLUME.cwT+VOLUME.w2T+VOLUME.w3T+VOLUME.sdT+VOLUME.sT)</f>
        <v>2.8049718587583284E-4</v>
      </c>
      <c r="R99" s="160" t="s">
        <v>139</v>
      </c>
      <c r="S99" s="163">
        <f>SUM(S12,S20,S36,S44,S52,S68,S76,S84,S92)</f>
        <v>4.3220016507679998E-6</v>
      </c>
      <c r="T99" s="163">
        <f>SUM(T12,T20,T36,T44,T52,T68,T76,T84,T92)</f>
        <v>1.3723948199571619E-7</v>
      </c>
      <c r="U99" s="163">
        <f>SUM(U12,U20,U36,U44,U52,U68,U76,U84,U92)</f>
        <v>1.9528582174550152E-9</v>
      </c>
      <c r="V99" s="163">
        <f>SUM(V12,V20,V36,V44,V52,V68,V76,V84,V92)</f>
        <v>1.4325319920650589E-10</v>
      </c>
      <c r="W99" s="777">
        <f>SUM(W12,W20,W36,W44,W52,W68,W76,W84,W92)</f>
        <v>9.6177339152250831E-11</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5.1492127165908754E-3</v>
      </c>
      <c r="BR99" s="113"/>
      <c r="BS99" s="113"/>
      <c r="BT99" s="113"/>
      <c r="BU99" s="113"/>
      <c r="BV99" s="2"/>
      <c r="BW99" s="113"/>
      <c r="BX99" s="2"/>
      <c r="BY99" s="113"/>
      <c r="BZ99" s="2"/>
      <c r="CA99" s="2"/>
      <c r="CB99" s="113"/>
      <c r="CC99" s="2"/>
      <c r="CD99" s="113"/>
      <c r="CE99" s="2"/>
    </row>
    <row r="100" spans="1:83" ht="12.75" customHeight="1" x14ac:dyDescent="0.2">
      <c r="A100" s="304"/>
      <c r="B100" s="771" t="s">
        <v>224</v>
      </c>
      <c r="C100" s="453">
        <f>SUM(C15,C23,C31,C39,C47,C55,C71,C79,C87,C95)</f>
        <v>9665.6942801245968</v>
      </c>
      <c r="D100" s="446">
        <f>C100/$C$103</f>
        <v>6.2159977450477905E-7</v>
      </c>
      <c r="E100" s="453">
        <f>SUM(E15,E23,E31,E39,E47,E55,E71,E79,E87,E95)</f>
        <v>776.29328025094401</v>
      </c>
      <c r="F100" s="446">
        <f>E100/$E$103</f>
        <v>2.6341264543824269E-9</v>
      </c>
      <c r="G100" s="453">
        <f>SUM(G15,G55,G71,G63,G95)</f>
        <v>18.312400687725571</v>
      </c>
      <c r="H100" s="446">
        <f>G100/$G$103</f>
        <v>3.8606862493552556E-13</v>
      </c>
      <c r="I100" s="453">
        <f>SUM(I15,I55,I71,I63,I95)</f>
        <v>0.1251953317852173</v>
      </c>
      <c r="J100" s="446">
        <f>I100/$I$103</f>
        <v>3.986693019301718E-15</v>
      </c>
      <c r="K100" s="453">
        <f>SUM(K15,K55,K71,K63,K95)</f>
        <v>0.20269333014345164</v>
      </c>
      <c r="L100" s="461">
        <f>K100/$K$103</f>
        <v>1.7328862809540307E-15</v>
      </c>
      <c r="M100" s="484">
        <f xml:space="preserve"> (M.aRS+M.cwRS+M.w0RS+M.w1RS+M.w2RS+M.sd0RS+M.sd1RS+M.sd2RS+M.s1RS+M.s2RS+M.s3RS)*Molweight/(VOLUME.aR+VOLUME.cwR+VOLUME.w0R+VOLUME.w1R+VOLUME.w2R+VOLUME.sd0R+VOLUME.sd1R+VOLUME.sd2R+VOLUME.s1R+VOLUME.s2R+VOLUME.s3R)</f>
        <v>4.2081862427578403E-11</v>
      </c>
      <c r="N100" s="484">
        <f xml:space="preserve"> (M.aCS+M.cwCS+M.w0CS+M.w1CS+M.w2CS+M.sd0CS+M.sd1CS+M.sd2CS+M.s1CS+M.s2CS+M.s3CS)*Molweight/(VOLUME.aC+VOLUME.cwC+VOLUME.w0C+VOLUME.w1C+VOLUME.w2C+VOLUME.sd0C+VOLUME.sd1C+VOLUME.sd2C+VOLUME.s1C+VOLUME.s2C+VOLUME.s3C)</f>
        <v>9.7724538535976499E-14</v>
      </c>
      <c r="O100" s="484">
        <f xml:space="preserve"> (M.aMS+M.cwMS+M.w2MS+M.w3MS+M.sdMS+M.sMS)*Molweight/(VOLUME.aM+VOLUME.cwM+VOLUME.w2M+VOLUME.w3M+VOLUME.sdM+VOLUME.sM)</f>
        <v>9.2575889092142847E-17</v>
      </c>
      <c r="P100" s="484">
        <f xml:space="preserve"> (M.aAS+M.cwAS+M.w2AS+M.w3AS+M.sdAS+M.sAS)*Molweight/(VOLUME.aA+VOLUME.cwA+VOLUME.w2A+VOLUME.w3A+VOLUME.sdA+VOLUME.sA)</f>
        <v>1.0299767040135273E-18</v>
      </c>
      <c r="Q100" s="484">
        <f xml:space="preserve"> (M.aTS+M.cwTS+M.w2TS+M.w3TS+M.sdTS+M.sTS)*Molweight/(VOLUME.aT+VOLUME.cwT+VOLUME.w2T+VOLUME.w3T+VOLUME.sdT+VOLUME.sT)</f>
        <v>5.0149323508259638E-19</v>
      </c>
      <c r="R100" s="160" t="s">
        <v>139</v>
      </c>
      <c r="S100" s="21"/>
      <c r="T100" s="21"/>
      <c r="U100" s="21"/>
      <c r="V100" s="21"/>
      <c r="W100" s="778"/>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2">
      <c r="A101" s="304"/>
      <c r="B101" s="772" t="s">
        <v>225</v>
      </c>
      <c r="C101" s="453">
        <f>SUM(C16,C24,C32,C40,C48,C56,C72,C80,C88,C96)</f>
        <v>16719999.342810001</v>
      </c>
      <c r="D101" s="446">
        <f>C101/$C$103</f>
        <v>1.0752613852666544E-3</v>
      </c>
      <c r="E101" s="453">
        <f>SUM(E16,E24,E32,E40,E48,E56,E72,E80,E88,E96)</f>
        <v>9206806829.1603832</v>
      </c>
      <c r="F101" s="446">
        <f>E101/$E$103</f>
        <v>3.1240632948980964E-2</v>
      </c>
      <c r="G101" s="453">
        <f>SUM(G16,G56,G64,G72,G96)</f>
        <v>1455783843856.6829</v>
      </c>
      <c r="H101" s="446">
        <f>G101/$G$103</f>
        <v>3.0691359171592519E-2</v>
      </c>
      <c r="I101" s="453">
        <f>SUM(I16,I56,I64,I72,I96)</f>
        <v>962173378163.35962</v>
      </c>
      <c r="J101" s="446">
        <f>I101/$I$103</f>
        <v>3.0639240580172727E-2</v>
      </c>
      <c r="K101" s="453">
        <f>SUM(K16,K56,K64,K72,K96)</f>
        <v>3596257370696.2065</v>
      </c>
      <c r="L101" s="461">
        <f>K101/$K$103</f>
        <v>3.0745486573479155E-2</v>
      </c>
      <c r="M101" s="484">
        <f xml:space="preserve"> (M.aRA+M.cwRA+M.w0RA+M.w1RA+M.w2RA+M.sd0RA+M.sd1RA+M.sd2RA+M.s1RA+M.s2RA+M.s3RA)*Molweight/(VOLUME.aR+VOLUME.cwR+VOLUME.w0R+VOLUME.w1R+VOLUME.w2R+VOLUME.sd0R+VOLUME.sd1R+VOLUME.sd2R+VOLUME.s1R+VOLUME.s2R+VOLUME.s3R)</f>
        <v>7.2794430668074243E-8</v>
      </c>
      <c r="N101" s="484">
        <f xml:space="preserve"> (M.aCA+M.cwCA+M.w0CA+M.w1CA+M.w2CA+M.sd0CA+M.sd1CA+M.sd2CA+M.s1CA+M.s2CA+M.s3CA)*Molweight/(VOLUME.aC+VOLUME.cwC+VOLUME.w0C+VOLUME.w1C+VOLUME.w2C+VOLUME.sd0C+VOLUME.sd1C+VOLUME.sd2C+VOLUME.s1C+VOLUME.s2C+VOLUME.s3C)</f>
        <v>1.1590090648198437E-6</v>
      </c>
      <c r="O101" s="484">
        <f xml:space="preserve"> (M.aMA+M.cwMA+M.w2MA+M.w3MA+M.sdMA+M.sMA)*Molweight/(VOLUME.aM+VOLUME.cwM+VOLUME.w2M+VOLUME.w3M+VOLUME.sdM+VOLUME.sM)</f>
        <v>7.359520249103308E-6</v>
      </c>
      <c r="P101" s="484">
        <f xml:space="preserve"> (M.aAA+M.cwAA+M.w2AA+M.w3AA+M.sdAA+M.sAA)*Molweight/(VOLUME.aA+VOLUME.cwA+VOLUME.w2A+VOLUME.w3A+VOLUME.sdA+VOLUME.sA)</f>
        <v>7.9157597220192419E-6</v>
      </c>
      <c r="Q101" s="484">
        <f xml:space="preserve"> (M.aTA+M.cwTA+M.w2TA+M.w3TA+M.sdTA+M.sTA)*Molweight/(VOLUME.aT+VOLUME.cwT+VOLUME.w2T+VOLUME.w3T+VOLUME.sdT+VOLUME.sT)</f>
        <v>8.8976718757528277E-6</v>
      </c>
      <c r="R101" s="160" t="s">
        <v>226</v>
      </c>
      <c r="S101" s="21"/>
      <c r="T101" s="21"/>
      <c r="U101" s="21"/>
      <c r="V101" s="21"/>
      <c r="W101" s="778"/>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2">
      <c r="A102" s="304"/>
      <c r="B102" s="772" t="s">
        <v>227</v>
      </c>
      <c r="C102" s="453">
        <f>SUM(C17,C25,C33,C41,C49,C57,C73,C81,C89,C97)</f>
        <v>15317331689.482986</v>
      </c>
      <c r="D102" s="446">
        <f>C102/$C$103</f>
        <v>0.98505597717650928</v>
      </c>
      <c r="E102" s="453">
        <f>SUM(E17,E25,E33,E41,E49,E57,E73,E81,E89,E97)</f>
        <v>71113559.103545725</v>
      </c>
      <c r="F102" s="446">
        <f>E102/$E$103</f>
        <v>2.4130327038176144E-4</v>
      </c>
      <c r="G102" s="453">
        <f>SUM(G17,G57,G65,G73,G97)</f>
        <v>210030786.78192335</v>
      </c>
      <c r="H102" s="446">
        <f>G102/$G$103</f>
        <v>4.4279446714692193E-6</v>
      </c>
      <c r="I102" s="453">
        <f>SUM(I17,I57,I65,I73,I97)</f>
        <v>68138056.850550711</v>
      </c>
      <c r="J102" s="446">
        <f>I102/$I$103</f>
        <v>2.169773518879314E-6</v>
      </c>
      <c r="K102" s="453">
        <f>SUM(K17,K57,K65,K73,K97)</f>
        <v>1132688210.6327603</v>
      </c>
      <c r="L102" s="461">
        <f>K102/$K$103</f>
        <v>9.6836924008043981E-6</v>
      </c>
      <c r="M102" s="484">
        <f xml:space="preserve"> (M.aRP+M.cwRP+M.w0RP+M.w1RP+M.w2RP+M.sd0RP+M.sd1RP+M.sd2RP+M.s1RP+M.s2RP+M.s3RP)*Molweight/(VOLUME.aR+VOLUME.cwR+VOLUME.w0R+VOLUME.w1R+VOLUME.w2R+VOLUME.sd0R+VOLUME.sd1R+VOLUME.sd2R+VOLUME.s1R+VOLUME.s2R+VOLUME.s3R)</f>
        <v>6.6687588727056343E-5</v>
      </c>
      <c r="N102" s="484">
        <f xml:space="preserve"> (M.aCP+M.cwCP+M.w0CP+M.w1CP+M.w2CP+M.sd0CP+M.sd1CP+M.sd2CP+M.s1CP+M.s2CP+M.s3CP)*Molweight/(VOLUME.aC+VOLUME.cwC+VOLUME.w0C+VOLUME.w1C+VOLUME.w2C+VOLUME.sd0C+VOLUME.sd1C+VOLUME.sd2C+VOLUME.s1C+VOLUME.s2C+VOLUME.s3C)</f>
        <v>8.9522090733522709E-9</v>
      </c>
      <c r="O102" s="484">
        <f xml:space="preserve"> (M.aMP+M.cwMP+M.w2MP+M.w3MP+M.sdMP+M.sMP)*Molweight/(VOLUME.aM+VOLUME.cwM+VOLUME.w2M+VOLUME.w3M+VOLUME.sdM+VOLUME.sM)</f>
        <v>1.0617825130973468E-9</v>
      </c>
      <c r="P102" s="484">
        <f xml:space="preserve"> (M.aAP+M.cwAP+M.w2AP+M.w3AP+M.sdAP+M.sAP)*Molweight/(VOLUME.aA+VOLUME.cwA+VOLUME.w2A+VOLUME.w3A+VOLUME.sdA+VOLUME.sA)</f>
        <v>5.6056891428841052E-10</v>
      </c>
      <c r="Q102" s="484">
        <f xml:space="preserve"> (M.aTP+M.cwTP+M.w2TP+M.w3TP+M.sdTP+M.sTP)*Molweight/(VOLUME.aT+VOLUME.cwT+VOLUME.w2T+VOLUME.w3T+VOLUME.sdT+VOLUME.sT)</f>
        <v>2.8024379227877206E-9</v>
      </c>
      <c r="R102" s="160" t="s">
        <v>226</v>
      </c>
      <c r="S102" s="21"/>
      <c r="T102" s="21"/>
      <c r="U102" s="21"/>
      <c r="V102" s="21"/>
      <c r="W102" s="778"/>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25">
      <c r="A103" s="304"/>
      <c r="B103" s="776" t="s">
        <v>228</v>
      </c>
      <c r="C103" s="775">
        <f>SUM(C99:C102)</f>
        <v>15549706863.75351</v>
      </c>
      <c r="D103" s="773"/>
      <c r="E103" s="775">
        <f>SUM(E99:E102)</f>
        <v>294706155416.12128</v>
      </c>
      <c r="F103" s="773"/>
      <c r="G103" s="775">
        <f>SUM(G99:G102)</f>
        <v>47433019688620.875</v>
      </c>
      <c r="H103" s="773"/>
      <c r="I103" s="775">
        <f>SUM(I99:I102)</f>
        <v>31403303735471.875</v>
      </c>
      <c r="J103" s="773"/>
      <c r="K103" s="775">
        <f>SUM(K99:K102)</f>
        <v>116968627642351.69</v>
      </c>
      <c r="L103" s="774"/>
      <c r="M103" s="769">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6.7699288438617111E-5</v>
      </c>
      <c r="N103" s="770">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3.7099410460492904E-5</v>
      </c>
      <c r="O103" s="770">
        <f xml:space="preserve"> (M.aMG+M.aMS+M.aMA+M.aMP+M.cwMS+M.cwMA+M.cwMP+M.w2MD+M.w2MS+M.w2MA+M.w2MP+M.w3MD+M.w3MS+M.w3MA+M.w3MP+M.sdMD+M.sdMS+M.sdMA+M.sdMP+M.sMD+M.sMS+M.sMA+M.sMP)*Molweight/(VOLUME.aM+VOLUME.cwM+VOLUME.w2M+VOLUME.w3M+VOLUME.sdM+VOLUME.sM)</f>
        <v>2.3979127831898615E-4</v>
      </c>
      <c r="P103" s="770">
        <f xml:space="preserve"> (M.aAG+M.aAS+M.aAA+M.aAP+M.cwAS+M.cwAA+M.cwAP+M.w2AD+M.w2AS+M.w2AA+M.w2AP+M.w3AD+M.w3AS+M.w3AA+M.w3AP+M.sdAD+M.sdAS+M.sdAA+M.sdAP+M.sAD+M.sAS+M.sAA+M.sAP)*Molweight/(VOLUME.aA+VOLUME.cwA+VOLUME.w2A+VOLUME.w3A+VOLUME.sdA+VOLUME.sA)</f>
        <v>2.5835365277107066E-4</v>
      </c>
      <c r="Q103" s="770">
        <f xml:space="preserve"> (M.aTG+M.aTS+M.aTA+M.aTP+M.cwTS+M.cwTA+M.cwTP+M.w2TD+M.w2TS+M.w2TA+M.w2TP+M.w3TD+M.w3TS+M.w3TA+M.w3TP+M.sdTD+M.sdTS+M.sdTA+M.sdTP+M.sTD+M.sTS+M.sTA+M.sTP)*Molweight/(VOLUME.aT+VOLUME.cwT+VOLUME.w2T+VOLUME.w3T+VOLUME.sdT+VOLUME.sT)</f>
        <v>2.8939766018950896E-4</v>
      </c>
      <c r="R103" s="486" t="s">
        <v>226</v>
      </c>
      <c r="S103" s="457"/>
      <c r="T103" s="457"/>
      <c r="U103" s="457"/>
      <c r="V103" s="457"/>
      <c r="W103" s="779"/>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1.3859876105886861</v>
      </c>
      <c r="BQ103" s="113"/>
      <c r="BR103" s="113"/>
      <c r="BS103" s="22">
        <f>AF26</f>
        <v>1.1509299929817745E-3</v>
      </c>
      <c r="BT103" s="113"/>
      <c r="BU103" s="113"/>
      <c r="BV103" s="113"/>
      <c r="BW103" s="22">
        <f>AF28</f>
        <v>1.3406115852616273E-4</v>
      </c>
      <c r="BX103" s="2"/>
      <c r="BY103" s="113"/>
      <c r="BZ103" s="22">
        <f>AF30</f>
        <v>4.9652280935615799E-5</v>
      </c>
      <c r="CA103" s="113"/>
      <c r="CB103" s="112">
        <f>AF29</f>
        <v>2.9794172434215399E-4</v>
      </c>
      <c r="CC103" s="113"/>
      <c r="CD103" s="113"/>
      <c r="CE103" s="2"/>
    </row>
    <row r="104" spans="1:83" ht="12.75" customHeight="1" x14ac:dyDescent="0.2">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2">
      <c r="A105" s="17"/>
      <c r="B105" s="98"/>
      <c r="C105" s="21"/>
      <c r="D105" s="21"/>
      <c r="E105" s="21"/>
      <c r="F105" s="21"/>
      <c r="G105" s="21"/>
      <c r="H105" s="21"/>
      <c r="I105" s="21"/>
      <c r="J105" s="21"/>
      <c r="K105" s="21"/>
      <c r="L105" s="21"/>
      <c r="M105" s="768">
        <f>C99/(VOLUME.aR+VOLUME.cwR+VOLUME.s1R+VOLUME.s2R+VOLUME.s3R+VOLUME.sd0R+VOLUME.sd1R+VOLUME.sd2R+VOLUME.w0R+VOLUME.w1R+VOLUME.w2R)</f>
        <v>9.3886319903027723E-7</v>
      </c>
      <c r="N105" s="768">
        <f>E99/(VOLUME.aC+VOLUME.cwC+VOLUME.s1C+VOLUME.s2C+VOLUME.s3C+VOLUME.sd0C+VOLUME.sd1C+VOLUME.sd2C+VOLUME.w0C+VOLUME.w1C+VOLUME.w2C)</f>
        <v>3.5931449088875169E-5</v>
      </c>
      <c r="O105" s="768">
        <f>G99/(VOLUME.aM+VOLUME.cwM+VOLUME.sdM+VOLUME.sM+VOLUME.w2M+VOLUME.w3M)</f>
        <v>2.3243069628727715E-4</v>
      </c>
      <c r="P105" s="768">
        <f>I99/(VOLUME.aA+VOLUME.cwA+VOLUME.sdA+VOLUME.sA+VOLUME.w2A+VOLUME.w3A)</f>
        <v>2.5043733248013609E-4</v>
      </c>
      <c r="Q105" s="768">
        <f>K99/(VOLUME.aT+VOLUME.cwT+VOLUME.sdT+VOLUME.sT+VOLUME.w2T+VOLUME.w3T)</f>
        <v>2.8049718587583279E-4</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2">
      <c r="A106" s="17"/>
      <c r="B106" s="98"/>
      <c r="C106" s="21"/>
      <c r="D106" s="21"/>
      <c r="E106" s="21"/>
      <c r="F106" s="21"/>
      <c r="G106" s="21"/>
      <c r="H106" s="21"/>
      <c r="I106" s="21"/>
      <c r="J106" s="21"/>
      <c r="K106" s="21"/>
      <c r="L106" s="21"/>
      <c r="M106" s="768">
        <f>C100/(VOLUME.aR+VOLUME.cwR+VOLUME.s1R+VOLUME.s2R+VOLUME.s3R+VOLUME.sd0R+VOLUME.sd1R+VOLUME.sd2R+VOLUME.w0R+VOLUME.w1R+VOLUME.w2R)</f>
        <v>4.2081862427578403E-11</v>
      </c>
      <c r="N106" s="768">
        <f>E100/(VOLUME.aC+VOLUME.cwC+VOLUME.s1C+VOLUME.s2C+VOLUME.s3C+VOLUME.sd0C+VOLUME.sd1C+VOLUME.sd2C+VOLUME.w0C+VOLUME.w1C+VOLUME.w2C)</f>
        <v>9.7724538535976499E-14</v>
      </c>
      <c r="O106" s="768">
        <f>G100/(VOLUME.aM+VOLUME.cwM+VOLUME.sdM+VOLUME.sM+VOLUME.w2M+VOLUME.w3M)</f>
        <v>9.2575889092142872E-17</v>
      </c>
      <c r="P106" s="768">
        <f>I100/(VOLUME.aA+VOLUME.cwA+VOLUME.sdA+VOLUME.sA+VOLUME.w2A+VOLUME.w3A)</f>
        <v>1.0299767040135273E-18</v>
      </c>
      <c r="Q106" s="768">
        <f>K100/(VOLUME.aT+VOLUME.cwT+VOLUME.sdT+VOLUME.sT+VOLUME.w2T+VOLUME.w3T)</f>
        <v>5.0149323508259638E-19</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192</v>
      </c>
      <c r="BO106" s="117"/>
      <c r="BP106" s="117"/>
      <c r="BQ106" s="117"/>
      <c r="BR106" s="118"/>
      <c r="BS106" s="2"/>
      <c r="BT106" s="127" t="s">
        <v>193</v>
      </c>
      <c r="BU106" s="117"/>
      <c r="BV106" s="117"/>
      <c r="BW106" s="125"/>
      <c r="BX106" s="126"/>
      <c r="BY106" s="2"/>
      <c r="BZ106" s="2"/>
      <c r="CA106" s="2"/>
      <c r="CB106" s="2"/>
      <c r="CC106" s="2"/>
      <c r="CD106" s="2"/>
      <c r="CE106" s="2"/>
    </row>
    <row r="107" spans="1:83" ht="12.75" customHeight="1" x14ac:dyDescent="0.2">
      <c r="A107" s="17"/>
      <c r="B107" s="98"/>
      <c r="C107" s="21"/>
      <c r="D107" s="21"/>
      <c r="E107" s="21"/>
      <c r="F107" s="21"/>
      <c r="G107" s="21"/>
      <c r="H107" s="21"/>
      <c r="I107" s="21"/>
      <c r="J107" s="21"/>
      <c r="K107" s="21"/>
      <c r="L107" s="21"/>
      <c r="M107" s="768">
        <f>C101/(VOLUME.aR+VOLUME.cwR+VOLUME.s1R+VOLUME.s2R+VOLUME.s3R+VOLUME.sd0R+VOLUME.sd1R+VOLUME.sd2R+VOLUME.w0R+VOLUME.w1R+VOLUME.w2R)</f>
        <v>7.2794430668074243E-8</v>
      </c>
      <c r="N107" s="768">
        <f>E101/(VOLUME.aC+VOLUME.cwC+VOLUME.s1C+VOLUME.s2C+VOLUME.s3C+VOLUME.sd0C+VOLUME.sd1C+VOLUME.sd2C+VOLUME.w0C+VOLUME.w1C+VOLUME.w2C)</f>
        <v>1.1590090648198437E-6</v>
      </c>
      <c r="O107" s="768">
        <f>G101/(VOLUME.aM+VOLUME.cwM+VOLUME.sdM+VOLUME.sM+VOLUME.w2M+VOLUME.w3M)</f>
        <v>7.3595202491033089E-6</v>
      </c>
      <c r="P107" s="768">
        <f>I101/(VOLUME.aA+VOLUME.cwA+VOLUME.sdA+VOLUME.sA+VOLUME.w2A+VOLUME.w3A)</f>
        <v>7.9157597220192419E-6</v>
      </c>
      <c r="Q107" s="768">
        <f>K101/(VOLUME.aT+VOLUME.cwT+VOLUME.sdT+VOLUME.sT+VOLUME.w2T+VOLUME.w3T)</f>
        <v>8.8976718757528277E-6</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194</v>
      </c>
      <c r="BP107" s="2"/>
      <c r="BQ107" s="113"/>
      <c r="BR107" s="121"/>
      <c r="BS107" s="2"/>
      <c r="BT107" s="88" t="s">
        <v>195</v>
      </c>
      <c r="BU107" s="2"/>
      <c r="BV107" s="2"/>
      <c r="BW107" s="89">
        <f>N12</f>
        <v>2.7434682541411384E-9</v>
      </c>
      <c r="BX107" s="120" t="s">
        <v>118</v>
      </c>
      <c r="BY107" s="2"/>
      <c r="BZ107" s="2"/>
      <c r="CA107" s="2"/>
      <c r="CB107" s="2"/>
      <c r="CC107" s="2"/>
      <c r="CD107" s="2"/>
      <c r="CE107" s="2"/>
    </row>
    <row r="108" spans="1:83" ht="12.75" customHeight="1" x14ac:dyDescent="0.2">
      <c r="A108" s="17"/>
      <c r="B108" s="98"/>
      <c r="C108" s="21"/>
      <c r="D108" s="21"/>
      <c r="E108" s="21"/>
      <c r="F108" s="21"/>
      <c r="G108" s="21"/>
      <c r="H108" s="21"/>
      <c r="I108" s="21"/>
      <c r="J108" s="21"/>
      <c r="K108" s="21"/>
      <c r="L108" s="21"/>
      <c r="M108" s="768">
        <f>C102/(VOLUME.aR+VOLUME.cwR+VOLUME.s1R+VOLUME.s2R+VOLUME.s3R+VOLUME.sd0R+VOLUME.sd1R+VOLUME.sd2R+VOLUME.w0R+VOLUME.w1R+VOLUME.w2R)</f>
        <v>6.6687588727056343E-5</v>
      </c>
      <c r="N108" s="768">
        <f>E102/(VOLUME.aC+VOLUME.cwC+VOLUME.s1C+VOLUME.s2C+VOLUME.s3C+VOLUME.sd0C+VOLUME.sd1C+VOLUME.sd2C+VOLUME.w0C+VOLUME.w1C+VOLUME.w2C)</f>
        <v>8.9522090733522692E-9</v>
      </c>
      <c r="O108" s="768">
        <f>G102/(VOLUME.aM+VOLUME.cwM+VOLUME.sdM+VOLUME.sM+VOLUME.w2M+VOLUME.w3M)</f>
        <v>1.061782513097347E-9</v>
      </c>
      <c r="P108" s="768">
        <f>I102/(VOLUME.aA+VOLUME.cwA+VOLUME.sdA+VOLUME.sA+VOLUME.w2A+VOLUME.w3A)</f>
        <v>5.6056891428841031E-10</v>
      </c>
      <c r="Q108" s="768">
        <f>K102/(VOLUME.aT+VOLUME.cwT+VOLUME.sdT+VOLUME.sT+VOLUME.w2T+VOLUME.w3T)</f>
        <v>2.8024379227877206E-9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2">
      <c r="A109" s="17"/>
      <c r="B109" s="98"/>
      <c r="C109" s="21"/>
      <c r="D109" s="21"/>
      <c r="E109" s="21"/>
      <c r="F109" s="21"/>
      <c r="G109" s="21"/>
      <c r="H109" s="21"/>
      <c r="I109" s="21"/>
      <c r="J109" s="21"/>
      <c r="K109" s="21"/>
      <c r="L109" s="21"/>
      <c r="M109" s="768">
        <f>C103/(VOLUME.aR+VOLUME.cwR+VOLUME.s1R+VOLUME.s2R+VOLUME.s3R+VOLUME.sd0R+VOLUME.sd1R+VOLUME.sd2R+VOLUME.w0R+VOLUME.w1R+VOLUME.w2R)</f>
        <v>6.7699288438617124E-5</v>
      </c>
      <c r="N109" s="768">
        <f>E103/(VOLUME.aC+VOLUME.cwC+VOLUME.s1C+VOLUME.s2C+VOLUME.s3C+VOLUME.sd0C+VOLUME.sd1C+VOLUME.sd2C+VOLUME.w0C+VOLUME.w1C+VOLUME.w2C)</f>
        <v>3.7099410460492904E-5</v>
      </c>
      <c r="O109" s="768">
        <f>G103/(VOLUME.aM+VOLUME.cwM+VOLUME.sdM+VOLUME.sM+VOLUME.w2M+VOLUME.w3M)</f>
        <v>2.3979127831898613E-4</v>
      </c>
      <c r="P109" s="768">
        <f>I103/(VOLUME.aA+VOLUME.cwA+VOLUME.sdA+VOLUME.sA+VOLUME.w2A+VOLUME.w3A)</f>
        <v>2.5835365277107066E-4</v>
      </c>
      <c r="Q109" s="768">
        <f>K103/(VOLUME.aT+VOLUME.cwT+VOLUME.sdT+VOLUME.sT+VOLUME.w2T+VOLUME.w3T)</f>
        <v>2.893976601895089E-4</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229</v>
      </c>
      <c r="BP109" s="2"/>
      <c r="BQ109" s="2"/>
      <c r="BR109" s="120"/>
      <c r="BS109" s="2"/>
      <c r="BT109" s="90" t="s">
        <v>197</v>
      </c>
      <c r="BU109" s="113"/>
      <c r="BV109" s="113"/>
      <c r="BW109" s="89">
        <f>N20</f>
        <v>8.6419787315145752E-8</v>
      </c>
      <c r="BX109" s="304" t="s">
        <v>139</v>
      </c>
      <c r="BY109" s="2"/>
      <c r="BZ109" s="2"/>
      <c r="CA109" s="2"/>
      <c r="CB109" s="2"/>
      <c r="CC109" s="2"/>
      <c r="CD109" s="2"/>
      <c r="CE109" s="2"/>
    </row>
    <row r="110" spans="1:83" ht="12.75" customHeight="1" x14ac:dyDescent="0.2">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198</v>
      </c>
      <c r="BU110" s="2"/>
      <c r="BV110" s="2"/>
      <c r="BW110" s="89">
        <f>N36</f>
        <v>3.4911555828733991E-6</v>
      </c>
      <c r="BX110" s="120" t="s">
        <v>139</v>
      </c>
      <c r="BY110" s="2"/>
      <c r="BZ110" s="2"/>
      <c r="CA110" s="2"/>
      <c r="CB110" s="2"/>
      <c r="CC110" s="2"/>
      <c r="CD110" s="2"/>
      <c r="CE110" s="2"/>
    </row>
    <row r="111" spans="1:83" ht="12.75" customHeight="1" x14ac:dyDescent="0.2">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199</v>
      </c>
      <c r="BP111" s="2"/>
      <c r="BQ111" s="2"/>
      <c r="BR111" s="120"/>
      <c r="BS111" s="2"/>
      <c r="BT111" s="90" t="s">
        <v>200</v>
      </c>
      <c r="BU111" s="2"/>
      <c r="BV111" s="2"/>
      <c r="BW111" s="89">
        <f>N52</f>
        <v>3.8223974960670812E-4</v>
      </c>
      <c r="BX111" s="120" t="s">
        <v>139</v>
      </c>
      <c r="BY111" s="2"/>
      <c r="BZ111" s="2"/>
      <c r="CA111" s="2"/>
      <c r="CB111" s="2"/>
      <c r="CC111" s="2"/>
      <c r="CD111" s="2"/>
      <c r="CE111" s="2"/>
    </row>
    <row r="112" spans="1:83" ht="12.75" customHeight="1" x14ac:dyDescent="0.2">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2">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203</v>
      </c>
      <c r="BP113" s="2"/>
      <c r="BQ113" s="2"/>
      <c r="BR113" s="120"/>
      <c r="BS113" s="2"/>
      <c r="BT113" s="90" t="s">
        <v>204</v>
      </c>
      <c r="BU113" s="2"/>
      <c r="BV113" s="2"/>
      <c r="BW113" s="89">
        <f>N44</f>
        <v>1.0710823981116269E-4</v>
      </c>
      <c r="BX113" s="120" t="s">
        <v>156</v>
      </c>
      <c r="BY113" s="2"/>
      <c r="BZ113" s="2"/>
      <c r="CA113" s="2"/>
      <c r="CB113" s="2"/>
      <c r="CC113" s="2"/>
      <c r="CD113" s="2"/>
      <c r="CE113" s="2"/>
    </row>
    <row r="114" spans="1:83" ht="12.75" customHeight="1" x14ac:dyDescent="0.2">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205</v>
      </c>
      <c r="BU114" s="2"/>
      <c r="BV114" s="2"/>
      <c r="BW114" s="89">
        <f>N68</f>
        <v>1.0478341063986447E-2</v>
      </c>
      <c r="BX114" s="120" t="s">
        <v>156</v>
      </c>
      <c r="BY114" s="2"/>
      <c r="BZ114" s="2"/>
      <c r="CA114" s="2"/>
      <c r="CB114" s="2"/>
      <c r="CC114" s="2"/>
      <c r="CD114" s="2"/>
      <c r="CE114" s="2"/>
    </row>
    <row r="115" spans="1:83" ht="12.75" customHeight="1" x14ac:dyDescent="0.2">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206</v>
      </c>
      <c r="BP115" s="2"/>
      <c r="BQ115" s="2"/>
      <c r="BR115" s="120"/>
      <c r="BS115" s="2"/>
      <c r="BT115" s="119"/>
      <c r="BU115" s="2"/>
      <c r="BV115" s="2"/>
      <c r="BW115" s="89"/>
      <c r="BX115" s="120"/>
      <c r="BY115" s="2"/>
      <c r="BZ115" s="2"/>
      <c r="CA115" s="2"/>
      <c r="CB115" s="2"/>
      <c r="CC115" s="2"/>
      <c r="CD115" s="2"/>
      <c r="CE115" s="2"/>
    </row>
    <row r="116" spans="1:83" ht="12.75" customHeight="1" x14ac:dyDescent="0.2">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207</v>
      </c>
      <c r="BU116" s="2"/>
      <c r="BV116" s="2"/>
      <c r="BW116" s="89">
        <f>N76</f>
        <v>5.3256379294568138E-5</v>
      </c>
      <c r="BX116" s="120" t="s">
        <v>156</v>
      </c>
      <c r="BY116" s="2"/>
      <c r="BZ116" s="2"/>
      <c r="CA116" s="2"/>
      <c r="CB116" s="2"/>
      <c r="CC116" s="2"/>
      <c r="CD116" s="2"/>
      <c r="CE116" s="2"/>
    </row>
    <row r="117" spans="1:83" ht="12.75" customHeight="1" x14ac:dyDescent="0.2">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77</v>
      </c>
      <c r="BP117" s="2"/>
      <c r="BQ117" s="2"/>
      <c r="BR117" s="120"/>
      <c r="BS117" s="2"/>
      <c r="BT117" s="88" t="s">
        <v>208</v>
      </c>
      <c r="BU117" s="2"/>
      <c r="BV117" s="2"/>
      <c r="BW117" s="89">
        <f>N84</f>
        <v>2.9261013112395003E-5</v>
      </c>
      <c r="BX117" s="120" t="s">
        <v>156</v>
      </c>
      <c r="BY117" s="2"/>
      <c r="BZ117" s="2"/>
      <c r="CA117" s="2"/>
      <c r="CB117" s="2"/>
      <c r="CC117" s="2"/>
      <c r="CD117" s="2"/>
      <c r="CE117" s="2"/>
    </row>
    <row r="118" spans="1:83" ht="12.75" customHeight="1" x14ac:dyDescent="0.2">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209</v>
      </c>
      <c r="BU118" s="2"/>
      <c r="BV118" s="2"/>
      <c r="BW118" s="89">
        <f>N92</f>
        <v>5.3256379294568131E-5</v>
      </c>
      <c r="BX118" s="120" t="s">
        <v>156</v>
      </c>
      <c r="BY118" s="2"/>
      <c r="BZ118" s="2"/>
      <c r="CA118" s="2"/>
      <c r="CB118" s="2"/>
      <c r="CC118" s="2"/>
      <c r="CD118" s="2"/>
      <c r="CE118" s="2"/>
    </row>
    <row r="119" spans="1:83" ht="12.75" customHeight="1" x14ac:dyDescent="0.2">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213</v>
      </c>
      <c r="BP119" s="2"/>
      <c r="BQ119" s="2"/>
      <c r="BR119" s="120"/>
      <c r="BS119" s="2"/>
      <c r="BT119" s="92"/>
      <c r="BU119" s="80"/>
      <c r="BV119" s="80"/>
      <c r="BW119" s="93"/>
      <c r="BX119" s="122"/>
      <c r="BY119" s="2"/>
      <c r="BZ119" s="2"/>
      <c r="CA119" s="2"/>
      <c r="CB119" s="2"/>
      <c r="CC119" s="2"/>
      <c r="CD119" s="2"/>
      <c r="CE119" s="2"/>
    </row>
    <row r="120" spans="1:83" ht="12.75" customHeight="1" x14ac:dyDescent="0.2">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2">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2">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2">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2">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2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230</v>
      </c>
      <c r="BO125" s="5"/>
      <c r="BP125" s="5"/>
      <c r="BQ125" s="2"/>
      <c r="BR125" s="2"/>
      <c r="BS125" s="2"/>
      <c r="BT125" s="2"/>
      <c r="BU125" s="2"/>
      <c r="BV125" s="2"/>
      <c r="BW125" s="5"/>
      <c r="BX125" s="2"/>
      <c r="BY125" s="2"/>
      <c r="BZ125" s="2"/>
      <c r="CA125" s="2"/>
      <c r="CB125" s="2"/>
      <c r="CC125" s="2"/>
      <c r="CD125" s="2"/>
      <c r="CE125" s="2"/>
    </row>
    <row r="126" spans="1:83" ht="12.75" customHeight="1" x14ac:dyDescent="0.2">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231</v>
      </c>
      <c r="BO126" s="75" t="s">
        <v>232</v>
      </c>
      <c r="BP126" s="2"/>
      <c r="BQ126" s="113"/>
      <c r="BR126" s="113"/>
      <c r="BS126" s="114">
        <f>AF32</f>
        <v>1.1093270018193984E-6</v>
      </c>
      <c r="BT126" s="75"/>
      <c r="BU126" s="75" t="s">
        <v>233</v>
      </c>
      <c r="BV126" s="2"/>
      <c r="BW126" s="113"/>
      <c r="BX126" s="113"/>
      <c r="BY126" s="114">
        <f>AF38</f>
        <v>4.8313760703381726E-8</v>
      </c>
      <c r="BZ126" s="75"/>
      <c r="CA126" s="75" t="s">
        <v>234</v>
      </c>
      <c r="CB126" s="2"/>
      <c r="CC126" s="113"/>
      <c r="CD126" s="113"/>
      <c r="CE126" s="114">
        <f>AF44</f>
        <v>8.5881576663080325E-8</v>
      </c>
    </row>
    <row r="127" spans="1:83" ht="12.75" customHeight="1" x14ac:dyDescent="0.2">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2">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2">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2">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2">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2">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72</v>
      </c>
      <c r="BR132" s="77">
        <f>IF(ISERROR(H12),0,H12)</f>
        <v>6.3842694281932699E-11</v>
      </c>
      <c r="BS132" s="339"/>
      <c r="BT132" s="2"/>
      <c r="BU132" s="106"/>
      <c r="BV132" s="113"/>
      <c r="BW132" s="76" t="s">
        <v>72</v>
      </c>
      <c r="BX132" s="77">
        <f>IF(ISERROR(J12),0,J12)</f>
        <v>4.1997931459834525E-12</v>
      </c>
      <c r="BY132" s="113"/>
      <c r="BZ132" s="2"/>
      <c r="CA132" s="106"/>
      <c r="CB132" s="113"/>
      <c r="CC132" s="76" t="s">
        <v>72</v>
      </c>
      <c r="CD132" s="77">
        <f>IF(ISERROR(L12),0,L12)</f>
        <v>2.0043013114789972E-12</v>
      </c>
      <c r="CE132" s="113"/>
    </row>
    <row r="133" spans="1:83" ht="12.75" customHeight="1" x14ac:dyDescent="0.2">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2">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235</v>
      </c>
      <c r="BO134" s="344">
        <f>AD32</f>
        <v>2.7476559514547676E-2</v>
      </c>
      <c r="BP134" s="339"/>
      <c r="BQ134" s="339">
        <f>AH32</f>
        <v>1.1532692005520774E-29</v>
      </c>
      <c r="BR134" s="339"/>
      <c r="BS134" s="339"/>
      <c r="BT134" s="308" t="s">
        <v>236</v>
      </c>
      <c r="BU134" s="301">
        <f>AD38</f>
        <v>1.1486853922007955E-3</v>
      </c>
      <c r="BV134" s="113"/>
      <c r="BW134" s="55">
        <f>AH38</f>
        <v>4.2004571652223257E-31</v>
      </c>
      <c r="BX134" s="113"/>
      <c r="BY134" s="113"/>
      <c r="BZ134" s="308" t="s">
        <v>236</v>
      </c>
      <c r="CA134" s="301">
        <f>AD44</f>
        <v>1.9895814612039603E-3</v>
      </c>
      <c r="CB134" s="113"/>
      <c r="CC134" s="55">
        <f>AH44</f>
        <v>3.9336282775745054E-30</v>
      </c>
      <c r="CD134" s="113"/>
      <c r="CE134" s="113"/>
    </row>
    <row r="135" spans="1:83" ht="12.75" customHeight="1" x14ac:dyDescent="0.2">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3.526613570210058E-3</v>
      </c>
      <c r="BO135" s="344" t="s">
        <v>235</v>
      </c>
      <c r="BP135" s="339"/>
      <c r="BQ135" s="339"/>
      <c r="BR135" s="339"/>
      <c r="BS135" s="347">
        <f>k.sM.aM*M.sM*Molweight</f>
        <v>2.5271332475873139E-20</v>
      </c>
      <c r="BT135" s="131">
        <f>AE38</f>
        <v>9.1311152811263067E-5</v>
      </c>
      <c r="BU135" s="128" t="s">
        <v>236</v>
      </c>
      <c r="BV135" s="113"/>
      <c r="BW135" s="113"/>
      <c r="BX135" s="113"/>
      <c r="BY135" s="347">
        <f>k.sA.aA*M.sA*Molweight</f>
        <v>5.5153021420836377E-27</v>
      </c>
      <c r="BZ135" s="131">
        <f>AE44</f>
        <v>9.3711386478093924E-5</v>
      </c>
      <c r="CA135" s="128" t="s">
        <v>236</v>
      </c>
      <c r="CB135" s="113"/>
      <c r="CC135" s="113"/>
      <c r="CD135" s="113"/>
      <c r="CE135" s="347">
        <f>k.sT.aT*M.sT*Molweight</f>
        <v>5.7257024402981306E-19</v>
      </c>
    </row>
    <row r="136" spans="1:83" ht="12.75" customHeight="1" x14ac:dyDescent="0.2">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1.0906282172366976E-15</v>
      </c>
      <c r="BQ136" s="339"/>
      <c r="BR136" s="339"/>
      <c r="BS136" s="339"/>
      <c r="BT136" s="2"/>
      <c r="BU136" s="113"/>
      <c r="BV136" s="345">
        <f>k.w2A.aA*M.w2A*Molweight</f>
        <v>1.9458256017099242E-21</v>
      </c>
      <c r="BW136" s="113"/>
      <c r="BX136" s="113"/>
      <c r="BY136" s="113"/>
      <c r="BZ136" s="2"/>
      <c r="CA136" s="113"/>
      <c r="CB136" s="345">
        <f>k.w2T.aT*M.w2T*Molweight</f>
        <v>2.2188663544781035E-12</v>
      </c>
      <c r="CC136" s="113"/>
      <c r="CD136" s="113"/>
      <c r="CE136" s="113"/>
    </row>
    <row r="137" spans="1:83" ht="12.75" customHeight="1" x14ac:dyDescent="0.2">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2">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2">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1.189476353063665E-2</v>
      </c>
      <c r="BR139" s="339"/>
      <c r="BS139" s="347">
        <f>IF(AK36&lt;0,"",AK36)</f>
        <v>1.1974418308666697E-2</v>
      </c>
      <c r="BT139" s="2"/>
      <c r="BU139" s="113"/>
      <c r="BV139" s="2"/>
      <c r="BW139" s="306">
        <f>AM39</f>
        <v>4.2014728479089004E-4</v>
      </c>
      <c r="BX139" s="113"/>
      <c r="BY139" s="138">
        <f>IF(AK42&lt;0,"",AK42)</f>
        <v>4.2293037025145858E-4</v>
      </c>
      <c r="BZ139" s="2"/>
      <c r="CA139" s="113"/>
      <c r="CB139" s="2"/>
      <c r="CC139" s="306">
        <f>AM45</f>
        <v>5.6494226639328213E-4</v>
      </c>
      <c r="CD139" s="113"/>
      <c r="CE139" s="138">
        <f>IF(AK48&lt;0,"",AK48)</f>
        <v>5.6873525860997004E-4</v>
      </c>
    </row>
    <row r="140" spans="1:83" ht="12.75" customHeight="1" x14ac:dyDescent="0.2">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1.1974418308670194E-2</v>
      </c>
      <c r="BQ140" s="339"/>
      <c r="BR140" s="339"/>
      <c r="BS140" s="339"/>
      <c r="BT140" s="2"/>
      <c r="BU140" s="307">
        <f>AC39</f>
        <v>0</v>
      </c>
      <c r="BV140" s="136">
        <f>IF(AI39&lt;0,"",AI39)</f>
        <v>6.3439555537737077E-4</v>
      </c>
      <c r="BW140" s="2"/>
      <c r="BX140" s="113"/>
      <c r="BY140" s="113"/>
      <c r="BZ140" s="2"/>
      <c r="CA140" s="307">
        <f>AC45</f>
        <v>0</v>
      </c>
      <c r="CB140" s="136">
        <f>IF(AI45&lt;0,"",AI45)</f>
        <v>1.3270489367581001E-3</v>
      </c>
      <c r="CC140" s="2"/>
      <c r="CD140" s="113"/>
      <c r="CE140" s="113"/>
    </row>
    <row r="141" spans="1:83" ht="12.75" customHeight="1" x14ac:dyDescent="0.2">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435673.78052230831</v>
      </c>
      <c r="BP141" s="339"/>
      <c r="BQ141" s="342" t="s">
        <v>237</v>
      </c>
      <c r="BR141" s="339"/>
      <c r="BS141" s="339"/>
      <c r="BT141" s="2"/>
      <c r="BU141" s="134">
        <f>AD39</f>
        <v>319805.22465864825</v>
      </c>
      <c r="BV141" s="113"/>
      <c r="BW141" s="98" t="s">
        <v>237</v>
      </c>
      <c r="BX141" s="113"/>
      <c r="BY141" s="113"/>
      <c r="BZ141" s="2"/>
      <c r="CA141" s="134">
        <f>AD45</f>
        <v>832626.45866879006</v>
      </c>
      <c r="CB141" s="113"/>
      <c r="CC141" s="98" t="s">
        <v>237</v>
      </c>
      <c r="CD141" s="113"/>
      <c r="CE141" s="113"/>
    </row>
    <row r="142" spans="1:83" ht="12.75" customHeight="1" x14ac:dyDescent="0.2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435673.80907239241</v>
      </c>
      <c r="BO142" s="339"/>
      <c r="BP142" s="349"/>
      <c r="BQ142" s="96">
        <f>IF(ISERROR(H52),0,H52)</f>
        <v>3.1257084399080877E-2</v>
      </c>
      <c r="BR142" s="339"/>
      <c r="BS142" s="339"/>
      <c r="BT142" s="131">
        <f>AE39</f>
        <v>319805.22945600899</v>
      </c>
      <c r="BU142" s="113"/>
      <c r="BV142" s="97"/>
      <c r="BW142" s="96">
        <f>IF(ISERROR(J52),0,J52)</f>
        <v>3.78212937008904E-2</v>
      </c>
      <c r="BX142" s="123"/>
      <c r="BY142" s="113"/>
      <c r="BZ142" s="131">
        <f>AE45</f>
        <v>832626.47134872479</v>
      </c>
      <c r="CA142" s="113"/>
      <c r="CB142" s="97"/>
      <c r="CC142" s="96">
        <f>IF(ISERROR(L52),0,L52)</f>
        <v>2.9167549986836763E-2</v>
      </c>
      <c r="CD142" s="123"/>
      <c r="CE142" s="113"/>
    </row>
    <row r="143" spans="1:83" ht="12.75" customHeight="1" x14ac:dyDescent="0.2">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369337.85998352175</v>
      </c>
      <c r="BQ143" s="339">
        <f>AH33</f>
        <v>6.0169674930074963E-9</v>
      </c>
      <c r="BR143" s="339"/>
      <c r="BS143" s="339"/>
      <c r="BT143" s="2"/>
      <c r="BU143" s="113"/>
      <c r="BV143" s="350">
        <f>k.w3A.w2A*M.w3A*Molweight</f>
        <v>262466.227119466</v>
      </c>
      <c r="BW143" s="2">
        <f>AH39</f>
        <v>1.049045090174165E-9</v>
      </c>
      <c r="BX143" s="113"/>
      <c r="BY143" s="113"/>
      <c r="BZ143" s="2"/>
      <c r="CA143" s="113"/>
      <c r="CB143" s="350">
        <f>k.w3T.w2T*M.w3T*Molweight</f>
        <v>832626.45866879006</v>
      </c>
      <c r="CC143" s="2">
        <f>AH45</f>
        <v>3.4092336454252824E-8</v>
      </c>
      <c r="CD143" s="113"/>
      <c r="CE143" s="113"/>
    </row>
    <row r="144" spans="1:83" ht="12.75" customHeight="1" x14ac:dyDescent="0.2">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2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369337.71380822425</v>
      </c>
      <c r="BQ145" s="351"/>
      <c r="BR145" s="339"/>
      <c r="BS145" s="339"/>
      <c r="BT145" s="2"/>
      <c r="BU145" s="113"/>
      <c r="BV145" s="350">
        <f>k.w2A.w3A*M.w2A*Molweight</f>
        <v>319805.22945600899</v>
      </c>
      <c r="BW145" s="78"/>
      <c r="BX145" s="2"/>
      <c r="BY145" s="113"/>
      <c r="BZ145" s="2"/>
      <c r="CA145" s="113"/>
      <c r="CB145" s="350">
        <f>k.w2T.w3T*M.w2T*Molweight</f>
        <v>775287.17229578388</v>
      </c>
      <c r="CC145" s="78"/>
      <c r="CD145" s="2"/>
      <c r="CE145" s="113"/>
    </row>
    <row r="146" spans="1:83" ht="12.75" customHeight="1" x14ac:dyDescent="0.2">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2">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238</v>
      </c>
      <c r="BR147" s="342" t="s">
        <v>239</v>
      </c>
      <c r="BS147" s="77">
        <f>IF(ISERROR(H92),0,H92)</f>
        <v>5.3421838845763306E-8</v>
      </c>
      <c r="BT147" s="2"/>
      <c r="BU147" s="2"/>
      <c r="BV147" s="113"/>
      <c r="BW147" s="98" t="s">
        <v>238</v>
      </c>
      <c r="BX147" s="76" t="s">
        <v>239</v>
      </c>
      <c r="BY147" s="77">
        <f>IF(ISERROR(J92),0,J92)</f>
        <v>7.907156093189522E-9</v>
      </c>
      <c r="BZ147" s="2"/>
      <c r="CA147" s="2"/>
      <c r="CB147" s="113"/>
      <c r="CC147" s="98" t="s">
        <v>238</v>
      </c>
      <c r="CD147" s="76" t="s">
        <v>239</v>
      </c>
      <c r="CE147" s="77">
        <f>IF(ISERROR(L92),0,L92)</f>
        <v>5.5534998494295451E-10</v>
      </c>
    </row>
    <row r="148" spans="1:83" ht="12.75" customHeight="1" x14ac:dyDescent="0.2">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240</v>
      </c>
      <c r="BO148" s="344">
        <f>AD34</f>
        <v>426676.78659563244</v>
      </c>
      <c r="BP148" s="339"/>
      <c r="BQ148" s="96">
        <f>IF(ISERROR(H60),0,H60)</f>
        <v>0.93771290309728894</v>
      </c>
      <c r="BR148" s="339"/>
      <c r="BS148" s="339"/>
      <c r="BT148" s="308" t="s">
        <v>240</v>
      </c>
      <c r="BU148" s="301">
        <f>AD40</f>
        <v>319805.22945600899</v>
      </c>
      <c r="BV148" s="113"/>
      <c r="BW148" s="96">
        <f>IF(ISERROR(J60),0,J60)</f>
        <v>0.93120543519586962</v>
      </c>
      <c r="BX148" s="113"/>
      <c r="BY148" s="113"/>
      <c r="BZ148" s="308" t="s">
        <v>240</v>
      </c>
      <c r="CA148" s="301">
        <f>AD46</f>
        <v>832626.19252841093</v>
      </c>
      <c r="CB148" s="113"/>
      <c r="CC148" s="96">
        <f>IF(ISERROR(L60),0,L60)</f>
        <v>0.9397423840382898</v>
      </c>
      <c r="CD148" s="113"/>
      <c r="CE148" s="113"/>
    </row>
    <row r="149" spans="1:83" ht="12.75" customHeight="1" x14ac:dyDescent="0.2">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426676.8802161488</v>
      </c>
      <c r="BO149" s="344" t="s">
        <v>240</v>
      </c>
      <c r="BP149" s="339">
        <f>AH34</f>
        <v>1.8050909623150861E-7</v>
      </c>
      <c r="BQ149" s="339"/>
      <c r="BR149" s="353"/>
      <c r="BS149" s="339"/>
      <c r="BT149" s="131">
        <f>AE40</f>
        <v>319805.29990687419</v>
      </c>
      <c r="BU149" s="128" t="s">
        <v>240</v>
      </c>
      <c r="BV149" s="55">
        <f>AH40</f>
        <v>2.582874339152301E-8</v>
      </c>
      <c r="BW149" s="2"/>
      <c r="BX149" s="114"/>
      <c r="BY149" s="113"/>
      <c r="BZ149" s="131">
        <f>AE46</f>
        <v>832626.45866879006</v>
      </c>
      <c r="CA149" s="128" t="s">
        <v>240</v>
      </c>
      <c r="CB149" s="55">
        <f>AH46</f>
        <v>1.0984129126859715E-6</v>
      </c>
      <c r="CC149" s="2"/>
      <c r="CD149" s="114"/>
      <c r="CE149" s="113"/>
    </row>
    <row r="150" spans="1:83" ht="12.75" customHeight="1" x14ac:dyDescent="0.2">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716.10965051144808</v>
      </c>
      <c r="BR150" s="339">
        <f>AH36</f>
        <v>1.0291071893381164E-14</v>
      </c>
      <c r="BS150" s="339"/>
      <c r="BT150" s="2"/>
      <c r="BU150" s="113"/>
      <c r="BV150" s="113"/>
      <c r="BW150" s="345">
        <f>k.sdA.w3A*M.sdA*Molweight</f>
        <v>470.82342459237071</v>
      </c>
      <c r="BX150" s="55">
        <f>AK42</f>
        <v>4.2293037025145858E-4</v>
      </c>
      <c r="BY150" s="113"/>
      <c r="BZ150" s="2"/>
      <c r="CA150" s="113"/>
      <c r="CB150" s="113"/>
      <c r="CC150" s="345">
        <f>k.sdT.w3T*M.sdT*Molweight</f>
        <v>1769.7643420788427</v>
      </c>
      <c r="CD150" s="55">
        <f>AH48</f>
        <v>6.4958525599978065E-16</v>
      </c>
      <c r="CE150" s="113"/>
    </row>
    <row r="151" spans="1:83" ht="12.75" customHeight="1" x14ac:dyDescent="0.2">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2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2">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716.15669927119848</v>
      </c>
      <c r="BR153" s="340">
        <f>AC36</f>
        <v>0</v>
      </c>
      <c r="BS153" s="339"/>
      <c r="BT153" s="2"/>
      <c r="BU153" s="113"/>
      <c r="BV153" s="113"/>
      <c r="BW153" s="136">
        <f>IF(AN41&lt;0,"",AN41)</f>
        <v>470.84529511273291</v>
      </c>
      <c r="BX153" s="307">
        <f>AC42</f>
        <v>0</v>
      </c>
      <c r="BY153" s="113"/>
      <c r="BZ153" s="2"/>
      <c r="CA153" s="113"/>
      <c r="CB153" s="113"/>
      <c r="CC153" s="136">
        <f>IF(AN47&lt;0,"",AN47)</f>
        <v>1769.8465044726099</v>
      </c>
      <c r="CD153" s="307">
        <f>AC48</f>
        <v>0</v>
      </c>
      <c r="CE153" s="113"/>
    </row>
    <row r="154" spans="1:83" ht="12.75" customHeight="1" x14ac:dyDescent="0.2">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189</v>
      </c>
      <c r="BQ154" s="339"/>
      <c r="BR154" s="339"/>
      <c r="BS154" s="339"/>
      <c r="BT154" s="2"/>
      <c r="BU154" s="113"/>
      <c r="BV154" s="76" t="s">
        <v>189</v>
      </c>
      <c r="BW154" s="2"/>
      <c r="BX154" s="113"/>
      <c r="BY154" s="113"/>
      <c r="BZ154" s="2"/>
      <c r="CA154" s="113"/>
      <c r="CB154" s="76" t="s">
        <v>189</v>
      </c>
      <c r="CC154" s="2"/>
      <c r="CD154" s="113"/>
      <c r="CE154" s="113"/>
    </row>
    <row r="155" spans="1:83" ht="12.75" customHeight="1" x14ac:dyDescent="0.2">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3.3417190129864403E-4</v>
      </c>
      <c r="BQ155" s="339"/>
      <c r="BR155" s="339"/>
      <c r="BS155" s="339"/>
      <c r="BT155" s="2"/>
      <c r="BU155" s="2"/>
      <c r="BV155" s="96">
        <f>IF(ISERROR(J68),0,J68)</f>
        <v>3.3185283818849419E-4</v>
      </c>
      <c r="BW155" s="2"/>
      <c r="BX155" s="113"/>
      <c r="BY155" s="113"/>
      <c r="BZ155" s="2"/>
      <c r="CA155" s="2"/>
      <c r="CB155" s="96">
        <f>IF(ISERROR(L68),0,L68)</f>
        <v>3.3489515163756382E-4</v>
      </c>
      <c r="CC155" s="2"/>
      <c r="CD155" s="113"/>
      <c r="CE155" s="113"/>
    </row>
    <row r="156" spans="1:83" ht="12.75" customHeight="1" x14ac:dyDescent="0.2">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6.4374179835723755E-11</v>
      </c>
      <c r="BP156" s="339"/>
      <c r="BQ156" s="339"/>
      <c r="BR156" s="339"/>
      <c r="BS156" s="339"/>
      <c r="BT156" s="2"/>
      <c r="BU156" s="55">
        <f>AH41</f>
        <v>9.2111931945628969E-12</v>
      </c>
      <c r="BV156" s="113"/>
      <c r="BW156" s="113"/>
      <c r="BX156" s="113"/>
      <c r="BY156" s="113"/>
      <c r="BZ156" s="2"/>
      <c r="CA156" s="55">
        <f>AH47</f>
        <v>3.9172226291123105E-10</v>
      </c>
      <c r="CB156" s="113"/>
      <c r="CC156" s="113"/>
      <c r="CD156" s="113"/>
      <c r="CE156" s="113"/>
    </row>
    <row r="157" spans="1:83" ht="12.75" customHeight="1" x14ac:dyDescent="0.2">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2">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2">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4.7297693438978057E-2</v>
      </c>
      <c r="BQ159" s="339"/>
      <c r="BR159" s="339">
        <f>AF36</f>
        <v>7.9733494544329266E-5</v>
      </c>
      <c r="BS159" s="339"/>
      <c r="BT159" s="113"/>
      <c r="BU159" s="113"/>
      <c r="BV159" s="55">
        <f>AF41</f>
        <v>2.2030431830525055E-2</v>
      </c>
      <c r="BW159" s="113"/>
      <c r="BX159" s="55">
        <f>AF42</f>
        <v>2.7904793481006185E-6</v>
      </c>
      <c r="BY159" s="113"/>
      <c r="BZ159" s="113"/>
      <c r="CA159" s="113"/>
      <c r="CB159" s="55">
        <f>AF47</f>
        <v>8.2809543148831599E-2</v>
      </c>
      <c r="CC159" s="113"/>
      <c r="CD159" s="55">
        <f>AF48</f>
        <v>3.7959690547669472E-6</v>
      </c>
      <c r="CE159" s="113"/>
    </row>
    <row r="160" spans="1:83" ht="12.75" customHeight="1" x14ac:dyDescent="0.2">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2">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192</v>
      </c>
      <c r="BO161" s="117"/>
      <c r="BP161" s="117"/>
      <c r="BQ161" s="117"/>
      <c r="BR161" s="118"/>
      <c r="BS161" s="310" t="s">
        <v>61</v>
      </c>
      <c r="BT161" s="311" t="str">
        <f>ChemName</f>
        <v>nTiO2_10nm</v>
      </c>
      <c r="BU161" s="117"/>
      <c r="BV161" s="118"/>
      <c r="BW161" s="2"/>
      <c r="BX161" s="309"/>
      <c r="BY161" s="127" t="s">
        <v>241</v>
      </c>
      <c r="BZ161" s="117"/>
      <c r="CA161" s="117"/>
      <c r="CB161" s="118"/>
      <c r="CC161" s="2"/>
      <c r="CD161" s="2"/>
      <c r="CE161" s="2"/>
    </row>
    <row r="162" spans="1:83" ht="12.75" customHeight="1" x14ac:dyDescent="0.2">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242</v>
      </c>
      <c r="BT162" s="257" t="str">
        <f>ChemClass</f>
        <v>Particle</v>
      </c>
      <c r="BU162" s="2"/>
      <c r="BV162" s="120"/>
      <c r="BW162" s="2"/>
      <c r="BX162" s="2"/>
      <c r="BY162" s="88" t="s">
        <v>195</v>
      </c>
      <c r="BZ162" s="2"/>
      <c r="CA162" s="89">
        <f>G12</f>
        <v>3028.251774849517</v>
      </c>
      <c r="CB162" s="120" t="s">
        <v>118</v>
      </c>
      <c r="CC162" s="2"/>
      <c r="CD162" s="2"/>
      <c r="CE162" s="2"/>
    </row>
    <row r="163" spans="1:83" ht="12.75" customHeight="1" x14ac:dyDescent="0.2">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194</v>
      </c>
      <c r="BP163" s="2"/>
      <c r="BQ163" s="113"/>
      <c r="BR163" s="121"/>
      <c r="BS163" s="119" t="s">
        <v>62</v>
      </c>
      <c r="BT163" s="2" t="str">
        <f>CONCATENATE(version!$B$2," ",version!$B$3," ",version!$C$3)</f>
        <v>SimpleBox4nano vs 4.02-nano 44497</v>
      </c>
      <c r="BU163" s="2"/>
      <c r="BV163" s="120"/>
      <c r="BW163" s="2"/>
      <c r="BX163" s="2"/>
      <c r="BY163" s="90" t="s">
        <v>243</v>
      </c>
      <c r="BZ163" s="2"/>
      <c r="CA163" s="89">
        <f>G52</f>
        <v>1482617899710.4875</v>
      </c>
      <c r="CB163" s="120" t="s">
        <v>139</v>
      </c>
      <c r="CC163" s="2"/>
      <c r="CD163" s="2"/>
      <c r="CE163" s="2"/>
    </row>
    <row r="164" spans="1:83" ht="12.75" customHeight="1" x14ac:dyDescent="0.2">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64</v>
      </c>
      <c r="BT164" s="313">
        <f ca="1">TODAY()</f>
        <v>45336</v>
      </c>
      <c r="BU164" s="80"/>
      <c r="BV164" s="122"/>
      <c r="BW164" s="2"/>
      <c r="BX164" s="2"/>
      <c r="BY164" s="90" t="s">
        <v>244</v>
      </c>
      <c r="BZ164" s="2"/>
      <c r="CA164" s="89">
        <f>G60</f>
        <v>44478554594887.547</v>
      </c>
      <c r="CB164" s="304" t="s">
        <v>139</v>
      </c>
      <c r="CC164" s="2"/>
      <c r="CD164" s="2"/>
      <c r="CE164" s="2"/>
    </row>
    <row r="165" spans="1:83" ht="12.75" customHeight="1" x14ac:dyDescent="0.2">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229</v>
      </c>
      <c r="BP165" s="2"/>
      <c r="BQ165" s="2"/>
      <c r="BR165" s="120"/>
      <c r="BS165" s="2"/>
      <c r="BT165" s="45"/>
      <c r="BU165" s="2"/>
      <c r="BV165" s="2"/>
      <c r="BW165" s="2"/>
      <c r="BX165" s="2"/>
      <c r="BY165" s="90" t="s">
        <v>205</v>
      </c>
      <c r="BZ165" s="2"/>
      <c r="CA165" s="89">
        <f>G68</f>
        <v>15850782373.682453</v>
      </c>
      <c r="CB165" s="120" t="s">
        <v>139</v>
      </c>
      <c r="CC165" s="2"/>
      <c r="CD165" s="2"/>
      <c r="CE165" s="2"/>
    </row>
    <row r="166" spans="1:83" ht="12.75" customHeight="1" x14ac:dyDescent="0.2">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245</v>
      </c>
      <c r="BZ166" s="80"/>
      <c r="CA166" s="93">
        <f>G92</f>
        <v>2533959.1337734223</v>
      </c>
      <c r="CB166" s="122" t="s">
        <v>156</v>
      </c>
      <c r="CC166" s="2"/>
      <c r="CD166" s="2"/>
      <c r="CE166" s="2"/>
    </row>
    <row r="167" spans="1:83" ht="12.75" customHeight="1" x14ac:dyDescent="0.2">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199</v>
      </c>
      <c r="BP167" s="2"/>
      <c r="BQ167" s="2"/>
      <c r="BR167" s="120"/>
      <c r="BS167" s="2"/>
      <c r="BT167" s="2"/>
      <c r="BU167" s="2"/>
      <c r="BV167" s="2"/>
      <c r="BW167" s="2"/>
      <c r="BX167" s="2"/>
      <c r="BY167" s="127" t="s">
        <v>246</v>
      </c>
      <c r="BZ167" s="117"/>
      <c r="CA167" s="117"/>
      <c r="CB167" s="118"/>
      <c r="CC167" s="2"/>
      <c r="CD167" s="2"/>
      <c r="CE167" s="2"/>
    </row>
    <row r="168" spans="1:83" ht="12.75" customHeight="1" x14ac:dyDescent="0.2">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195</v>
      </c>
      <c r="BZ168" s="2"/>
      <c r="CA168" s="89">
        <f>I12</f>
        <v>131.88737978947134</v>
      </c>
      <c r="CB168" s="120" t="s">
        <v>118</v>
      </c>
      <c r="CC168" s="2"/>
      <c r="CD168" s="2"/>
      <c r="CE168" s="2"/>
    </row>
    <row r="169" spans="1:83" ht="12.75" customHeight="1" x14ac:dyDescent="0.2">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203</v>
      </c>
      <c r="BP169" s="2"/>
      <c r="BQ169" s="2"/>
      <c r="BR169" s="120"/>
      <c r="BS169" s="2"/>
      <c r="BT169" s="2"/>
      <c r="BU169" s="2"/>
      <c r="BV169" s="2"/>
      <c r="BW169" s="2"/>
      <c r="BX169" s="2"/>
      <c r="BY169" s="90" t="s">
        <v>243</v>
      </c>
      <c r="BZ169" s="2"/>
      <c r="CA169" s="89">
        <f>I52</f>
        <v>1187713573757.5503</v>
      </c>
      <c r="CB169" s="120" t="s">
        <v>139</v>
      </c>
      <c r="CC169" s="2"/>
      <c r="CD169" s="2"/>
      <c r="CE169" s="2"/>
    </row>
    <row r="170" spans="1:83" ht="12.75" customHeight="1" x14ac:dyDescent="0.2">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244</v>
      </c>
      <c r="BZ170" s="2"/>
      <c r="CA170" s="89">
        <f>I60</f>
        <v>29242927121578.164</v>
      </c>
      <c r="CB170" s="304" t="s">
        <v>139</v>
      </c>
      <c r="CC170" s="2"/>
      <c r="CD170" s="2"/>
      <c r="CE170" s="2"/>
    </row>
    <row r="171" spans="1:83" ht="12.75" customHeight="1" x14ac:dyDescent="0.2">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206</v>
      </c>
      <c r="BP171" s="2"/>
      <c r="BQ171" s="2"/>
      <c r="BR171" s="120"/>
      <c r="BS171" s="2"/>
      <c r="BT171" s="2"/>
      <c r="BU171" s="2"/>
      <c r="BV171" s="2"/>
      <c r="BW171" s="2"/>
      <c r="BX171" s="2"/>
      <c r="BY171" s="90" t="s">
        <v>205</v>
      </c>
      <c r="BZ171" s="2"/>
      <c r="CA171" s="89">
        <f>I68</f>
        <v>10421275473.111683</v>
      </c>
      <c r="CB171" s="120" t="s">
        <v>139</v>
      </c>
      <c r="CC171" s="2"/>
      <c r="CD171" s="2"/>
      <c r="CE171" s="2"/>
    </row>
    <row r="172" spans="1:83" ht="12.75" customHeight="1" x14ac:dyDescent="0.2">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245</v>
      </c>
      <c r="BZ172" s="80"/>
      <c r="CA172" s="93">
        <f>I92</f>
        <v>248310.82447821769</v>
      </c>
      <c r="CB172" s="122" t="s">
        <v>156</v>
      </c>
      <c r="CC172" s="2"/>
      <c r="CD172" s="2"/>
      <c r="CE172" s="2"/>
    </row>
    <row r="173" spans="1:83" ht="12.75" customHeight="1" x14ac:dyDescent="0.2">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77</v>
      </c>
      <c r="BP173" s="2"/>
      <c r="BQ173" s="2"/>
      <c r="BR173" s="120"/>
      <c r="BS173" s="2"/>
      <c r="BT173" s="2"/>
      <c r="BU173" s="2"/>
      <c r="BV173" s="2"/>
      <c r="BW173" s="2"/>
      <c r="BX173" s="2"/>
      <c r="BY173" s="127" t="s">
        <v>247</v>
      </c>
      <c r="BZ173" s="117"/>
      <c r="CA173" s="314"/>
      <c r="CB173" s="118"/>
      <c r="CC173" s="2"/>
      <c r="CD173" s="2"/>
      <c r="CE173" s="2"/>
    </row>
    <row r="174" spans="1:83" ht="12.75" customHeight="1" x14ac:dyDescent="0.2">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195</v>
      </c>
      <c r="BZ174" s="2"/>
      <c r="CA174" s="89">
        <f>K12</f>
        <v>234.44037378546398</v>
      </c>
      <c r="CB174" s="120" t="s">
        <v>118</v>
      </c>
      <c r="CC174" s="2"/>
      <c r="CD174" s="2"/>
      <c r="CE174" s="2"/>
    </row>
    <row r="175" spans="1:83" ht="12.75" customHeight="1" x14ac:dyDescent="0.2">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213</v>
      </c>
      <c r="BP175" s="2"/>
      <c r="BQ175" s="2"/>
      <c r="BR175" s="120"/>
      <c r="BS175" s="2"/>
      <c r="BT175" s="2"/>
      <c r="BU175" s="2"/>
      <c r="BV175" s="2"/>
      <c r="BW175" s="2"/>
      <c r="BX175" s="2"/>
      <c r="BY175" s="90" t="s">
        <v>243</v>
      </c>
      <c r="BZ175" s="2"/>
      <c r="CA175" s="89">
        <f>K52</f>
        <v>3411688293649.9893</v>
      </c>
      <c r="CB175" s="120" t="s">
        <v>139</v>
      </c>
      <c r="CC175" s="2"/>
      <c r="CD175" s="2"/>
      <c r="CE175" s="2"/>
    </row>
    <row r="176" spans="1:83" ht="12.75" customHeight="1" x14ac:dyDescent="0.2">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244</v>
      </c>
      <c r="BZ176" s="2"/>
      <c r="CA176" s="89">
        <f>K60</f>
        <v>109920376998310.58</v>
      </c>
      <c r="CB176" s="304" t="s">
        <v>139</v>
      </c>
      <c r="CC176" s="2"/>
      <c r="CD176" s="2"/>
      <c r="CE176" s="2"/>
    </row>
    <row r="177" spans="1:83" ht="12.75" customHeight="1" x14ac:dyDescent="0.2">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205</v>
      </c>
      <c r="BZ177" s="2"/>
      <c r="CA177" s="89">
        <f>K68</f>
        <v>39172226291.123108</v>
      </c>
      <c r="CB177" s="120" t="s">
        <v>139</v>
      </c>
      <c r="CC177" s="2"/>
      <c r="CD177" s="2"/>
      <c r="CE177" s="2"/>
    </row>
    <row r="178" spans="1:83" ht="12.75" customHeight="1" x14ac:dyDescent="0.2">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245</v>
      </c>
      <c r="BZ178" s="80"/>
      <c r="CA178" s="93">
        <f>K92</f>
        <v>64958.525599978064</v>
      </c>
      <c r="CB178" s="122" t="s">
        <v>156</v>
      </c>
      <c r="CC178" s="2"/>
      <c r="CD178" s="2"/>
      <c r="CE178" s="2"/>
    </row>
    <row r="179" spans="1:83" ht="12.75" customHeight="1" x14ac:dyDescent="0.2">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2">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2">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2">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2">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2">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2">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2">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2">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2">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2">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2">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2">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2">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2">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2">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2">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2">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2">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2">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Normal="100" workbookViewId="0">
      <selection activeCell="A2" sqref="A2"/>
    </sheetView>
  </sheetViews>
  <sheetFormatPr defaultRowHeight="12.75" x14ac:dyDescent="0.2"/>
  <cols>
    <col min="1" max="1" width="24.42578125" customWidth="1"/>
    <col min="3" max="3" width="10.7109375" customWidth="1"/>
    <col min="8" max="8" width="11.140625" customWidth="1"/>
    <col min="9" max="9" width="29.85546875" customWidth="1"/>
    <col min="17" max="17" width="28.28515625" customWidth="1"/>
  </cols>
  <sheetData>
    <row r="2" spans="1:23" x14ac:dyDescent="0.2">
      <c r="A2" s="839" t="s">
        <v>248</v>
      </c>
      <c r="B2" s="634"/>
      <c r="C2" s="634"/>
      <c r="D2" s="634"/>
      <c r="E2" s="634"/>
      <c r="F2" s="634"/>
      <c r="G2" s="840"/>
      <c r="I2" s="839" t="s">
        <v>249</v>
      </c>
      <c r="J2" s="634"/>
      <c r="K2" s="634"/>
      <c r="L2" s="634"/>
      <c r="M2" s="634"/>
      <c r="N2" s="634"/>
      <c r="O2" s="840"/>
      <c r="Q2" s="844" t="s">
        <v>250</v>
      </c>
      <c r="R2" s="709"/>
      <c r="S2" s="709"/>
      <c r="T2" s="634"/>
      <c r="U2" s="634"/>
      <c r="V2" s="634"/>
      <c r="W2" s="840"/>
    </row>
    <row r="3" spans="1:23" x14ac:dyDescent="0.2">
      <c r="A3" s="398"/>
      <c r="B3" t="s">
        <v>251</v>
      </c>
      <c r="C3" t="s">
        <v>252</v>
      </c>
      <c r="D3" t="s">
        <v>253</v>
      </c>
      <c r="E3" t="s">
        <v>254</v>
      </c>
      <c r="F3" t="s">
        <v>255</v>
      </c>
      <c r="G3" s="841"/>
      <c r="I3" s="398"/>
      <c r="J3" t="s">
        <v>251</v>
      </c>
      <c r="K3" t="s">
        <v>252</v>
      </c>
      <c r="L3" t="s">
        <v>253</v>
      </c>
      <c r="M3" t="s">
        <v>254</v>
      </c>
      <c r="N3" t="s">
        <v>255</v>
      </c>
      <c r="O3" s="841"/>
      <c r="Q3" s="845" t="s">
        <v>256</v>
      </c>
      <c r="R3" s="847">
        <v>450</v>
      </c>
      <c r="S3" s="846" t="s">
        <v>257</v>
      </c>
      <c r="W3" s="841"/>
    </row>
    <row r="4" spans="1:23" ht="15" x14ac:dyDescent="0.2">
      <c r="A4" s="452" t="s">
        <v>117</v>
      </c>
      <c r="B4">
        <f>J4+J18+J32</f>
        <v>1.4822088126074237E-7</v>
      </c>
      <c r="C4">
        <f>K4+K18+K32</f>
        <v>1.7576629346388214E-8</v>
      </c>
      <c r="D4">
        <f>L4+L18+L32</f>
        <v>1.3067087841008811E-9</v>
      </c>
      <c r="E4">
        <f>M4+M18+M32</f>
        <v>5.7302512421909315E-10</v>
      </c>
      <c r="F4">
        <f>N4+N18+N32</f>
        <v>3.3707423645865179E-10</v>
      </c>
      <c r="G4" s="160" t="s">
        <v>258</v>
      </c>
      <c r="I4" s="452" t="s">
        <v>117</v>
      </c>
      <c r="J4">
        <f>'all species output'!$M15</f>
        <v>2.1140610426889354E-8</v>
      </c>
      <c r="K4">
        <f>'all species output'!$N15</f>
        <v>1.0756094982159068E-10</v>
      </c>
      <c r="L4">
        <f>'all species output'!$O15</f>
        <v>2.3596212662934411E-13</v>
      </c>
      <c r="M4">
        <f>'all species output'!$P15</f>
        <v>2.9441582944931174E-15</v>
      </c>
      <c r="N4">
        <f>'all species output'!$Q15</f>
        <v>1.588717994897052E-15</v>
      </c>
      <c r="O4" s="160" t="s">
        <v>118</v>
      </c>
      <c r="Q4" s="398"/>
      <c r="R4" t="s">
        <v>251</v>
      </c>
      <c r="S4" t="s">
        <v>252</v>
      </c>
      <c r="T4" t="s">
        <v>253</v>
      </c>
      <c r="U4" t="s">
        <v>254</v>
      </c>
      <c r="V4" t="s">
        <v>255</v>
      </c>
      <c r="W4" s="841"/>
    </row>
    <row r="5" spans="1:23" ht="15" x14ac:dyDescent="0.2">
      <c r="A5" s="104" t="s">
        <v>138</v>
      </c>
      <c r="B5">
        <f t="shared" ref="B5:C9" si="0">J5+J19+J33</f>
        <v>1.3489264293084478E-7</v>
      </c>
      <c r="C5">
        <f t="shared" si="0"/>
        <v>8.8860510314575596E-8</v>
      </c>
      <c r="G5" s="160" t="s">
        <v>215</v>
      </c>
      <c r="I5" s="104" t="s">
        <v>138</v>
      </c>
      <c r="J5">
        <f>'all species output'!$M23</f>
        <v>2.5074766318135323E-11</v>
      </c>
      <c r="K5">
        <f>'all species output'!$N23</f>
        <v>1.2762380051239478E-13</v>
      </c>
      <c r="O5" s="160" t="s">
        <v>139</v>
      </c>
      <c r="Q5" s="452" t="s">
        <v>117</v>
      </c>
      <c r="R5">
        <f>IF((RadP.a*2)&lt;bioavai.cutoff.diameter*0.000000001,'nano micro output'!B4,IF((RadA.w*2)&lt;bioavai.cutoff.diameter*0.000000001,'nano micro output'!J4+'nano micro output'!J18,IF((RadS*2)&lt;bioavai.cutoff.diameter*0.000000001,'nano micro output'!J4,0)))</f>
        <v>1.4814047868664651E-7</v>
      </c>
      <c r="S5">
        <f>IF((RadP.a*2)&lt;bioavai.cutoff.diameter*0.000000001,'nano micro output'!C4,IF((RadA.w*2)&lt;bioavai.cutoff.diameter*0.000000001,'nano micro output'!K4+'nano micro output'!K18,IF((RadS*2)&lt;bioavai.cutoff.diameter*0.000000001,'nano micro output'!K4,0)))</f>
        <v>1.7575864413570237E-8</v>
      </c>
      <c r="T5">
        <f>IF((RadP.a*2)&lt;bioavai.cutoff.diameter*0.000000001,'nano micro output'!D4,IF((RadA.w*2)&lt;bioavai.cutoff.diameter*0.000000001,'nano micro output'!L4+'nano micro output'!L18,IF((RadS*2)&lt;bioavai.cutoff.diameter*0.000000001,'nano micro output'!L4,0)))</f>
        <v>1.3067065018123306E-9</v>
      </c>
      <c r="U5">
        <f>IF((RadP.a*2)&lt;bioavai.cutoff.diameter*0.000000001,'nano micro output'!E4,IF((RadA.w*2)&lt;bioavai.cutoff.diameter*0.000000001,'nano micro output'!M4+'nano micro output'!M18,IF((RadS*2)&lt;bioavai.cutoff.diameter*0.000000001,'nano micro output'!M4,0)))</f>
        <v>5.7302503712988652E-10</v>
      </c>
      <c r="V5">
        <f>IF((RadP.a*2)&lt;bioavai.cutoff.diameter*0.000000001,'nano micro output'!F4,IF((RadA.w*2)&lt;bioavai.cutoff.diameter*0.000000001,'nano micro output'!N4+'nano micro output'!N18,IF((RadS*2)&lt;bioavai.cutoff.diameter*0.000000001,'nano micro output'!N4,0)))</f>
        <v>3.370742260506614E-10</v>
      </c>
      <c r="W5" s="160" t="s">
        <v>118</v>
      </c>
    </row>
    <row r="6" spans="1:23" ht="15" x14ac:dyDescent="0.2">
      <c r="A6" s="104" t="s">
        <v>155</v>
      </c>
      <c r="B6">
        <f t="shared" si="0"/>
        <v>8.5005218651686794E-5</v>
      </c>
      <c r="C6">
        <f t="shared" si="0"/>
        <v>3.9149068233311349E-5</v>
      </c>
      <c r="G6" s="160" t="s">
        <v>218</v>
      </c>
      <c r="I6" s="104" t="s">
        <v>155</v>
      </c>
      <c r="J6">
        <f>'all species output'!$M31</f>
        <v>5.7429230080342051E-16</v>
      </c>
      <c r="K6">
        <f>'all species output'!$N31</f>
        <v>1.3092442221634492E-18</v>
      </c>
      <c r="O6" s="160" t="s">
        <v>156</v>
      </c>
      <c r="Q6" s="104" t="s">
        <v>138</v>
      </c>
      <c r="R6">
        <f>IF((RadP.w*2)&lt;bioavai.cutoff.diameter*0.000000001,'nano micro output'!B5,IF((RadA.w*2)&lt;bioavai.cutoff.diameter*0.000000001,'nano micro output'!J5+'nano micro output'!J19,IF((RadS*2)&lt;bioavai.cutoff.diameter*0.000000001,'nano micro output'!J5,0)))</f>
        <v>1.3479104345056883E-7</v>
      </c>
      <c r="S6">
        <f>IF((RadP.w*2)&lt;bioavai.cutoff.diameter*0.000000001,'nano micro output'!C5,IF((RadA.w*2)&lt;bioavai.cutoff.diameter*0.000000001,'nano micro output'!K5+'nano micro output'!K19,IF((RadS*2)&lt;bioavai.cutoff.diameter*0.000000001,'nano micro output'!K5,0)))</f>
        <v>8.8859505756944899E-8</v>
      </c>
      <c r="W6" s="160" t="s">
        <v>139</v>
      </c>
    </row>
    <row r="7" spans="1:23" ht="15" x14ac:dyDescent="0.2">
      <c r="A7" s="104" t="s">
        <v>185</v>
      </c>
      <c r="B7">
        <f t="shared" si="0"/>
        <v>4.0631232728320573E-4</v>
      </c>
      <c r="C7">
        <f t="shared" si="0"/>
        <v>1.4125487965610818E-6</v>
      </c>
      <c r="G7" s="160" t="s">
        <v>215</v>
      </c>
      <c r="I7" s="104" t="s">
        <v>185</v>
      </c>
      <c r="J7">
        <f>'all species output'!$M39</f>
        <v>2.5498334256215234E-7</v>
      </c>
      <c r="K7">
        <f>'all species output'!$N39</f>
        <v>3.8214930404703804E-12</v>
      </c>
      <c r="O7" s="160" t="s">
        <v>139</v>
      </c>
      <c r="Q7" s="104" t="s">
        <v>155</v>
      </c>
      <c r="R7">
        <f>IF((RadP.w*2)&lt;bioavai.cutoff.diameter*0.000000001,'nano micro output'!B6,IF((RadA.w*2)&lt;bioavai.cutoff.diameter*0.000000001,'nano micro output'!J6+'nano micro output'!J20,IF((RadS*2)&lt;bioavai.cutoff.diameter*0.000000001,'nano micro output'!J6,0)))</f>
        <v>5.8544018148953837E-5</v>
      </c>
      <c r="S7">
        <f>IF((RadP.w*2)&lt;bioavai.cutoff.diameter*0.000000001,'nano micro output'!C6,IF((RadA.w*2)&lt;bioavai.cutoff.diameter*0.000000001,'nano micro output'!K6+'nano micro output'!K20,IF((RadS*2)&lt;bioavai.cutoff.diameter*0.000000001,'nano micro output'!K6,0)))</f>
        <v>3.8885510767368543E-5</v>
      </c>
      <c r="W7" s="160" t="s">
        <v>156</v>
      </c>
    </row>
    <row r="8" spans="1:23" ht="15" x14ac:dyDescent="0.2">
      <c r="A8" s="104" t="s">
        <v>190</v>
      </c>
      <c r="B8">
        <f t="shared" si="0"/>
        <v>0.15460343890505396</v>
      </c>
      <c r="C8">
        <f t="shared" si="0"/>
        <v>9.9866305266820091E-5</v>
      </c>
      <c r="G8" s="160" t="s">
        <v>218</v>
      </c>
      <c r="I8" s="104" t="s">
        <v>190</v>
      </c>
      <c r="J8">
        <f>'all species output'!$M47</f>
        <v>5.8391469174616862E-12</v>
      </c>
      <c r="K8">
        <f>'all species output'!$N47</f>
        <v>3.9200924326948067E-17</v>
      </c>
      <c r="O8" s="160" t="s">
        <v>156</v>
      </c>
      <c r="Q8" s="104" t="s">
        <v>185</v>
      </c>
      <c r="R8">
        <f>IF((RadP.w*2)&lt;bioavai.cutoff.diameter*0.000000001,'nano micro output'!B7,IF((RadA.w*2)&lt;bioavai.cutoff.diameter*0.000000001,'nano micro output'!J7+'nano micro output'!J21,IF((RadS*2)&lt;bioavai.cutoff.diameter*0.000000001,'nano micro output'!J7,0)))</f>
        <v>4.0095111733271508E-4</v>
      </c>
      <c r="S8">
        <f>IF((RadP.w*2)&lt;bioavai.cutoff.diameter*0.000000001,'nano micro output'!C7,IF((RadA.w*2)&lt;bioavai.cutoff.diameter*0.000000001,'nano micro output'!K7+'nano micro output'!K21,IF((RadS*2)&lt;bioavai.cutoff.diameter*0.000000001,'nano micro output'!K7,0)))</f>
        <v>1.4110705277967616E-6</v>
      </c>
      <c r="W8" s="160" t="s">
        <v>139</v>
      </c>
    </row>
    <row r="9" spans="1:23" ht="15" x14ac:dyDescent="0.2">
      <c r="A9" s="104" t="s">
        <v>201</v>
      </c>
      <c r="B9">
        <f t="shared" si="0"/>
        <v>5.1424844079386248E-5</v>
      </c>
      <c r="C9">
        <f t="shared" si="0"/>
        <v>1.2088197694961123E-5</v>
      </c>
      <c r="D9">
        <f t="shared" ref="D9:F11" si="1">L9+L23+L37</f>
        <v>1.2068678811008538E-5</v>
      </c>
      <c r="E9">
        <f t="shared" si="1"/>
        <v>1.4677721619555972E-5</v>
      </c>
      <c r="F9">
        <f t="shared" si="1"/>
        <v>1.2087370009170695E-5</v>
      </c>
      <c r="G9" s="160" t="s">
        <v>215</v>
      </c>
      <c r="I9" s="104" t="s">
        <v>201</v>
      </c>
      <c r="J9">
        <f>'all species output'!$M55</f>
        <v>1.5342957938143841E-11</v>
      </c>
      <c r="K9">
        <f>'all species output'!$N55</f>
        <v>9.5979096930474117E-16</v>
      </c>
      <c r="L9">
        <f>'all species output'!$O55</f>
        <v>2.1233975665130016E-18</v>
      </c>
      <c r="M9">
        <f>'all species output'!$P55</f>
        <v>2.629109082138614E-20</v>
      </c>
      <c r="N9">
        <f>'all species output'!$Q55</f>
        <v>1.4527881692227599E-20</v>
      </c>
      <c r="O9" s="160" t="s">
        <v>139</v>
      </c>
      <c r="Q9" s="104" t="s">
        <v>190</v>
      </c>
      <c r="R9">
        <f>IF((RadP.w*2)&lt;bioavai.cutoff.diameter*0.000000001,'nano micro output'!B8,IF((RadA.w*2)&lt;bioavai.cutoff.diameter*0.000000001,'nano micro output'!J8+'nano micro output'!J22,IF((RadS*2)&lt;bioavai.cutoff.diameter*0.000000001,'nano micro output'!J8,0)))</f>
        <v>1.7136967830524104E-2</v>
      </c>
      <c r="S9">
        <f>IF((RadP.w*2)&lt;bioavai.cutoff.diameter*0.000000001,'nano micro output'!C8,IF((RadA.w*2)&lt;bioavai.cutoff.diameter*0.000000001,'nano micro output'!K8+'nano micro output'!K22,IF((RadS*2)&lt;bioavai.cutoff.diameter*0.000000001,'nano micro output'!K8,0)))</f>
        <v>6.133956642627328E-5</v>
      </c>
      <c r="W9" s="160" t="s">
        <v>156</v>
      </c>
    </row>
    <row r="10" spans="1:23" ht="15" x14ac:dyDescent="0.2">
      <c r="A10" s="104" t="s">
        <v>214</v>
      </c>
      <c r="D10">
        <f t="shared" si="1"/>
        <v>1.2089494799362077E-5</v>
      </c>
      <c r="E10">
        <f t="shared" si="1"/>
        <v>1.2068158340148526E-5</v>
      </c>
      <c r="F10">
        <f t="shared" si="1"/>
        <v>1.3008547940609167E-5</v>
      </c>
      <c r="G10" s="160" t="s">
        <v>215</v>
      </c>
      <c r="I10" s="104" t="s">
        <v>214</v>
      </c>
      <c r="L10">
        <f>'all species output'!$O63</f>
        <v>2.9461162190499493E-24</v>
      </c>
      <c r="M10">
        <f>'all species output'!$P63</f>
        <v>4.2711422295440817E-26</v>
      </c>
      <c r="N10">
        <f>'all species output'!$Q63</f>
        <v>1.7588717497198848E-26</v>
      </c>
      <c r="O10" s="160" t="s">
        <v>139</v>
      </c>
      <c r="Q10" s="104" t="s">
        <v>201</v>
      </c>
      <c r="R10">
        <f>IF((RadP.w*2)&lt;bioavai.cutoff.diameter*0.000000001,'nano micro output'!B9,IF((RadA.w*2)&lt;bioavai.cutoff.diameter*0.000000001,'nano micro output'!J9+'nano micro output'!J23,IF((RadS*2)&lt;bioavai.cutoff.diameter*0.000000001,'nano micro output'!J9,0)))</f>
        <v>5.0977161757877651E-5</v>
      </c>
      <c r="S10">
        <f>IF((RadP.w*2)&lt;bioavai.cutoff.diameter*0.000000001,'nano micro output'!C9,IF((RadA.w*2)&lt;bioavai.cutoff.diameter*0.000000001,'nano micro output'!K9+'nano micro output'!K23,IF((RadS*2)&lt;bioavai.cutoff.diameter*0.000000001,'nano micro output'!K9,0)))</f>
        <v>1.2087707482525102E-5</v>
      </c>
      <c r="T10">
        <f>IF((RadP.w*2)&lt;bioavai.cutoff.diameter*0.000000001,'nano micro output'!D9,IF((RadA.w*2)&lt;bioavai.cutoff.diameter*0.000000001,'nano micro output'!L9+'nano micro output'!L23,IF((RadS*2)&lt;bioavai.cutoff.diameter*0.000000001,'nano micro output'!L9,0)))</f>
        <v>1.2068240799812223E-5</v>
      </c>
      <c r="U10">
        <f>IF((RadP.w*2)&lt;bioavai.cutoff.diameter*0.000000001,'nano micro output'!E9,IF((RadA.w*2)&lt;bioavai.cutoff.diameter*0.000000001,'nano micro output'!M9+'nano micro output'!M23,IF((RadS*2)&lt;bioavai.cutoff.diameter*0.000000001,'nano micro output'!M9,0)))</f>
        <v>1.4677466787318339E-5</v>
      </c>
      <c r="V10">
        <f>IF((RadP.w*2)&lt;bioavai.cutoff.diameter*0.000000001,'nano micro output'!F9,IF((RadA.w*2)&lt;bioavai.cutoff.diameter*0.000000001,'nano micro output'!N9+'nano micro output'!N23,IF((RadS*2)&lt;bioavai.cutoff.diameter*0.000000001,'nano micro output'!N9,0)))</f>
        <v>1.2086490288191691E-5</v>
      </c>
      <c r="W10" s="160" t="s">
        <v>139</v>
      </c>
    </row>
    <row r="11" spans="1:23" ht="15" x14ac:dyDescent="0.2">
      <c r="A11" s="104" t="s">
        <v>217</v>
      </c>
      <c r="B11">
        <f t="shared" ref="B11:C14" si="2">J11+J25+J39</f>
        <v>4.097726731400167E-2</v>
      </c>
      <c r="C11">
        <f t="shared" si="2"/>
        <v>1.6146873795654221E-3</v>
      </c>
      <c r="D11">
        <f t="shared" si="1"/>
        <v>1.645692830020267E-3</v>
      </c>
      <c r="E11">
        <f t="shared" si="1"/>
        <v>1.6079585486777981E-3</v>
      </c>
      <c r="F11">
        <f t="shared" si="1"/>
        <v>1.8592250899193466E-3</v>
      </c>
      <c r="G11" s="160" t="s">
        <v>218</v>
      </c>
      <c r="I11" s="104" t="s">
        <v>217</v>
      </c>
      <c r="J11">
        <f>'all species output'!$M71</f>
        <v>7.0281520167454074E-18</v>
      </c>
      <c r="K11">
        <f>'all species output'!$N71</f>
        <v>1.9692384095370705E-22</v>
      </c>
      <c r="L11">
        <f>'all species output'!$O71</f>
        <v>6.0446549332672786E-31</v>
      </c>
      <c r="M11">
        <f>'all species output'!$P71</f>
        <v>8.9214269831469096E-33</v>
      </c>
      <c r="N11">
        <f>'all species output'!$Q71</f>
        <v>3.570914949433607E-33</v>
      </c>
      <c r="O11" s="160" t="s">
        <v>156</v>
      </c>
      <c r="Q11" s="104" t="s">
        <v>214</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1.2088609529636293E-5</v>
      </c>
      <c r="U11">
        <f>IF((RadP.w*2)&lt;bioavai.cutoff.diameter*0.000000001,'nano micro output'!E10,IF((RadA.w*2)&lt;bioavai.cutoff.diameter*0.000000001,'nano micro output'!M10+'nano micro output'!M24,IF((RadS*2)&lt;bioavai.cutoff.diameter*0.000000001,'nano micro output'!M10,0)))</f>
        <v>1.2067720853131519E-5</v>
      </c>
      <c r="V11">
        <f>IF((RadP.w*2)&lt;bioavai.cutoff.diameter*0.000000001,'nano micro output'!F10,IF((RadA.w*2)&lt;bioavai.cutoff.diameter*0.000000001,'nano micro output'!N10+'nano micro output'!N24,IF((RadS*2)&lt;bioavai.cutoff.diameter*0.000000001,'nano micro output'!N10,0)))</f>
        <v>1.3006464604111069E-5</v>
      </c>
      <c r="W11" s="160" t="s">
        <v>139</v>
      </c>
    </row>
    <row r="12" spans="1:23" ht="15" x14ac:dyDescent="0.2">
      <c r="A12" s="104" t="s">
        <v>219</v>
      </c>
      <c r="B12">
        <f t="shared" si="2"/>
        <v>1.4187397237090182E-2</v>
      </c>
      <c r="C12">
        <f t="shared" si="2"/>
        <v>8.1016045669531062E-5</v>
      </c>
      <c r="G12" s="160" t="s">
        <v>218</v>
      </c>
      <c r="I12" s="104" t="s">
        <v>219</v>
      </c>
      <c r="J12">
        <f>'all species output'!$M79</f>
        <v>8.2621695044632915E-12</v>
      </c>
      <c r="K12">
        <f>'all species output'!$N79</f>
        <v>4.2036950756951927E-14</v>
      </c>
      <c r="O12" s="160" t="s">
        <v>156</v>
      </c>
      <c r="Q12" s="104" t="s">
        <v>217</v>
      </c>
      <c r="R12">
        <f>IF((RadP.w*2)&lt;bioavai.cutoff.diameter*0.000000001,'nano micro output'!B11,IF((RadA.w*2)&lt;bioavai.cutoff.diameter*0.000000001,'nano micro output'!J11+'nano micro output'!J25,IF((RadS*2)&lt;bioavai.cutoff.diameter*0.000000001,'nano micro output'!J11,0)))</f>
        <v>6.5405166376999611E-3</v>
      </c>
      <c r="S12">
        <f>IF((RadP.w*2)&lt;bioavai.cutoff.diameter*0.000000001,'nano micro output'!C11,IF((RadA.w*2)&lt;bioavai.cutoff.diameter*0.000000001,'nano micro output'!K11+'nano micro output'!K25,IF((RadS*2)&lt;bioavai.cutoff.diameter*0.000000001,'nano micro output'!K11,0)))</f>
        <v>1.576359797596665E-3</v>
      </c>
      <c r="T12">
        <f>IF((RadP.w*2)&lt;bioavai.cutoff.diameter*0.000000001,'nano micro output'!D11,IF((RadA.w*2)&lt;bioavai.cutoff.diameter*0.000000001,'nano micro output'!L11+'nano micro output'!L25,IF((RadS*2)&lt;bioavai.cutoff.diameter*0.000000001,'nano micro output'!L11,0)))</f>
        <v>1.5764774338246509E-3</v>
      </c>
      <c r="U12">
        <f>IF((RadP.w*2)&lt;bioavai.cutoff.diameter*0.000000001,'nano micro output'!E11,IF((RadA.w*2)&lt;bioavai.cutoff.diameter*0.000000001,'nano micro output'!M11+'nano micro output'!M25,IF((RadS*2)&lt;bioavai.cutoff.diameter*0.000000001,'nano micro output'!M11,0)))</f>
        <v>1.5737533382989E-3</v>
      </c>
      <c r="V12">
        <f>IF((RadP.w*2)&lt;bioavai.cutoff.diameter*0.000000001,'nano micro output'!F11,IF((RadA.w*2)&lt;bioavai.cutoff.diameter*0.000000001,'nano micro output'!N11+'nano micro output'!N25,IF((RadS*2)&lt;bioavai.cutoff.diameter*0.000000001,'nano micro output'!N11,0)))</f>
        <v>1.6963237729508088E-3</v>
      </c>
      <c r="W12" s="160" t="s">
        <v>156</v>
      </c>
    </row>
    <row r="13" spans="1:23" ht="15" x14ac:dyDescent="0.2">
      <c r="A13" s="104" t="s">
        <v>221</v>
      </c>
      <c r="B13">
        <f t="shared" si="2"/>
        <v>0.32564695391964532</v>
      </c>
      <c r="C13">
        <f t="shared" si="2"/>
        <v>7.9469754661214237E-5</v>
      </c>
      <c r="G13" s="160" t="s">
        <v>218</v>
      </c>
      <c r="I13" s="104" t="s">
        <v>221</v>
      </c>
      <c r="J13">
        <f>'all species output'!$M87</f>
        <v>5.511656184919707E-11</v>
      </c>
      <c r="K13">
        <f>'all species output'!$N87</f>
        <v>1.0509244033648762E-14</v>
      </c>
      <c r="O13" s="160" t="s">
        <v>156</v>
      </c>
      <c r="Q13" s="104" t="s">
        <v>219</v>
      </c>
      <c r="R13">
        <f>IF((RadP.w*2)&lt;bioavai.cutoff.diameter*0.000000001,'nano micro output'!B12,IF((RadA.w*2)&lt;bioavai.cutoff.diameter*0.000000001,'nano micro output'!J12+'nano micro output'!J26,IF((RadS*2)&lt;bioavai.cutoff.diameter*0.000000001,'nano micro output'!J12,0)))</f>
        <v>1.0504035913089988E-5</v>
      </c>
      <c r="S13">
        <f>IF((RadP.w*2)&lt;bioavai.cutoff.diameter*0.000000001,'nano micro output'!C12,IF((RadA.w*2)&lt;bioavai.cutoff.diameter*0.000000001,'nano micro output'!K12+'nano micro output'!K26,IF((RadS*2)&lt;bioavai.cutoff.diameter*0.000000001,'nano micro output'!K12,0)))</f>
        <v>6.7833874468674538E-7</v>
      </c>
      <c r="W13" s="160" t="s">
        <v>156</v>
      </c>
    </row>
    <row r="14" spans="1:23" ht="15" x14ac:dyDescent="0.2">
      <c r="A14" s="842" t="s">
        <v>222</v>
      </c>
      <c r="B14" s="487">
        <f t="shared" si="2"/>
        <v>1.4187397237090182E-2</v>
      </c>
      <c r="C14" s="487">
        <f t="shared" si="2"/>
        <v>8.1016045669531048E-5</v>
      </c>
      <c r="D14" s="487">
        <f>L14+L28+L42</f>
        <v>2.3876825379545857E-7</v>
      </c>
      <c r="E14" s="487">
        <f>M14+M28+M42</f>
        <v>5.1168773367124101E-8</v>
      </c>
      <c r="F14" s="487">
        <f>N14+N28+N42</f>
        <v>9.1559822497651183E-9</v>
      </c>
      <c r="G14" s="843" t="s">
        <v>218</v>
      </c>
      <c r="I14" s="842" t="s">
        <v>222</v>
      </c>
      <c r="J14" s="487">
        <f>'all species output'!$M95</f>
        <v>8.2621695044632931E-12</v>
      </c>
      <c r="K14" s="487">
        <f>'all species output'!$N95</f>
        <v>4.2036950756951946E-14</v>
      </c>
      <c r="L14" s="487">
        <f>'all species output'!$O95</f>
        <v>9.2218675216945145E-17</v>
      </c>
      <c r="M14" s="487">
        <f>'all species output'!$P95</f>
        <v>1.0786991368420008E-18</v>
      </c>
      <c r="N14" s="487">
        <f>'all species output'!$Q95</f>
        <v>6.519771206457758E-19</v>
      </c>
      <c r="O14" s="843" t="s">
        <v>156</v>
      </c>
      <c r="Q14" s="104" t="s">
        <v>221</v>
      </c>
      <c r="R14">
        <f>IF((RadP.w*2)&lt;bioavai.cutoff.diameter*0.000000001,'nano micro output'!B13,IF((RadA.w*2)&lt;bioavai.cutoff.diameter*0.000000001,'nano micro output'!J13+'nano micro output'!J27,IF((RadS*2)&lt;bioavai.cutoff.diameter*0.000000001,'nano micro output'!J13,0)))</f>
        <v>8.7598446529555218E-5</v>
      </c>
      <c r="S14">
        <f>IF((RadP.w*2)&lt;bioavai.cutoff.diameter*0.000000001,'nano micro output'!C13,IF((RadA.w*2)&lt;bioavai.cutoff.diameter*0.000000001,'nano micro output'!K13+'nano micro output'!K27,IF((RadS*2)&lt;bioavai.cutoff.diameter*0.000000001,'nano micro output'!K13,0)))</f>
        <v>3.7269135953297673E-7</v>
      </c>
      <c r="W14" s="160" t="s">
        <v>156</v>
      </c>
    </row>
    <row r="15" spans="1:23" ht="15" x14ac:dyDescent="0.2">
      <c r="Q15" s="842" t="s">
        <v>222</v>
      </c>
      <c r="R15" s="487">
        <f>IF((RadP.w*2)&lt;bioavai.cutoff.diameter*0.000000001,'nano micro output'!B14,IF((RadA.w*2)&lt;bioavai.cutoff.diameter*0.000000001,'nano micro output'!J14+'nano micro output'!J28,IF((RadS*2)&lt;bioavai.cutoff.diameter*0.000000001,'nano micro output'!J14,0)))</f>
        <v>1.0504035913089988E-5</v>
      </c>
      <c r="S15" s="487">
        <f>IF((RadP.w*2)&lt;bioavai.cutoff.diameter*0.000000001,'nano micro output'!C14,IF((RadA.w*2)&lt;bioavai.cutoff.diameter*0.000000001,'nano micro output'!K14+'nano micro output'!K28,IF((RadS*2)&lt;bioavai.cutoff.diameter*0.000000001,'nano micro output'!K14,0)))</f>
        <v>6.7833874468674548E-7</v>
      </c>
      <c r="T15" s="487">
        <f>IF((RadP.w*2)&lt;bioavai.cutoff.diameter*0.000000001,'nano micro output'!D14,IF((RadA.w*2)&lt;bioavai.cutoff.diameter*0.000000001,'nano micro output'!L14+'nano micro output'!L28,IF((RadS*2)&lt;bioavai.cutoff.diameter*0.000000001,'nano micro output'!L14,0)))</f>
        <v>4.8591710053365388E-8</v>
      </c>
      <c r="U15" s="487">
        <f>IF((RadP.w*2)&lt;bioavai.cutoff.diameter*0.000000001,'nano micro output'!E14,IF((RadA.w*2)&lt;bioavai.cutoff.diameter*0.000000001,'nano micro output'!M14+'nano micro output'!M28,IF((RadS*2)&lt;bioavai.cutoff.diameter*0.000000001,'nano micro output'!M14,0)))</f>
        <v>4.8818518638235283E-8</v>
      </c>
      <c r="V15" s="487">
        <f>IF((RadP.w*2)&lt;bioavai.cutoff.diameter*0.000000001,'nano micro output'!F14,IF((RadA.w*2)&lt;bioavai.cutoff.diameter*0.000000001,'nano micro output'!N14+'nano micro output'!N28,IF((RadS*2)&lt;bioavai.cutoff.diameter*0.000000001,'nano micro output'!N14,0)))</f>
        <v>7.742836603394522E-9</v>
      </c>
      <c r="W15" s="843" t="s">
        <v>156</v>
      </c>
    </row>
    <row r="16" spans="1:23" x14ac:dyDescent="0.2">
      <c r="I16" s="839" t="s">
        <v>259</v>
      </c>
      <c r="J16" s="634"/>
      <c r="K16" s="634"/>
      <c r="L16" s="634"/>
      <c r="M16" s="634"/>
      <c r="N16" s="634"/>
      <c r="O16" s="840"/>
    </row>
    <row r="17" spans="9:15" x14ac:dyDescent="0.2">
      <c r="I17" s="398"/>
      <c r="J17" t="s">
        <v>251</v>
      </c>
      <c r="K17" t="s">
        <v>252</v>
      </c>
      <c r="L17" t="s">
        <v>253</v>
      </c>
      <c r="M17" t="s">
        <v>254</v>
      </c>
      <c r="N17" t="s">
        <v>255</v>
      </c>
      <c r="O17" s="841"/>
    </row>
    <row r="18" spans="9:15" ht="15" x14ac:dyDescent="0.2">
      <c r="I18" s="452" t="s">
        <v>117</v>
      </c>
      <c r="J18">
        <f>'all species output'!$M16</f>
        <v>1.2699986825975714E-7</v>
      </c>
      <c r="K18">
        <f>'all species output'!$N16</f>
        <v>1.7468303463748645E-8</v>
      </c>
      <c r="L18">
        <f>'all species output'!$O16</f>
        <v>1.3064705396857012E-9</v>
      </c>
      <c r="M18">
        <f>'all species output'!$P16</f>
        <v>5.7302209297159202E-10</v>
      </c>
      <c r="N18">
        <f>'all species output'!$Q16</f>
        <v>3.370726373326665E-10</v>
      </c>
      <c r="O18" s="160" t="s">
        <v>118</v>
      </c>
    </row>
    <row r="19" spans="9:15" ht="15" x14ac:dyDescent="0.2">
      <c r="I19" s="104" t="s">
        <v>138</v>
      </c>
      <c r="J19">
        <f>'all species output'!$M24</f>
        <v>1.347659686842507E-7</v>
      </c>
      <c r="K19">
        <f>'all species output'!$N24</f>
        <v>8.8859378133144391E-8</v>
      </c>
      <c r="O19" s="160" t="s">
        <v>139</v>
      </c>
    </row>
    <row r="20" spans="9:15" ht="15" x14ac:dyDescent="0.2">
      <c r="I20" s="104" t="s">
        <v>155</v>
      </c>
      <c r="J20">
        <f>'all species output'!$M32</f>
        <v>5.8544018148379542E-5</v>
      </c>
      <c r="K20">
        <f>'all species output'!$N32</f>
        <v>3.8885510767367235E-5</v>
      </c>
      <c r="O20" s="160" t="s">
        <v>156</v>
      </c>
    </row>
    <row r="21" spans="9:15" ht="15" x14ac:dyDescent="0.2">
      <c r="I21" s="104" t="s">
        <v>185</v>
      </c>
      <c r="J21">
        <f>'all species output'!$M40</f>
        <v>4.0069613399015293E-4</v>
      </c>
      <c r="K21">
        <f>'all species output'!$N40</f>
        <v>1.4110667063037211E-6</v>
      </c>
      <c r="O21" s="160" t="s">
        <v>139</v>
      </c>
    </row>
    <row r="22" spans="9:15" ht="15" x14ac:dyDescent="0.2">
      <c r="I22" s="104" t="s">
        <v>190</v>
      </c>
      <c r="J22">
        <f>'all species output'!$M48</f>
        <v>1.7136967824684955E-2</v>
      </c>
      <c r="K22">
        <f>'all species output'!$N48</f>
        <v>6.1339566426234072E-5</v>
      </c>
      <c r="O22" s="160" t="s">
        <v>156</v>
      </c>
    </row>
    <row r="23" spans="9:15" ht="15" x14ac:dyDescent="0.2">
      <c r="I23" s="104" t="s">
        <v>201</v>
      </c>
      <c r="J23">
        <f>'all species output'!$M56</f>
        <v>5.0977146414919715E-5</v>
      </c>
      <c r="K23">
        <f>'all species output'!$N56</f>
        <v>1.208770748156531E-5</v>
      </c>
      <c r="L23">
        <f>'all species output'!$O56</f>
        <v>1.20682407998101E-5</v>
      </c>
      <c r="M23">
        <f>'all species output'!$P56</f>
        <v>1.4677466787318312E-5</v>
      </c>
      <c r="N23">
        <f>'all species output'!$Q56</f>
        <v>1.2086490288191676E-5</v>
      </c>
      <c r="O23" s="160" t="s">
        <v>139</v>
      </c>
    </row>
    <row r="24" spans="9:15" ht="15" x14ac:dyDescent="0.2">
      <c r="I24" s="104" t="s">
        <v>214</v>
      </c>
      <c r="L24">
        <f>'all species output'!$O64</f>
        <v>1.2088609529636293E-5</v>
      </c>
      <c r="M24">
        <f>'all species output'!$P64</f>
        <v>1.2067720853131519E-5</v>
      </c>
      <c r="N24">
        <f>'all species output'!$Q64</f>
        <v>1.3006464604111069E-5</v>
      </c>
      <c r="O24" s="160" t="s">
        <v>139</v>
      </c>
    </row>
    <row r="25" spans="9:15" ht="15" x14ac:dyDescent="0.2">
      <c r="I25" s="104" t="s">
        <v>217</v>
      </c>
      <c r="J25">
        <f>'all species output'!$M72</f>
        <v>6.5405166376999542E-3</v>
      </c>
      <c r="K25">
        <f>'all species output'!$N72</f>
        <v>1.576359797596665E-3</v>
      </c>
      <c r="L25">
        <f>'all species output'!$O72</f>
        <v>1.5764774338246509E-3</v>
      </c>
      <c r="M25">
        <f>'all species output'!$P72</f>
        <v>1.5737533382989E-3</v>
      </c>
      <c r="N25">
        <f>'all species output'!$Q72</f>
        <v>1.6963237729508088E-3</v>
      </c>
      <c r="O25" s="160" t="s">
        <v>156</v>
      </c>
    </row>
    <row r="26" spans="9:15" ht="15" x14ac:dyDescent="0.2">
      <c r="I26" s="104" t="s">
        <v>219</v>
      </c>
      <c r="J26">
        <f>'all species output'!$M80</f>
        <v>1.0504027650920483E-5</v>
      </c>
      <c r="K26">
        <f>'all species output'!$N80</f>
        <v>6.7833870264979458E-7</v>
      </c>
      <c r="O26" s="160" t="s">
        <v>156</v>
      </c>
    </row>
    <row r="27" spans="9:15" ht="15" x14ac:dyDescent="0.2">
      <c r="I27" s="104" t="s">
        <v>221</v>
      </c>
      <c r="J27">
        <f>'all species output'!$M88</f>
        <v>8.7598391412993363E-5</v>
      </c>
      <c r="K27">
        <f>'all species output'!$N88</f>
        <v>3.7269134902373271E-7</v>
      </c>
      <c r="O27" s="160" t="s">
        <v>156</v>
      </c>
    </row>
    <row r="28" spans="9:15" ht="15" x14ac:dyDescent="0.2">
      <c r="I28" s="842" t="s">
        <v>222</v>
      </c>
      <c r="J28" s="487">
        <f>'all species output'!$M96</f>
        <v>1.0504027650920483E-5</v>
      </c>
      <c r="K28" s="487">
        <f>'all species output'!$N96</f>
        <v>6.7833870264979468E-7</v>
      </c>
      <c r="L28" s="487">
        <f>'all species output'!$O96</f>
        <v>4.8591709961146714E-8</v>
      </c>
      <c r="M28" s="487">
        <f>'all species output'!$P96</f>
        <v>4.8818518637156587E-8</v>
      </c>
      <c r="N28" s="487">
        <f>'all species output'!$Q96</f>
        <v>7.7428366027425449E-9</v>
      </c>
      <c r="O28" s="843" t="s">
        <v>156</v>
      </c>
    </row>
    <row r="30" spans="9:15" x14ac:dyDescent="0.2">
      <c r="I30" s="839" t="s">
        <v>260</v>
      </c>
      <c r="J30" s="634"/>
      <c r="K30" s="634"/>
      <c r="L30" s="634"/>
      <c r="M30" s="634"/>
      <c r="N30" s="634"/>
      <c r="O30" s="840"/>
    </row>
    <row r="31" spans="9:15" x14ac:dyDescent="0.2">
      <c r="I31" s="398"/>
      <c r="J31" t="s">
        <v>251</v>
      </c>
      <c r="K31" t="s">
        <v>252</v>
      </c>
      <c r="L31" t="s">
        <v>253</v>
      </c>
      <c r="M31" t="s">
        <v>254</v>
      </c>
      <c r="N31" t="s">
        <v>255</v>
      </c>
      <c r="O31" s="841"/>
    </row>
    <row r="32" spans="9:15" ht="15" x14ac:dyDescent="0.2">
      <c r="I32" s="452" t="s">
        <v>117</v>
      </c>
      <c r="J32">
        <f>'all species output'!$M17</f>
        <v>8.0402574095871152E-11</v>
      </c>
      <c r="K32">
        <f>'all species output'!$N17</f>
        <v>7.6493281797731583E-13</v>
      </c>
      <c r="L32">
        <f>'all species output'!$O17</f>
        <v>2.2822885505640605E-15</v>
      </c>
      <c r="M32">
        <f>'all species output'!$P17</f>
        <v>8.70892065872253E-17</v>
      </c>
      <c r="N32">
        <f>'all species output'!$Q17</f>
        <v>1.0407990394243387E-17</v>
      </c>
      <c r="O32" s="160" t="s">
        <v>118</v>
      </c>
    </row>
    <row r="33" spans="9:15" ht="15" x14ac:dyDescent="0.2">
      <c r="I33" s="104" t="s">
        <v>138</v>
      </c>
      <c r="J33">
        <f>'all species output'!$M25</f>
        <v>1.015994802759543E-10</v>
      </c>
      <c r="K33">
        <f>'all species output'!$N25</f>
        <v>1.0045576306938468E-12</v>
      </c>
      <c r="O33" s="160" t="s">
        <v>139</v>
      </c>
    </row>
    <row r="34" spans="9:15" ht="15" x14ac:dyDescent="0.2">
      <c r="I34" s="104" t="s">
        <v>155</v>
      </c>
      <c r="J34">
        <f>'all species output'!$M33</f>
        <v>2.6461200502732953E-5</v>
      </c>
      <c r="K34">
        <f>'all species output'!$N33</f>
        <v>2.635574659428071E-7</v>
      </c>
      <c r="O34" s="160" t="s">
        <v>156</v>
      </c>
    </row>
    <row r="35" spans="9:15" ht="15" x14ac:dyDescent="0.2">
      <c r="I35" s="104" t="s">
        <v>185</v>
      </c>
      <c r="J35">
        <f>'all species output'!$M41</f>
        <v>5.3612099504906611E-6</v>
      </c>
      <c r="K35">
        <f>'all species output'!$N41</f>
        <v>1.4782687643203376E-9</v>
      </c>
      <c r="O35" s="160" t="s">
        <v>139</v>
      </c>
    </row>
    <row r="36" spans="9:15" ht="15" x14ac:dyDescent="0.2">
      <c r="I36" s="104" t="s">
        <v>190</v>
      </c>
      <c r="J36">
        <f>'all species output'!$M49</f>
        <v>0.13746647107452986</v>
      </c>
      <c r="K36">
        <f>'all species output'!$N49</f>
        <v>3.8526738840546812E-5</v>
      </c>
      <c r="O36" s="160" t="s">
        <v>156</v>
      </c>
    </row>
    <row r="37" spans="9:15" ht="15" x14ac:dyDescent="0.2">
      <c r="I37" s="104" t="s">
        <v>201</v>
      </c>
      <c r="J37">
        <f>'all species output'!$M57</f>
        <v>4.4768232150859871E-7</v>
      </c>
      <c r="K37">
        <f>'all species output'!$N57</f>
        <v>4.9021243602058609E-10</v>
      </c>
      <c r="L37">
        <f>'all species output'!$O57</f>
        <v>4.3801119631488058E-10</v>
      </c>
      <c r="M37">
        <f>'all species output'!$P57</f>
        <v>2.5483223763244902E-10</v>
      </c>
      <c r="N37">
        <f>'all species output'!$Q57</f>
        <v>8.7972097900489527E-10</v>
      </c>
      <c r="O37" s="160" t="s">
        <v>139</v>
      </c>
    </row>
    <row r="38" spans="9:15" ht="15" x14ac:dyDescent="0.2">
      <c r="I38" s="104" t="s">
        <v>214</v>
      </c>
      <c r="L38">
        <f>'all species output'!$O65</f>
        <v>8.8526972578471771E-10</v>
      </c>
      <c r="M38">
        <f>'all species output'!$P65</f>
        <v>4.3748701700639404E-10</v>
      </c>
      <c r="N38">
        <f>'all species output'!$Q65</f>
        <v>2.0833364980982031E-9</v>
      </c>
      <c r="O38" s="160" t="s">
        <v>139</v>
      </c>
    </row>
    <row r="39" spans="9:15" ht="15" x14ac:dyDescent="0.2">
      <c r="I39" s="104" t="s">
        <v>217</v>
      </c>
      <c r="J39">
        <f>'all species output'!$M73</f>
        <v>3.4436750676301711E-2</v>
      </c>
      <c r="K39">
        <f>'all species output'!$N73</f>
        <v>3.8327581968757074E-5</v>
      </c>
      <c r="L39">
        <f>'all species output'!$O73</f>
        <v>6.9215396195616171E-5</v>
      </c>
      <c r="M39">
        <f>'all species output'!$P73</f>
        <v>3.4205210378898251E-5</v>
      </c>
      <c r="N39">
        <f>'all species output'!$Q73</f>
        <v>1.6290131696853783E-4</v>
      </c>
      <c r="O39" s="160" t="s">
        <v>156</v>
      </c>
    </row>
    <row r="40" spans="9:15" ht="15" x14ac:dyDescent="0.2">
      <c r="I40" s="104" t="s">
        <v>219</v>
      </c>
      <c r="J40">
        <f>'all species output'!$M81</f>
        <v>1.4176893201177092E-2</v>
      </c>
      <c r="K40">
        <f>'all species output'!$N81</f>
        <v>8.0337706924844319E-5</v>
      </c>
      <c r="O40" s="160" t="s">
        <v>156</v>
      </c>
    </row>
    <row r="41" spans="9:15" ht="15" x14ac:dyDescent="0.2">
      <c r="I41" s="104" t="s">
        <v>221</v>
      </c>
      <c r="J41">
        <f>'all species output'!$M89</f>
        <v>0.32555935547311576</v>
      </c>
      <c r="K41">
        <f>'all species output'!$N89</f>
        <v>7.9097063301681258E-5</v>
      </c>
      <c r="O41" s="160" t="s">
        <v>156</v>
      </c>
    </row>
    <row r="42" spans="9:15" ht="15" x14ac:dyDescent="0.2">
      <c r="I42" s="842" t="s">
        <v>222</v>
      </c>
      <c r="J42" s="487">
        <f>'all species output'!$M97</f>
        <v>1.4176893201177092E-2</v>
      </c>
      <c r="K42" s="487">
        <f>'all species output'!$N97</f>
        <v>8.0337706924844306E-5</v>
      </c>
      <c r="L42" s="487">
        <f>'all species output'!$O97</f>
        <v>1.9017654374209319E-7</v>
      </c>
      <c r="M42" s="487">
        <f>'all species output'!$P97</f>
        <v>2.3502547288888173E-9</v>
      </c>
      <c r="N42" s="487">
        <f>'all species output'!$Q97</f>
        <v>1.4131456463705956E-9</v>
      </c>
      <c r="O42" s="843" t="s">
        <v>156</v>
      </c>
    </row>
    <row r="75" spans="1:1" x14ac:dyDescent="0.2">
      <c r="A75" s="172"/>
    </row>
    <row r="76" spans="1:1" x14ac:dyDescent="0.2">
      <c r="A76" s="172"/>
    </row>
    <row r="77" spans="1:1" x14ac:dyDescent="0.2">
      <c r="A77" s="172"/>
    </row>
    <row r="78" spans="1:1" x14ac:dyDescent="0.2">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zoomScaleNormal="100" workbookViewId="0">
      <selection activeCell="N6" sqref="N6"/>
    </sheetView>
  </sheetViews>
  <sheetFormatPr defaultColWidth="9.140625" defaultRowHeight="12.75" customHeight="1" x14ac:dyDescent="0.2"/>
  <cols>
    <col min="1" max="5" width="1.7109375" customWidth="1" collapsed="1"/>
    <col min="6" max="6" width="65.7109375" customWidth="1" collapsed="1"/>
    <col min="7" max="7" width="16" style="172" bestFit="1" customWidth="1" collapsed="1"/>
    <col min="8" max="8" width="11.42578125" style="172" bestFit="1" customWidth="1" collapsed="1"/>
    <col min="9" max="9" width="8" style="14" customWidth="1" collapsed="1"/>
    <col min="10" max="10" width="8.7109375" customWidth="1" collapsed="1"/>
    <col min="11" max="11" width="8.85546875" customWidth="1" collapsed="1"/>
    <col min="12" max="12" width="9.7109375" customWidth="1" collapsed="1"/>
    <col min="13" max="13" width="9.140625" collapsed="1"/>
    <col min="14" max="14" width="67.28515625" customWidth="1" collapsed="1"/>
    <col min="15" max="15" width="9.140625" style="27" collapsed="1"/>
    <col min="16" max="17" width="23.85546875" style="27" customWidth="1" collapsed="1"/>
    <col min="18" max="18" width="10.42578125" style="27" bestFit="1" customWidth="1" collapsed="1"/>
    <col min="19" max="19" width="11.42578125" bestFit="1" customWidth="1" collapsed="1"/>
    <col min="20" max="24" width="10.42578125" bestFit="1" customWidth="1" collapsed="1"/>
    <col min="25" max="25" width="11.42578125" bestFit="1" customWidth="1" collapsed="1"/>
    <col min="26" max="34" width="9.140625" style="27" collapsed="1"/>
    <col min="35" max="39" width="9.140625" style="27"/>
    <col min="40" max="16384" width="9.140625" style="27" collapsed="1"/>
  </cols>
  <sheetData>
    <row r="1" spans="1:34" s="26" customFormat="1" ht="12.75" customHeight="1" x14ac:dyDescent="0.25">
      <c r="A1" s="41" t="s">
        <v>261</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2">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2">
      <c r="A3" s="148" t="s">
        <v>262</v>
      </c>
      <c r="B3" s="147"/>
      <c r="C3" s="147"/>
      <c r="D3" s="147"/>
      <c r="E3" s="147"/>
      <c r="F3" s="147"/>
      <c r="G3" s="148" t="s">
        <v>263</v>
      </c>
      <c r="H3" s="148"/>
      <c r="I3" s="150" t="s">
        <v>264</v>
      </c>
      <c r="J3" s="150"/>
      <c r="K3" s="150" t="s">
        <v>265</v>
      </c>
      <c r="L3" s="150" t="s">
        <v>266</v>
      </c>
      <c r="M3" s="147"/>
      <c r="N3" s="148" t="s">
        <v>267</v>
      </c>
      <c r="O3" s="271" t="s">
        <v>268</v>
      </c>
      <c r="P3" s="411" t="s">
        <v>269</v>
      </c>
    </row>
    <row r="4" spans="1:34" s="26" customFormat="1" ht="12.75" customHeight="1" x14ac:dyDescent="0.2">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4.95" customHeight="1" x14ac:dyDescent="0.2">
      <c r="A5" s="144" t="s">
        <v>66</v>
      </c>
      <c r="B5" s="17"/>
      <c r="C5" s="17"/>
      <c r="D5" s="17"/>
      <c r="E5" s="17"/>
      <c r="F5" s="17"/>
      <c r="G5" s="144" t="s">
        <v>270</v>
      </c>
      <c r="H5" s="1006" t="s">
        <v>4267</v>
      </c>
      <c r="I5" s="1007"/>
      <c r="J5" s="856" t="str">
        <f>IF(HLOOKUP(CaseName,CaseData,MATCH($G5,cases!$G$3:$G$1232,0)-1,FALSE)="","",HLOOKUP(CaseName,CaseData,MATCH($G5,cases!$G$3:$G$1232,0)-1,FALSE))</f>
        <v/>
      </c>
      <c r="K5" s="152" t="s">
        <v>272</v>
      </c>
      <c r="L5" s="153" t="str">
        <f>IF(ISBLANK(I6),IF(ISBLANK(H5),IF(J5="",K5,J5),H5),VLOOKUP(ChemRowNr,substances!A9:B4019,2,0))</f>
        <v>nTiO2_10nm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2">
      <c r="A6" s="38"/>
      <c r="B6" s="17"/>
      <c r="C6" s="17"/>
      <c r="D6" s="17"/>
      <c r="E6" s="17"/>
      <c r="F6" s="17"/>
      <c r="G6" s="38" t="s">
        <v>273</v>
      </c>
      <c r="H6" s="1008"/>
      <c r="I6" s="1009"/>
      <c r="J6" s="855"/>
      <c r="K6" s="159">
        <f>VLOOKUP(ChemName,ChemData,27,FALSE)</f>
        <v>10</v>
      </c>
      <c r="L6" s="256">
        <f>IF(ISBLANK(I6),IF(J6=0,K6,J6),I6)</f>
        <v>10</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2">
      <c r="A7" s="38"/>
      <c r="B7" s="38"/>
      <c r="C7" s="38"/>
      <c r="D7" s="38"/>
      <c r="E7" s="38"/>
      <c r="F7" s="38"/>
      <c r="G7" s="38"/>
      <c r="H7" s="38"/>
      <c r="I7" s="38"/>
      <c r="J7" s="857"/>
      <c r="K7" s="38"/>
      <c r="L7" s="38"/>
      <c r="M7" s="17"/>
      <c r="N7" s="216"/>
      <c r="O7" s="215"/>
      <c r="P7" s="215"/>
      <c r="Q7" s="11"/>
      <c r="R7" s="11"/>
      <c r="S7"/>
      <c r="T7"/>
      <c r="U7"/>
      <c r="V7"/>
      <c r="W7"/>
      <c r="X7"/>
      <c r="Y7"/>
      <c r="Z7" s="11"/>
      <c r="AA7" s="11"/>
      <c r="AB7" s="11"/>
      <c r="AC7" s="11"/>
      <c r="AD7" s="11"/>
      <c r="AE7" s="11"/>
      <c r="AF7" s="11"/>
      <c r="AG7" s="11"/>
      <c r="AH7" s="11"/>
    </row>
    <row r="8" spans="1:34" s="26" customFormat="1" ht="24.95" customHeight="1" x14ac:dyDescent="0.2">
      <c r="A8" s="145" t="s">
        <v>68</v>
      </c>
      <c r="B8" s="145"/>
      <c r="C8" s="145"/>
      <c r="D8" s="145"/>
      <c r="E8" s="145"/>
      <c r="F8" s="145"/>
      <c r="G8" s="144" t="s">
        <v>274</v>
      </c>
      <c r="H8" s="1004" t="s">
        <v>275</v>
      </c>
      <c r="I8" s="1005"/>
      <c r="J8" s="856" t="str">
        <f>IF(HLOOKUP(CaseName,CaseData,MATCH($G8,cases!$G$3:$G$1232,0)-1,FALSE)="","",HLOOKUP(CaseName,CaseData,MATCH($G8,cases!$G$3:$G$1232,0)-1,FALSE))</f>
        <v/>
      </c>
      <c r="K8" s="152" t="s">
        <v>275</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2">
      <c r="A9" s="38"/>
      <c r="B9" s="17"/>
      <c r="C9" s="17"/>
      <c r="D9" s="17"/>
      <c r="E9" s="17"/>
      <c r="F9" s="17"/>
      <c r="G9" s="38"/>
      <c r="H9" s="38"/>
      <c r="I9" s="174"/>
      <c r="J9" s="858"/>
      <c r="K9" s="151"/>
      <c r="L9" s="151"/>
      <c r="M9" s="17"/>
      <c r="N9" s="38"/>
      <c r="O9" s="215"/>
      <c r="P9" s="215"/>
      <c r="Q9" s="11"/>
      <c r="R9" s="11"/>
      <c r="S9"/>
      <c r="T9"/>
      <c r="U9"/>
      <c r="V9"/>
      <c r="W9"/>
      <c r="X9"/>
      <c r="Y9"/>
      <c r="Z9" s="11"/>
      <c r="AA9" s="11"/>
      <c r="AB9" s="11"/>
      <c r="AC9" s="11"/>
      <c r="AD9" s="11"/>
      <c r="AE9" s="11"/>
      <c r="AF9" s="11"/>
      <c r="AG9" s="11"/>
      <c r="AH9" s="11"/>
    </row>
    <row r="10" spans="1:34" s="26" customFormat="1" ht="24.95" customHeight="1" x14ac:dyDescent="0.2">
      <c r="A10" s="144" t="s">
        <v>70</v>
      </c>
      <c r="B10" s="17"/>
      <c r="C10" s="17"/>
      <c r="D10" s="17"/>
      <c r="E10" s="17"/>
      <c r="F10" s="17"/>
      <c r="G10" s="144" t="s">
        <v>276</v>
      </c>
      <c r="H10" s="1004" t="s">
        <v>277</v>
      </c>
      <c r="I10" s="1005"/>
      <c r="J10" s="856" t="str">
        <f>IF(HLOOKUP(CaseName,CaseData,MATCH($G10,cases!$G$3:$G$1232,0)-1,FALSE)="","",HLOOKUP(CaseName,CaseData,MATCH($G10,cases!$G$3:$G$1232,0)-1,FALSE))</f>
        <v/>
      </c>
      <c r="K10" s="152" t="s">
        <v>277</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2">
      <c r="A11" s="17"/>
      <c r="B11" s="17"/>
      <c r="C11" s="17"/>
      <c r="D11" s="17"/>
      <c r="E11" s="17"/>
      <c r="F11" s="17"/>
      <c r="G11" s="38"/>
      <c r="H11" s="38"/>
      <c r="I11" s="175"/>
      <c r="J11" s="17"/>
      <c r="K11" s="17"/>
      <c r="L11" s="17"/>
      <c r="M11" s="17"/>
      <c r="N11" s="17"/>
      <c r="O11" s="215"/>
      <c r="P11" s="215"/>
      <c r="Q11" s="11"/>
      <c r="R11" s="11"/>
      <c r="S11"/>
      <c r="T11"/>
      <c r="U11"/>
      <c r="V11"/>
      <c r="W11"/>
      <c r="X11"/>
      <c r="Y11"/>
      <c r="Z11" s="11"/>
      <c r="AA11" s="686"/>
      <c r="AB11" s="686"/>
      <c r="AC11" s="686"/>
      <c r="AD11" s="686"/>
      <c r="AE11" s="686"/>
      <c r="AF11" s="686"/>
      <c r="AG11" s="686"/>
      <c r="AH11" s="11"/>
    </row>
    <row r="12" spans="1:34" s="722" customFormat="1" ht="12.75" customHeight="1" x14ac:dyDescent="0.2">
      <c r="A12" s="581" t="s">
        <v>278</v>
      </c>
      <c r="B12" s="581"/>
      <c r="C12" s="581"/>
      <c r="D12" s="581"/>
      <c r="E12" s="581"/>
      <c r="F12" s="581"/>
      <c r="G12" s="588" t="s">
        <v>263</v>
      </c>
      <c r="H12" s="588" t="s">
        <v>279</v>
      </c>
      <c r="I12" s="730" t="s">
        <v>264</v>
      </c>
      <c r="J12" s="731" t="s">
        <v>280</v>
      </c>
      <c r="K12" s="589" t="s">
        <v>265</v>
      </c>
      <c r="L12" s="589" t="s">
        <v>266</v>
      </c>
      <c r="M12" s="581"/>
      <c r="N12" s="588" t="s">
        <v>267</v>
      </c>
      <c r="O12" s="584" t="s">
        <v>268</v>
      </c>
      <c r="P12" s="581" t="s">
        <v>269</v>
      </c>
      <c r="Q12" s="723"/>
      <c r="R12" s="723"/>
      <c r="S12" s="413"/>
      <c r="T12" s="413"/>
      <c r="U12" s="413"/>
      <c r="V12" s="413"/>
      <c r="W12" s="413"/>
      <c r="X12" s="413"/>
      <c r="Y12" s="413"/>
      <c r="Z12" s="723"/>
      <c r="AA12" s="723"/>
      <c r="AB12" s="723"/>
      <c r="AC12" s="723"/>
      <c r="AD12" s="723"/>
      <c r="AE12" s="723"/>
      <c r="AF12" s="723"/>
      <c r="AG12" s="723"/>
      <c r="AH12" s="723"/>
    </row>
    <row r="13" spans="1:34" s="11" customFormat="1" ht="12.75" customHeight="1" x14ac:dyDescent="0.2">
      <c r="A13" s="587"/>
      <c r="B13" s="567"/>
      <c r="C13" s="567"/>
      <c r="D13" s="567"/>
      <c r="E13" s="567"/>
      <c r="F13" s="567"/>
      <c r="G13" s="567"/>
      <c r="H13" s="567"/>
      <c r="I13" s="586"/>
      <c r="J13" s="586"/>
      <c r="K13" s="621"/>
      <c r="L13" s="621"/>
      <c r="M13" s="567"/>
      <c r="N13" s="567"/>
      <c r="O13" s="585"/>
      <c r="P13" s="585"/>
      <c r="S13"/>
      <c r="T13"/>
      <c r="U13"/>
      <c r="V13"/>
      <c r="W13"/>
      <c r="X13"/>
      <c r="Y13"/>
    </row>
    <row r="14" spans="1:34" s="11" customFormat="1" ht="12.75" customHeight="1" x14ac:dyDescent="0.2">
      <c r="A14" s="567"/>
      <c r="B14" s="567" t="s">
        <v>281</v>
      </c>
      <c r="C14" s="567"/>
      <c r="D14" s="567"/>
      <c r="E14" s="567"/>
      <c r="F14" s="592"/>
      <c r="G14" s="781" t="s">
        <v>282</v>
      </c>
      <c r="H14" s="593" t="s">
        <v>283</v>
      </c>
      <c r="I14" s="570"/>
      <c r="J14" s="569">
        <f>IF(HLOOKUP(CaseName,CaseData,MATCH($G14,cases!$G$3:$G$1232,0)-1,FALSE)="",IF(ISBLANK(VLOOKUP(ChemName,ChemData,MATCH(G14,substances!$3:$3,FALSE)-1,FALSE)),"",VLOOKUP(ChemName,ChemData,MATCH(G14,substances!$3:$3,FALSE)-1,FALSE)),HLOOKUP(CaseName,CaseData,MATCH($G14,cases!$G$3:$G$1232,0)-1,FALSE))</f>
        <v>5</v>
      </c>
      <c r="K14" s="725">
        <v>10</v>
      </c>
      <c r="L14" s="552">
        <f>IF(ISBLANK(I14), IF(ISNUMBER(J14)=FALSE, K14*10^-9, J14*10^-9), I14*10^-9)</f>
        <v>5.0000000000000001E-9</v>
      </c>
      <c r="M14" s="567" t="s">
        <v>284</v>
      </c>
      <c r="N14" s="567">
        <f>VLOOKUP(ChemName,ChemData,MATCH(G14,substances!$3:$3,FALSE)-1,FALSE)</f>
        <v>5</v>
      </c>
      <c r="O14" s="585">
        <f>MATCH(G14,substances!$3:$3,FALSE)</f>
        <v>30</v>
      </c>
      <c r="P14" s="585"/>
      <c r="S14"/>
      <c r="T14"/>
      <c r="U14"/>
      <c r="V14"/>
      <c r="W14"/>
      <c r="X14"/>
      <c r="Y14"/>
    </row>
    <row r="15" spans="1:34" s="11" customFormat="1" ht="12.75" customHeight="1" x14ac:dyDescent="0.2">
      <c r="A15" s="567"/>
      <c r="B15" s="567" t="s">
        <v>285</v>
      </c>
      <c r="C15" s="567"/>
      <c r="D15" s="567"/>
      <c r="E15" s="567"/>
      <c r="F15" s="592"/>
      <c r="G15" s="781" t="s">
        <v>286</v>
      </c>
      <c r="H15" s="593" t="s">
        <v>287</v>
      </c>
      <c r="I15" s="570"/>
      <c r="J15" s="569">
        <f>IF(HLOOKUP(CaseName,CaseData,MATCH($G15,cases!$G$3:$G$1232,0)-1,FALSE)="",IF(ISBLANK(VLOOKUP(ChemName,ChemData,MATCH(G15,substances!$3:$3,FALSE)-1,FALSE)),"",VLOOKUP(ChemName,ChemData,MATCH(G15,substances!$3:$3,FALSE)-1,FALSE)),HLOOKUP(CaseName,CaseData,MATCH($G15,cases!$G$3:$G$1232,0)-1,FALSE))</f>
        <v>4230</v>
      </c>
      <c r="K15" s="725">
        <f>4.23*10^3</f>
        <v>4230</v>
      </c>
      <c r="L15" s="552">
        <f>IF(ISBLANK(I15), IF(ISNUMBER(J15)=FALSE, K15, J15), I15)</f>
        <v>4230</v>
      </c>
      <c r="M15" s="567" t="s">
        <v>288</v>
      </c>
      <c r="N15" s="567"/>
      <c r="O15" s="585"/>
      <c r="P15" s="585"/>
      <c r="S15"/>
      <c r="T15"/>
      <c r="U15"/>
      <c r="V15"/>
      <c r="W15"/>
      <c r="X15"/>
      <c r="Y15"/>
    </row>
    <row r="16" spans="1:34" s="11" customFormat="1" ht="12.75" customHeight="1" x14ac:dyDescent="0.2">
      <c r="A16" s="567"/>
      <c r="B16" s="567" t="s">
        <v>289</v>
      </c>
      <c r="C16" s="585"/>
      <c r="D16" s="567"/>
      <c r="E16" s="567"/>
      <c r="F16" s="567"/>
      <c r="G16" s="782" t="s">
        <v>290</v>
      </c>
      <c r="H16" s="567" t="s">
        <v>291</v>
      </c>
      <c r="I16" s="570"/>
      <c r="J16" s="569">
        <f>IF(HLOOKUP(CaseName,CaseData,MATCH($G16,cases!$G$3:$G$1232,0)-1,FALSE)="",IF(ISBLANK(VLOOKUP(ChemName,ChemData,MATCH(G16,substances!$3:$3,FALSE)-1,FALSE)),"",VLOOKUP(ChemName,ChemData,MATCH(G16,substances!$3:$3,FALSE)-1,FALSE)),HLOOKUP(CaseName,CaseData,MATCH($G16,cases!$G$3:$G$1232,0)-1,FALSE))</f>
        <v>6.9000000000000004E-21</v>
      </c>
      <c r="K16" s="699">
        <f>6.9*10^-21</f>
        <v>6.9000000000000004E-21</v>
      </c>
      <c r="L16" s="298">
        <f>IF(ISBLANK(I16),IF(ISNUMBER(J16)=FALSE,K16,J16),I16)</f>
        <v>6.9000000000000004E-21</v>
      </c>
      <c r="M16" s="567" t="s">
        <v>291</v>
      </c>
      <c r="N16" s="567"/>
      <c r="O16" s="585"/>
      <c r="P16" s="585"/>
    </row>
    <row r="17" spans="1:34" s="11" customFormat="1" ht="12.75" customHeight="1" x14ac:dyDescent="0.2">
      <c r="A17" s="567"/>
      <c r="B17" s="567"/>
      <c r="C17" s="567"/>
      <c r="D17" s="592"/>
      <c r="E17" s="593"/>
      <c r="F17" s="593"/>
      <c r="G17" s="595"/>
      <c r="H17" s="567"/>
      <c r="I17" s="572"/>
      <c r="J17" s="724"/>
      <c r="K17" s="699"/>
      <c r="L17" s="621"/>
      <c r="M17" s="567"/>
      <c r="N17" s="567"/>
      <c r="O17" s="585"/>
      <c r="P17" s="585"/>
      <c r="S17"/>
      <c r="T17"/>
      <c r="U17"/>
      <c r="V17"/>
      <c r="W17"/>
      <c r="X17"/>
      <c r="Y17"/>
    </row>
    <row r="18" spans="1:34" s="723" customFormat="1" ht="12.75" customHeight="1" x14ac:dyDescent="0.2">
      <c r="A18" s="581" t="s">
        <v>292</v>
      </c>
      <c r="B18" s="581"/>
      <c r="C18" s="581"/>
      <c r="D18" s="581"/>
      <c r="E18" s="581"/>
      <c r="F18" s="597"/>
      <c r="G18" s="598"/>
      <c r="H18" s="598"/>
      <c r="I18" s="726"/>
      <c r="J18" s="727"/>
      <c r="K18" s="728"/>
      <c r="L18" s="729"/>
      <c r="M18" s="581"/>
      <c r="N18" s="581"/>
      <c r="O18" s="596"/>
      <c r="P18" s="585"/>
      <c r="Q18" s="11"/>
      <c r="R18" s="11"/>
      <c r="S18"/>
      <c r="T18"/>
      <c r="U18"/>
      <c r="V18"/>
      <c r="W18"/>
      <c r="X18"/>
      <c r="Y18"/>
      <c r="Z18" s="11"/>
      <c r="AA18" s="11"/>
      <c r="AB18" s="11"/>
      <c r="AC18" s="11"/>
      <c r="AD18" s="11"/>
      <c r="AE18" s="11"/>
      <c r="AF18" s="11"/>
      <c r="AG18" s="11"/>
      <c r="AH18" s="11"/>
    </row>
    <row r="19" spans="1:34" s="11" customFormat="1" ht="12.75" customHeight="1" x14ac:dyDescent="0.2">
      <c r="A19" s="567"/>
      <c r="B19" s="567"/>
      <c r="C19" s="599"/>
      <c r="D19" s="599"/>
      <c r="E19" s="599"/>
      <c r="F19" s="600"/>
      <c r="G19" s="593"/>
      <c r="H19" s="593"/>
      <c r="I19" s="576"/>
      <c r="J19" s="724"/>
      <c r="K19" s="699"/>
      <c r="L19" s="621"/>
      <c r="M19" s="567"/>
      <c r="N19" s="567"/>
      <c r="O19" s="585"/>
      <c r="P19" s="585"/>
      <c r="S19"/>
      <c r="T19"/>
      <c r="U19"/>
      <c r="V19"/>
      <c r="W19"/>
      <c r="X19"/>
      <c r="Y19"/>
    </row>
    <row r="20" spans="1:34" s="11" customFormat="1" ht="12.75" customHeight="1" x14ac:dyDescent="0.2">
      <c r="A20" s="567"/>
      <c r="B20" s="567"/>
      <c r="C20" s="601" t="s">
        <v>293</v>
      </c>
      <c r="D20" s="599"/>
      <c r="E20" s="599"/>
      <c r="F20" s="599"/>
      <c r="G20" s="588" t="s">
        <v>263</v>
      </c>
      <c r="H20" s="588" t="s">
        <v>279</v>
      </c>
      <c r="I20" s="730" t="s">
        <v>264</v>
      </c>
      <c r="J20" s="731" t="s">
        <v>280</v>
      </c>
      <c r="K20" s="732" t="s">
        <v>265</v>
      </c>
      <c r="L20" s="589" t="s">
        <v>266</v>
      </c>
      <c r="M20" s="581"/>
      <c r="N20" s="588" t="s">
        <v>267</v>
      </c>
      <c r="O20" s="585"/>
      <c r="P20" s="585"/>
      <c r="S20"/>
      <c r="T20"/>
      <c r="U20"/>
      <c r="V20"/>
      <c r="W20"/>
      <c r="X20"/>
      <c r="Y20"/>
    </row>
    <row r="21" spans="1:34" s="11" customFormat="1" ht="12.75" customHeight="1" x14ac:dyDescent="0.2">
      <c r="A21" s="567"/>
      <c r="B21" s="567"/>
      <c r="C21" s="567" t="s">
        <v>294</v>
      </c>
      <c r="D21" s="567"/>
      <c r="E21" s="567"/>
      <c r="F21" s="567"/>
      <c r="G21" s="783" t="s">
        <v>295</v>
      </c>
      <c r="H21" s="568" t="s">
        <v>296</v>
      </c>
      <c r="I21" s="571"/>
      <c r="J21" s="569">
        <f>IF(HLOOKUP(CaseName,CaseData,MATCH($G21,cases!$G$3:$G$1232,0)-1,FALSE)="",IF(ISBLANK(VLOOKUP(ChemName,ChemData,MATCH(G21,substances!$3:$3,FALSE)-1,FALSE)),"",VLOOKUP(ChemName,ChemData,MATCH(G21,substances!$3:$3,FALSE)-1,FALSE)),HLOOKUP(CaseName,CaseData,MATCH($G21,cases!$G$3:$G$1232,0)-1,FALSE))</f>
        <v>0.02</v>
      </c>
      <c r="K21" s="699">
        <v>0.1</v>
      </c>
      <c r="L21" s="552">
        <f t="shared" ref="L21:L40" si="0">IF(ISBLANK(I21), IF(ISNUMBER(J21)=FALSE, K21, J21), I21)</f>
        <v>0.02</v>
      </c>
      <c r="M21" s="568" t="s">
        <v>297</v>
      </c>
      <c r="N21" s="567"/>
      <c r="O21" s="585"/>
      <c r="P21" s="585"/>
      <c r="S21"/>
      <c r="T21"/>
      <c r="U21"/>
      <c r="V21"/>
      <c r="W21"/>
      <c r="X21"/>
      <c r="Y21"/>
    </row>
    <row r="22" spans="1:34" s="11" customFormat="1" ht="12.75" customHeight="1" x14ac:dyDescent="0.2">
      <c r="A22" s="567"/>
      <c r="B22" s="567"/>
      <c r="C22" s="567" t="s">
        <v>298</v>
      </c>
      <c r="D22" s="567"/>
      <c r="E22" s="567"/>
      <c r="F22" s="567"/>
      <c r="G22" s="783" t="s">
        <v>299</v>
      </c>
      <c r="H22" s="568" t="s">
        <v>296</v>
      </c>
      <c r="I22" s="571"/>
      <c r="J22" s="569">
        <f>IF(HLOOKUP(CaseName,CaseData,MATCH($G22,cases!$G$3:$G$1232,0)-1,FALSE)="",IF(ISBLANK(VLOOKUP(ChemName,ChemData,MATCH(G22,substances!$3:$3,FALSE)-1,FALSE)),"",VLOOKUP(ChemName,ChemData,MATCH(G22,substances!$3:$3,FALSE)-1,FALSE)),HLOOKUP(CaseName,CaseData,MATCH($G22,cases!$G$3:$G$1232,0)-1,FALSE))</f>
        <v>0.02</v>
      </c>
      <c r="K22" s="699">
        <v>0.1</v>
      </c>
      <c r="L22" s="552">
        <f t="shared" si="0"/>
        <v>0.02</v>
      </c>
      <c r="M22" s="568" t="s">
        <v>297</v>
      </c>
      <c r="N22" s="567"/>
      <c r="O22" s="585"/>
      <c r="P22" s="585"/>
      <c r="S22"/>
      <c r="T22"/>
      <c r="U22"/>
      <c r="V22"/>
      <c r="W22"/>
      <c r="X22"/>
      <c r="Y22"/>
    </row>
    <row r="23" spans="1:34" s="11" customFormat="1" ht="12.75" customHeight="1" x14ac:dyDescent="0.2">
      <c r="A23" s="567"/>
      <c r="B23" s="567"/>
      <c r="C23" s="567" t="s">
        <v>300</v>
      </c>
      <c r="D23" s="567"/>
      <c r="E23" s="567"/>
      <c r="F23" s="567"/>
      <c r="G23" s="784" t="s">
        <v>301</v>
      </c>
      <c r="H23" s="568" t="s">
        <v>296</v>
      </c>
      <c r="I23" s="570"/>
      <c r="J23" s="569">
        <f>IF(HLOOKUP(CaseName,CaseData,MATCH($G23,cases!$G$3:$G$1232,0)-1,FALSE)="",IF(ISBLANK(VLOOKUP(ChemName,ChemData,MATCH(G23,substances!$3:$3,FALSE)-1,FALSE)),"",VLOOKUP(ChemName,ChemData,MATCH(G23,substances!$3:$3,FALSE)-1,FALSE)),HLOOKUP(CaseName,CaseData,MATCH($G23,cases!$G$3:$G$1232,0)-1,FALSE))</f>
        <v>0.02</v>
      </c>
      <c r="K23" s="699">
        <v>0.1</v>
      </c>
      <c r="L23" s="552">
        <f t="shared" si="0"/>
        <v>0.02</v>
      </c>
      <c r="M23" s="568" t="s">
        <v>297</v>
      </c>
      <c r="N23" s="567"/>
      <c r="O23" s="585"/>
      <c r="P23" s="585"/>
      <c r="S23"/>
      <c r="T23"/>
      <c r="U23"/>
      <c r="V23"/>
      <c r="W23"/>
      <c r="X23"/>
      <c r="Y23"/>
    </row>
    <row r="24" spans="1:34" s="11" customFormat="1" ht="12.75" customHeight="1" x14ac:dyDescent="0.2">
      <c r="A24" s="567"/>
      <c r="B24" s="567"/>
      <c r="C24" s="567" t="s">
        <v>302</v>
      </c>
      <c r="D24" s="567"/>
      <c r="E24" s="567"/>
      <c r="F24" s="567"/>
      <c r="G24" s="784" t="s">
        <v>303</v>
      </c>
      <c r="H24" s="568" t="s">
        <v>296</v>
      </c>
      <c r="I24" s="570"/>
      <c r="J24" s="569">
        <f>IF(HLOOKUP(CaseName,CaseData,MATCH($G24,cases!$G$3:$G$1232,0)-1,FALSE)="",IF(ISBLANK(VLOOKUP(ChemName,ChemData,MATCH(G24,substances!$3:$3,FALSE)-1,FALSE)),"",VLOOKUP(ChemName,ChemData,MATCH(G24,substances!$3:$3,FALSE)-1,FALSE)),HLOOKUP(CaseName,CaseData,MATCH($G24,cases!$G$3:$G$1232,0)-1,FALSE))</f>
        <v>0.02</v>
      </c>
      <c r="K24" s="699">
        <v>0.1</v>
      </c>
      <c r="L24" s="552">
        <f t="shared" si="0"/>
        <v>0.02</v>
      </c>
      <c r="M24" s="568" t="s">
        <v>297</v>
      </c>
      <c r="N24" s="567"/>
      <c r="O24" s="585"/>
      <c r="P24" s="585"/>
      <c r="S24"/>
      <c r="T24"/>
      <c r="U24"/>
      <c r="V24"/>
      <c r="W24"/>
      <c r="X24"/>
      <c r="Y24"/>
    </row>
    <row r="25" spans="1:34" s="11" customFormat="1" ht="12.75" customHeight="1" x14ac:dyDescent="0.2">
      <c r="A25" s="567"/>
      <c r="B25" s="567"/>
      <c r="C25" s="567" t="s">
        <v>304</v>
      </c>
      <c r="D25" s="567"/>
      <c r="E25" s="567"/>
      <c r="F25" s="567"/>
      <c r="G25" s="784" t="s">
        <v>305</v>
      </c>
      <c r="H25" s="568" t="s">
        <v>296</v>
      </c>
      <c r="I25" s="571"/>
      <c r="J25" s="569">
        <f>IF(HLOOKUP(CaseName,CaseData,MATCH($G25,cases!$G$3:$G$1232,0)-1,FALSE)="",IF(ISBLANK(VLOOKUP(ChemName,ChemData,MATCH(G25,substances!$3:$3,FALSE)-1,FALSE)),"",VLOOKUP(ChemName,ChemData,MATCH(G25,substances!$3:$3,FALSE)-1,FALSE)),HLOOKUP(CaseName,CaseData,MATCH($G25,cases!$G$3:$G$1232,0)-1,FALSE))</f>
        <v>1</v>
      </c>
      <c r="K25" s="699">
        <v>1</v>
      </c>
      <c r="L25" s="552">
        <f t="shared" si="0"/>
        <v>1</v>
      </c>
      <c r="M25" s="568" t="s">
        <v>297</v>
      </c>
      <c r="N25" s="567"/>
      <c r="O25" s="585"/>
      <c r="P25" s="585"/>
      <c r="S25"/>
      <c r="T25"/>
      <c r="U25"/>
      <c r="V25"/>
      <c r="W25"/>
      <c r="X25"/>
      <c r="Y25"/>
    </row>
    <row r="26" spans="1:34" s="11" customFormat="1" ht="12.75" customHeight="1" x14ac:dyDescent="0.2">
      <c r="A26" s="567"/>
      <c r="B26" s="567"/>
      <c r="C26" s="567" t="s">
        <v>306</v>
      </c>
      <c r="D26" s="567"/>
      <c r="E26" s="567"/>
      <c r="F26" s="567"/>
      <c r="G26" s="784" t="s">
        <v>307</v>
      </c>
      <c r="H26" s="568" t="s">
        <v>296</v>
      </c>
      <c r="I26" s="571"/>
      <c r="J26" s="569">
        <f>IF(HLOOKUP(CaseName,CaseData,MATCH($G26,cases!$G$3:$G$1232,0)-1,FALSE)="",IF(ISBLANK(VLOOKUP(ChemName,ChemData,MATCH(G26,substances!$3:$3,FALSE)-1,FALSE)),"",VLOOKUP(ChemName,ChemData,MATCH(G26,substances!$3:$3,FALSE)-1,FALSE)),HLOOKUP(CaseName,CaseData,MATCH($G26,cases!$G$3:$G$1232,0)-1,FALSE))</f>
        <v>1</v>
      </c>
      <c r="K26" s="699">
        <v>1</v>
      </c>
      <c r="L26" s="552">
        <f t="shared" si="0"/>
        <v>1</v>
      </c>
      <c r="M26" s="568" t="s">
        <v>297</v>
      </c>
      <c r="N26" s="567"/>
      <c r="O26" s="585"/>
      <c r="P26" s="585"/>
      <c r="S26"/>
      <c r="T26"/>
      <c r="U26"/>
      <c r="V26"/>
      <c r="W26"/>
      <c r="X26"/>
      <c r="Y26"/>
    </row>
    <row r="27" spans="1:34" s="11" customFormat="1" ht="12.75" customHeight="1" x14ac:dyDescent="0.2">
      <c r="A27" s="567"/>
      <c r="B27" s="567"/>
      <c r="C27" s="567" t="s">
        <v>308</v>
      </c>
      <c r="D27" s="567"/>
      <c r="E27" s="567"/>
      <c r="F27" s="567"/>
      <c r="G27" s="784" t="s">
        <v>309</v>
      </c>
      <c r="H27" s="568" t="s">
        <v>296</v>
      </c>
      <c r="I27" s="571"/>
      <c r="J27" s="569">
        <f>IF(HLOOKUP(CaseName,CaseData,MATCH($G27,cases!$G$3:$G$1232,0)-1,FALSE)="",IF(ISBLANK(VLOOKUP(ChemName,ChemData,MATCH(G27,substances!$3:$3,FALSE)-1,FALSE)),"",VLOOKUP(ChemName,ChemData,MATCH(G27,substances!$3:$3,FALSE)-1,FALSE)),HLOOKUP(CaseName,CaseData,MATCH($G27,cases!$G$3:$G$1232,0)-1,FALSE))</f>
        <v>1</v>
      </c>
      <c r="K27" s="699">
        <v>1</v>
      </c>
      <c r="L27" s="552">
        <f t="shared" si="0"/>
        <v>1</v>
      </c>
      <c r="M27" s="568" t="s">
        <v>297</v>
      </c>
      <c r="N27" s="567" t="b">
        <f>HLOOKUP(CaseName,CaseData,ROW(),FALSE)&lt;&gt;""</f>
        <v>0</v>
      </c>
      <c r="O27" s="585"/>
      <c r="P27" s="585"/>
      <c r="S27"/>
      <c r="T27"/>
      <c r="U27"/>
      <c r="V27"/>
      <c r="W27"/>
      <c r="X27"/>
      <c r="Y27"/>
    </row>
    <row r="28" spans="1:34" s="11" customFormat="1" ht="12.75" customHeight="1" x14ac:dyDescent="0.2">
      <c r="A28" s="567"/>
      <c r="B28" s="567"/>
      <c r="C28" s="567" t="s">
        <v>310</v>
      </c>
      <c r="D28" s="567"/>
      <c r="E28" s="567"/>
      <c r="F28" s="567"/>
      <c r="G28" s="784" t="s">
        <v>311</v>
      </c>
      <c r="H28" s="568" t="s">
        <v>296</v>
      </c>
      <c r="I28" s="571"/>
      <c r="J28" s="569">
        <f>IF(HLOOKUP(CaseName,CaseData,MATCH($G28,cases!$G$3:$G$1232,0)-1,FALSE)="",IF(ISBLANK(VLOOKUP(ChemName,ChemData,MATCH(G28,substances!$3:$3,FALSE)-1,FALSE)),"",VLOOKUP(ChemName,ChemData,MATCH(G28,substances!$3:$3,FALSE)-1,FALSE)),HLOOKUP(CaseName,CaseData,MATCH($G28,cases!$G$3:$G$1232,0)-1,FALSE))</f>
        <v>1</v>
      </c>
      <c r="K28" s="699">
        <v>1</v>
      </c>
      <c r="L28" s="552">
        <f t="shared" si="0"/>
        <v>1</v>
      </c>
      <c r="M28" s="568" t="s">
        <v>297</v>
      </c>
      <c r="N28" s="567"/>
      <c r="O28" s="585"/>
      <c r="P28" s="585"/>
      <c r="S28"/>
      <c r="T28"/>
      <c r="U28"/>
      <c r="V28"/>
      <c r="W28"/>
      <c r="X28"/>
      <c r="Y28"/>
    </row>
    <row r="29" spans="1:34" s="11" customFormat="1" ht="12.75" customHeight="1" x14ac:dyDescent="0.2">
      <c r="A29" s="567"/>
      <c r="B29" s="567"/>
      <c r="C29" s="567" t="s">
        <v>312</v>
      </c>
      <c r="D29" s="567"/>
      <c r="E29" s="567"/>
      <c r="F29" s="567"/>
      <c r="G29" s="784" t="s">
        <v>313</v>
      </c>
      <c r="H29" s="568" t="s">
        <v>296</v>
      </c>
      <c r="I29" s="570"/>
      <c r="J29" s="569">
        <f>IF(HLOOKUP(CaseName,CaseData,MATCH($G29,cases!$G$3:$G$1232,0)-1,FALSE)="",IF(ISBLANK(VLOOKUP(ChemName,ChemData,MATCH(G29,substances!$3:$3,FALSE)-1,FALSE)),"",VLOOKUP(ChemName,ChemData,MATCH(G29,substances!$3:$3,FALSE)-1,FALSE)),HLOOKUP(CaseName,CaseData,MATCH($G29,cases!$G$3:$G$1232,0)-1,FALSE))</f>
        <v>0.33600000000000002</v>
      </c>
      <c r="K29" s="699">
        <v>0.1</v>
      </c>
      <c r="L29" s="552">
        <f t="shared" si="0"/>
        <v>0.33600000000000002</v>
      </c>
      <c r="M29" s="568" t="s">
        <v>297</v>
      </c>
      <c r="N29" s="567"/>
      <c r="O29" s="585"/>
      <c r="P29" s="585"/>
      <c r="S29"/>
      <c r="T29"/>
      <c r="U29"/>
      <c r="V29"/>
      <c r="W29"/>
      <c r="X29"/>
      <c r="Y29"/>
    </row>
    <row r="30" spans="1:34" s="11" customFormat="1" ht="12.75" customHeight="1" x14ac:dyDescent="0.2">
      <c r="A30" s="567"/>
      <c r="B30" s="567"/>
      <c r="C30" s="567" t="s">
        <v>314</v>
      </c>
      <c r="D30" s="567"/>
      <c r="E30" s="567"/>
      <c r="F30" s="567"/>
      <c r="G30" s="784" t="s">
        <v>315</v>
      </c>
      <c r="H30" s="568" t="s">
        <v>296</v>
      </c>
      <c r="I30" s="570"/>
      <c r="J30" s="569">
        <f>IF(HLOOKUP(CaseName,CaseData,MATCH($G30,cases!$G$3:$G$1232,0)-1,FALSE)="",IF(ISBLANK(VLOOKUP(ChemName,ChemData,MATCH(G30,substances!$3:$3,FALSE)-1,FALSE)),"",VLOOKUP(ChemName,ChemData,MATCH(G30,substances!$3:$3,FALSE)-1,FALSE)),HLOOKUP(CaseName,CaseData,MATCH($G30,cases!$G$3:$G$1232,0)-1,FALSE))</f>
        <v>0.33600000000000002</v>
      </c>
      <c r="K30" s="699">
        <v>0.1</v>
      </c>
      <c r="L30" s="552">
        <f t="shared" si="0"/>
        <v>0.33600000000000002</v>
      </c>
      <c r="M30" s="568" t="s">
        <v>297</v>
      </c>
      <c r="N30" s="567"/>
      <c r="O30" s="585"/>
      <c r="P30" s="585"/>
      <c r="S30"/>
      <c r="T30"/>
      <c r="U30"/>
      <c r="V30"/>
      <c r="W30"/>
      <c r="X30"/>
      <c r="Y30"/>
    </row>
    <row r="31" spans="1:34" s="11" customFormat="1" ht="12.75" customHeight="1" x14ac:dyDescent="0.2">
      <c r="A31" s="567"/>
      <c r="B31" s="567"/>
      <c r="C31" s="567" t="s">
        <v>316</v>
      </c>
      <c r="D31" s="567"/>
      <c r="E31" s="567"/>
      <c r="F31" s="567"/>
      <c r="G31" s="784" t="s">
        <v>317</v>
      </c>
      <c r="H31" s="568" t="s">
        <v>296</v>
      </c>
      <c r="I31" s="570"/>
      <c r="J31" s="569">
        <f>IF(HLOOKUP(CaseName,CaseData,MATCH($G31,cases!$G$3:$G$1232,0)-1,FALSE)="",IF(ISBLANK(VLOOKUP(ChemName,ChemData,MATCH(G31,substances!$3:$3,FALSE)-1,FALSE)),"",VLOOKUP(ChemName,ChemData,MATCH(G31,substances!$3:$3,FALSE)-1,FALSE)),HLOOKUP(CaseName,CaseData,MATCH($G31,cases!$G$3:$G$1232,0)-1,FALSE))</f>
        <v>0.33600000000000002</v>
      </c>
      <c r="K31" s="699">
        <v>0.1</v>
      </c>
      <c r="L31" s="552">
        <f t="shared" si="0"/>
        <v>0.33600000000000002</v>
      </c>
      <c r="M31" s="568" t="s">
        <v>297</v>
      </c>
      <c r="N31" s="567"/>
      <c r="O31" s="585"/>
      <c r="P31" s="585"/>
      <c r="S31"/>
      <c r="T31"/>
      <c r="U31"/>
      <c r="V31"/>
      <c r="W31"/>
      <c r="X31"/>
      <c r="Y31"/>
    </row>
    <row r="32" spans="1:34" s="11" customFormat="1" ht="12.75" customHeight="1" x14ac:dyDescent="0.2">
      <c r="A32" s="567"/>
      <c r="B32" s="567"/>
      <c r="C32" s="567" t="s">
        <v>318</v>
      </c>
      <c r="D32" s="567"/>
      <c r="E32" s="567"/>
      <c r="F32" s="567"/>
      <c r="G32" s="784" t="s">
        <v>319</v>
      </c>
      <c r="H32" s="568" t="s">
        <v>296</v>
      </c>
      <c r="I32" s="570"/>
      <c r="J32" s="569">
        <f>IF(HLOOKUP(CaseName,CaseData,MATCH($G32,cases!$G$3:$G$1232,0)-1,FALSE)="",IF(ISBLANK(VLOOKUP(ChemName,ChemData,MATCH(G32,substances!$3:$3,FALSE)-1,FALSE)),"",VLOOKUP(ChemName,ChemData,MATCH(G32,substances!$3:$3,FALSE)-1,FALSE)),HLOOKUP(CaseName,CaseData,MATCH($G32,cases!$G$3:$G$1232,0)-1,FALSE))</f>
        <v>0.33600000000000002</v>
      </c>
      <c r="K32" s="699">
        <v>0.1</v>
      </c>
      <c r="L32" s="552">
        <f t="shared" si="0"/>
        <v>0.33600000000000002</v>
      </c>
      <c r="M32" s="568" t="s">
        <v>297</v>
      </c>
      <c r="N32" s="567"/>
      <c r="O32" s="585"/>
      <c r="P32" s="585"/>
      <c r="S32"/>
      <c r="T32"/>
      <c r="U32"/>
      <c r="V32"/>
      <c r="W32"/>
      <c r="X32"/>
      <c r="Y32"/>
    </row>
    <row r="33" spans="1:25" s="11" customFormat="1" ht="12.75" customHeight="1" x14ac:dyDescent="0.2">
      <c r="A33" s="567"/>
      <c r="B33" s="567"/>
      <c r="C33" s="567" t="s">
        <v>320</v>
      </c>
      <c r="D33" s="567"/>
      <c r="E33" s="567"/>
      <c r="F33" s="567"/>
      <c r="G33" s="784" t="s">
        <v>321</v>
      </c>
      <c r="H33" s="568" t="s">
        <v>296</v>
      </c>
      <c r="I33" s="570"/>
      <c r="J33" s="569">
        <f>IF(HLOOKUP(CaseName,CaseData,MATCH($G33,cases!$G$3:$G$1232,0)-1,FALSE)="",IF(ISBLANK(VLOOKUP(ChemName,ChemData,MATCH(G33,substances!$3:$3,FALSE)-1,FALSE)),"",VLOOKUP(ChemName,ChemData,MATCH(G33,substances!$3:$3,FALSE)-1,FALSE)),HLOOKUP(CaseName,CaseData,MATCH($G33,cases!$G$3:$G$1232,0)-1,FALSE))</f>
        <v>0.33600000000000002</v>
      </c>
      <c r="K33" s="699">
        <v>0.1</v>
      </c>
      <c r="L33" s="552">
        <f t="shared" si="0"/>
        <v>0.33600000000000002</v>
      </c>
      <c r="M33" s="568" t="s">
        <v>297</v>
      </c>
      <c r="N33" s="567"/>
      <c r="O33" s="585"/>
      <c r="P33" s="585"/>
      <c r="S33"/>
      <c r="T33"/>
      <c r="U33"/>
      <c r="V33"/>
      <c r="W33"/>
      <c r="X33"/>
      <c r="Y33"/>
    </row>
    <row r="34" spans="1:25" s="11" customFormat="1" ht="12.75" customHeight="1" x14ac:dyDescent="0.2">
      <c r="A34" s="567"/>
      <c r="B34" s="567"/>
      <c r="C34" s="567" t="s">
        <v>322</v>
      </c>
      <c r="D34" s="567"/>
      <c r="E34" s="567"/>
      <c r="F34" s="567"/>
      <c r="G34" s="784" t="s">
        <v>323</v>
      </c>
      <c r="H34" s="568" t="s">
        <v>296</v>
      </c>
      <c r="I34" s="570"/>
      <c r="J34" s="569">
        <f>IF(HLOOKUP(CaseName,CaseData,MATCH($G34,cases!$G$3:$G$1232,0)-1,FALSE)="",IF(ISBLANK(VLOOKUP(ChemName,ChemData,MATCH(G34,substances!$3:$3,FALSE)-1,FALSE)),"",VLOOKUP(ChemName,ChemData,MATCH(G34,substances!$3:$3,FALSE)-1,FALSE)),HLOOKUP(CaseName,CaseData,MATCH($G34,cases!$G$3:$G$1232,0)-1,FALSE))</f>
        <v>0.33600000000000002</v>
      </c>
      <c r="K34" s="699">
        <v>0.1</v>
      </c>
      <c r="L34" s="552">
        <f t="shared" si="0"/>
        <v>0.33600000000000002</v>
      </c>
      <c r="M34" s="568" t="s">
        <v>297</v>
      </c>
      <c r="N34" s="567"/>
      <c r="O34" s="585"/>
      <c r="P34" s="585"/>
      <c r="S34"/>
      <c r="T34"/>
      <c r="U34"/>
      <c r="V34"/>
      <c r="W34"/>
      <c r="X34"/>
      <c r="Y34"/>
    </row>
    <row r="35" spans="1:25" s="11" customFormat="1" ht="12.75" customHeight="1" x14ac:dyDescent="0.2">
      <c r="A35" s="567"/>
      <c r="B35" s="567"/>
      <c r="C35" s="567" t="s">
        <v>324</v>
      </c>
      <c r="D35" s="567"/>
      <c r="E35" s="567"/>
      <c r="F35" s="567"/>
      <c r="G35" s="784" t="s">
        <v>325</v>
      </c>
      <c r="H35" s="568" t="s">
        <v>296</v>
      </c>
      <c r="I35" s="571"/>
      <c r="J35" s="569">
        <f>IF(HLOOKUP(CaseName,CaseData,MATCH($G35,cases!$G$3:$G$1232,0)-1,FALSE)="",IF(ISBLANK(VLOOKUP(ChemName,ChemData,MATCH(G35,substances!$3:$3,FALSE)-1,FALSE)),"",VLOOKUP(ChemName,ChemData,MATCH(G35,substances!$3:$3,FALSE)-1,FALSE)),HLOOKUP(CaseName,CaseData,MATCH($G35,cases!$G$3:$G$1232,0)-1,FALSE))</f>
        <v>0.02</v>
      </c>
      <c r="K35" s="699">
        <v>0.1</v>
      </c>
      <c r="L35" s="552">
        <f t="shared" si="0"/>
        <v>0.02</v>
      </c>
      <c r="M35" s="568" t="s">
        <v>297</v>
      </c>
      <c r="N35" s="567"/>
      <c r="O35" s="585"/>
      <c r="P35" s="585"/>
      <c r="S35"/>
      <c r="T35"/>
      <c r="U35"/>
      <c r="V35"/>
      <c r="W35"/>
      <c r="X35"/>
      <c r="Y35"/>
    </row>
    <row r="36" spans="1:25" s="11" customFormat="1" ht="12.75" customHeight="1" x14ac:dyDescent="0.2">
      <c r="A36" s="567"/>
      <c r="B36" s="567"/>
      <c r="C36" s="567" t="s">
        <v>326</v>
      </c>
      <c r="D36" s="567"/>
      <c r="E36" s="567"/>
      <c r="F36" s="567"/>
      <c r="G36" s="784" t="s">
        <v>327</v>
      </c>
      <c r="H36" s="568" t="s">
        <v>296</v>
      </c>
      <c r="I36" s="571"/>
      <c r="J36" s="569">
        <f>IF(HLOOKUP(CaseName,CaseData,MATCH($G36,cases!$G$3:$G$1232,0)-1,FALSE)="",IF(ISBLANK(VLOOKUP(ChemName,ChemData,MATCH(G36,substances!$3:$3,FALSE)-1,FALSE)),"",VLOOKUP(ChemName,ChemData,MATCH(G36,substances!$3:$3,FALSE)-1,FALSE)),HLOOKUP(CaseName,CaseData,MATCH($G36,cases!$G$3:$G$1232,0)-1,FALSE))</f>
        <v>0.02</v>
      </c>
      <c r="K36" s="699">
        <v>0.1</v>
      </c>
      <c r="L36" s="552">
        <f t="shared" si="0"/>
        <v>0.02</v>
      </c>
      <c r="M36" s="568" t="s">
        <v>297</v>
      </c>
      <c r="N36" s="567"/>
      <c r="O36" s="585"/>
      <c r="P36" s="585"/>
      <c r="S36"/>
      <c r="T36"/>
      <c r="U36"/>
      <c r="V36"/>
      <c r="W36"/>
      <c r="X36"/>
      <c r="Y36"/>
    </row>
    <row r="37" spans="1:25" s="11" customFormat="1" ht="12.75" customHeight="1" x14ac:dyDescent="0.2">
      <c r="A37" s="567"/>
      <c r="B37" s="567"/>
      <c r="C37" s="567" t="s">
        <v>328</v>
      </c>
      <c r="D37" s="567"/>
      <c r="E37" s="567"/>
      <c r="F37" s="567"/>
      <c r="G37" s="784" t="s">
        <v>329</v>
      </c>
      <c r="H37" s="568" t="s">
        <v>296</v>
      </c>
      <c r="I37" s="570"/>
      <c r="J37" s="569">
        <f>IF(HLOOKUP(CaseName,CaseData,MATCH($G37,cases!$G$3:$G$1232,0)-1,FALSE)="",IF(ISBLANK(VLOOKUP(ChemName,ChemData,MATCH(G37,substances!$3:$3,FALSE)-1,FALSE)),"",VLOOKUP(ChemName,ChemData,MATCH(G37,substances!$3:$3,FALSE)-1,FALSE)),HLOOKUP(CaseName,CaseData,MATCH($G37,cases!$G$3:$G$1232,0)-1,FALSE))</f>
        <v>0.02</v>
      </c>
      <c r="K37" s="699">
        <v>0.1</v>
      </c>
      <c r="L37" s="552">
        <f t="shared" si="0"/>
        <v>0.02</v>
      </c>
      <c r="M37" s="568" t="s">
        <v>297</v>
      </c>
      <c r="N37" s="567"/>
      <c r="O37" s="585"/>
      <c r="P37" s="585"/>
      <c r="S37"/>
      <c r="T37"/>
      <c r="U37"/>
      <c r="V37"/>
      <c r="W37"/>
      <c r="X37"/>
      <c r="Y37"/>
    </row>
    <row r="38" spans="1:25" s="11" customFormat="1" ht="12.75" customHeight="1" x14ac:dyDescent="0.2">
      <c r="A38" s="567"/>
      <c r="B38" s="567"/>
      <c r="C38" s="567" t="s">
        <v>330</v>
      </c>
      <c r="D38" s="567"/>
      <c r="E38" s="567"/>
      <c r="F38" s="567"/>
      <c r="G38" s="784" t="s">
        <v>331</v>
      </c>
      <c r="H38" s="568" t="s">
        <v>296</v>
      </c>
      <c r="I38" s="570"/>
      <c r="J38" s="569">
        <f>IF(HLOOKUP(CaseName,CaseData,MATCH($G38,cases!$G$3:$G$1232,0)-1,FALSE)="",IF(ISBLANK(VLOOKUP(ChemName,ChemData,MATCH(G38,substances!$3:$3,FALSE)-1,FALSE)),"",VLOOKUP(ChemName,ChemData,MATCH(G38,substances!$3:$3,FALSE)-1,FALSE)),HLOOKUP(CaseName,CaseData,MATCH($G38,cases!$G$3:$G$1232,0)-1,FALSE))</f>
        <v>0.02</v>
      </c>
      <c r="K38" s="699">
        <v>0.1</v>
      </c>
      <c r="L38" s="552">
        <f t="shared" si="0"/>
        <v>0.02</v>
      </c>
      <c r="M38" s="568" t="s">
        <v>297</v>
      </c>
      <c r="N38" s="567"/>
      <c r="O38" s="585"/>
      <c r="P38" s="585"/>
      <c r="S38"/>
      <c r="T38"/>
      <c r="U38"/>
      <c r="V38"/>
      <c r="W38"/>
      <c r="X38"/>
      <c r="Y38"/>
    </row>
    <row r="39" spans="1:25" s="11" customFormat="1" ht="12.75" customHeight="1" x14ac:dyDescent="0.2">
      <c r="A39" s="567"/>
      <c r="B39" s="567"/>
      <c r="C39" s="567" t="s">
        <v>332</v>
      </c>
      <c r="D39" s="567"/>
      <c r="E39" s="567"/>
      <c r="F39" s="567"/>
      <c r="G39" s="784" t="s">
        <v>333</v>
      </c>
      <c r="H39" s="568" t="s">
        <v>296</v>
      </c>
      <c r="I39" s="571"/>
      <c r="J39" s="569">
        <f>IF(HLOOKUP(CaseName,CaseData,MATCH($G39,cases!$G$3:$G$1232,0)-1,FALSE)="",IF(ISBLANK(VLOOKUP(ChemName,ChemData,MATCH(G39,substances!$3:$3,FALSE)-1,FALSE)),"",VLOOKUP(ChemName,ChemData,MATCH(G39,substances!$3:$3,FALSE)-1,FALSE)),HLOOKUP(CaseName,CaseData,MATCH($G39,cases!$G$3:$G$1232,0)-1,FALSE))</f>
        <v>1</v>
      </c>
      <c r="K39" s="699">
        <v>1</v>
      </c>
      <c r="L39" s="552">
        <f t="shared" si="0"/>
        <v>1</v>
      </c>
      <c r="M39" s="568" t="s">
        <v>297</v>
      </c>
      <c r="N39" s="567"/>
      <c r="O39" s="585"/>
      <c r="P39" s="585"/>
      <c r="S39"/>
      <c r="T39"/>
      <c r="U39"/>
      <c r="V39"/>
      <c r="W39"/>
      <c r="X39"/>
      <c r="Y39"/>
    </row>
    <row r="40" spans="1:25" s="11" customFormat="1" ht="12.75" customHeight="1" x14ac:dyDescent="0.2">
      <c r="A40" s="567"/>
      <c r="B40" s="567"/>
      <c r="C40" s="599" t="s">
        <v>334</v>
      </c>
      <c r="D40" s="599"/>
      <c r="E40" s="599"/>
      <c r="F40" s="599"/>
      <c r="G40" s="785" t="s">
        <v>335</v>
      </c>
      <c r="H40" s="602" t="s">
        <v>296</v>
      </c>
      <c r="I40" s="590"/>
      <c r="J40" s="799">
        <f>IF(HLOOKUP(CaseName,CaseData,MATCH($G40,cases!$G$3:$G$1232,0)-1,FALSE)="",IF(ISBLANK(VLOOKUP(ChemName,ChemData,MATCH(G40,substances!$3:$3,FALSE)-1,FALSE)),"",VLOOKUP(ChemName,ChemData,MATCH(G40,substances!$3:$3,FALSE)-1,FALSE)),HLOOKUP(CaseName,CaseData,MATCH($G40,cases!$G$3:$G$1232,0)-1,FALSE))</f>
        <v>1</v>
      </c>
      <c r="K40" s="733">
        <v>1</v>
      </c>
      <c r="L40" s="553">
        <f t="shared" si="0"/>
        <v>1</v>
      </c>
      <c r="M40" s="602" t="s">
        <v>297</v>
      </c>
      <c r="N40" s="599"/>
      <c r="O40" s="585"/>
      <c r="P40" s="585"/>
      <c r="S40"/>
      <c r="T40"/>
      <c r="U40"/>
      <c r="V40"/>
      <c r="W40"/>
      <c r="X40"/>
      <c r="Y40"/>
    </row>
    <row r="41" spans="1:25" s="11" customFormat="1" ht="12.75" customHeight="1" x14ac:dyDescent="0.2">
      <c r="A41" s="567"/>
      <c r="B41" s="567"/>
      <c r="C41" s="581"/>
      <c r="D41" s="581"/>
      <c r="E41" s="581"/>
      <c r="F41" s="581"/>
      <c r="G41" s="568"/>
      <c r="H41" s="568"/>
      <c r="I41" s="576"/>
      <c r="J41" s="724"/>
      <c r="K41" s="699"/>
      <c r="L41" s="621"/>
      <c r="M41" s="567"/>
      <c r="N41" s="567"/>
      <c r="O41" s="585"/>
      <c r="P41" s="585"/>
      <c r="S41"/>
      <c r="T41"/>
      <c r="U41"/>
      <c r="V41"/>
      <c r="W41"/>
      <c r="X41"/>
      <c r="Y41"/>
    </row>
    <row r="42" spans="1:25" s="11" customFormat="1" ht="12.75" customHeight="1" x14ac:dyDescent="0.2">
      <c r="A42" s="567"/>
      <c r="B42" s="567"/>
      <c r="C42" s="601" t="s">
        <v>336</v>
      </c>
      <c r="D42" s="599"/>
      <c r="E42" s="599"/>
      <c r="F42" s="599"/>
      <c r="G42" s="588" t="s">
        <v>263</v>
      </c>
      <c r="H42" s="588" t="s">
        <v>279</v>
      </c>
      <c r="I42" s="730" t="s">
        <v>264</v>
      </c>
      <c r="J42" s="731" t="s">
        <v>280</v>
      </c>
      <c r="K42" s="732" t="s">
        <v>265</v>
      </c>
      <c r="L42" s="734" t="s">
        <v>266</v>
      </c>
      <c r="M42" s="581"/>
      <c r="N42" s="588" t="s">
        <v>267</v>
      </c>
      <c r="O42" s="585"/>
      <c r="P42" s="585"/>
      <c r="S42"/>
      <c r="T42"/>
      <c r="U42"/>
      <c r="V42"/>
      <c r="W42"/>
      <c r="X42"/>
      <c r="Y42"/>
    </row>
    <row r="43" spans="1:25" s="11" customFormat="1" ht="12.75" customHeight="1" x14ac:dyDescent="0.2">
      <c r="A43" s="567"/>
      <c r="B43" s="567"/>
      <c r="C43" s="782" t="s">
        <v>337</v>
      </c>
      <c r="D43" s="567"/>
      <c r="E43" s="567"/>
      <c r="F43" s="567"/>
      <c r="G43" s="568"/>
      <c r="H43" s="568"/>
      <c r="I43" s="810"/>
      <c r="J43" s="811"/>
      <c r="K43" s="812"/>
      <c r="L43" s="848"/>
      <c r="M43" s="567"/>
      <c r="N43" s="568"/>
      <c r="O43" s="585"/>
      <c r="P43" s="585"/>
      <c r="S43"/>
      <c r="T43"/>
      <c r="U43"/>
      <c r="V43"/>
      <c r="W43"/>
      <c r="X43"/>
      <c r="Y43"/>
    </row>
    <row r="44" spans="1:25" s="11" customFormat="1" ht="12.75" customHeight="1" x14ac:dyDescent="0.2">
      <c r="A44" s="567"/>
      <c r="B44" s="567"/>
      <c r="C44" s="567" t="s">
        <v>338</v>
      </c>
      <c r="D44" s="567"/>
      <c r="E44" s="567"/>
      <c r="F44" s="567"/>
      <c r="G44" s="784" t="s">
        <v>339</v>
      </c>
      <c r="H44" s="568" t="s">
        <v>340</v>
      </c>
      <c r="I44" s="571"/>
      <c r="J44" s="569">
        <f>IF(HLOOKUP(CaseName,CaseData,MATCH($G44,cases!$G$3:$G$1232,0)-1,FALSE)="",IF(ISBLANK(VLOOKUP(ChemName,ChemData,MATCH(G44,substances!$3:$3,FALSE)-1,FALSE)),"",VLOOKUP(ChemName,ChemData,MATCH(G44,substances!$3:$3,FALSE)-1,FALSE)),HLOOKUP(CaseName,CaseData,MATCH($G44,cases!$G$3:$G$1232,0)-1,FALSE))</f>
        <v>1E-13</v>
      </c>
      <c r="K44" s="735">
        <v>0</v>
      </c>
      <c r="L44" s="552">
        <f t="shared" ref="L44:L74" si="1">IF(ISBLANK(I44), IF(ISNUMBER(J44)=FALSE, K44, J44), I44)</f>
        <v>1E-13</v>
      </c>
      <c r="M44" s="568" t="s">
        <v>341</v>
      </c>
      <c r="N44" s="567"/>
      <c r="O44" s="585"/>
      <c r="P44" s="585"/>
      <c r="S44"/>
      <c r="T44"/>
      <c r="U44"/>
      <c r="V44"/>
      <c r="W44"/>
      <c r="X44"/>
      <c r="Y44"/>
    </row>
    <row r="45" spans="1:25" s="11" customFormat="1" ht="12.75" customHeight="1" x14ac:dyDescent="0.2">
      <c r="A45" s="567"/>
      <c r="B45" s="567"/>
      <c r="C45" s="567" t="s">
        <v>342</v>
      </c>
      <c r="D45" s="567"/>
      <c r="E45" s="567"/>
      <c r="F45" s="567"/>
      <c r="G45" s="784" t="s">
        <v>343</v>
      </c>
      <c r="H45" s="568" t="s">
        <v>340</v>
      </c>
      <c r="I45" s="571"/>
      <c r="J45" s="569">
        <f>IF(HLOOKUP(CaseName,CaseData,MATCH($G45,cases!$G$3:$G$1232,0)-1,FALSE)="",IF(ISBLANK(VLOOKUP(ChemName,ChemData,MATCH(G45,substances!$3:$3,FALSE)-1,FALSE)),"",VLOOKUP(ChemName,ChemData,MATCH(G45,substances!$3:$3,FALSE)-1,FALSE)),HLOOKUP(CaseName,CaseData,MATCH($G45,cases!$G$3:$G$1232,0)-1,FALSE))</f>
        <v>1E-13</v>
      </c>
      <c r="K45" s="735">
        <v>0</v>
      </c>
      <c r="L45" s="552">
        <f t="shared" ref="L45:L53" si="2">IF(ISBLANK(I45), IF(ISNUMBER(J45)=FALSE, K45, J45), I45)</f>
        <v>1E-13</v>
      </c>
      <c r="M45" s="568" t="s">
        <v>341</v>
      </c>
      <c r="N45" s="567"/>
      <c r="O45" s="585"/>
      <c r="P45" s="585"/>
      <c r="S45"/>
      <c r="T45"/>
      <c r="U45"/>
      <c r="V45"/>
      <c r="W45"/>
      <c r="X45"/>
      <c r="Y45"/>
    </row>
    <row r="46" spans="1:25" s="11" customFormat="1" ht="12.75" customHeight="1" x14ac:dyDescent="0.2">
      <c r="A46" s="567"/>
      <c r="B46" s="567"/>
      <c r="C46" s="567" t="s">
        <v>344</v>
      </c>
      <c r="D46" s="567"/>
      <c r="E46" s="567"/>
      <c r="F46" s="567"/>
      <c r="G46" s="784" t="s">
        <v>345</v>
      </c>
      <c r="H46" s="568" t="s">
        <v>340</v>
      </c>
      <c r="I46" s="571"/>
      <c r="J46" s="569">
        <f>IF(HLOOKUP(CaseName,CaseData,MATCH($G46,cases!$G$3:$G$1232,0)-1,FALSE)="",IF(ISBLANK(VLOOKUP(ChemName,ChemData,MATCH(G46,substances!$3:$3,FALSE)-1,FALSE)),"",VLOOKUP(ChemName,ChemData,MATCH(G46,substances!$3:$3,FALSE)-1,FALSE)),HLOOKUP(CaseName,CaseData,MATCH($G46,cases!$G$3:$G$1232,0)-1,FALSE))</f>
        <v>1E-13</v>
      </c>
      <c r="K46" s="735">
        <v>0</v>
      </c>
      <c r="L46" s="552">
        <f t="shared" si="2"/>
        <v>1E-13</v>
      </c>
      <c r="M46" s="568" t="s">
        <v>341</v>
      </c>
      <c r="N46" s="567"/>
      <c r="O46" s="585"/>
      <c r="P46" s="585"/>
      <c r="S46"/>
      <c r="T46"/>
      <c r="U46"/>
      <c r="V46"/>
      <c r="W46"/>
      <c r="X46"/>
      <c r="Y46"/>
    </row>
    <row r="47" spans="1:25" s="11" customFormat="1" ht="12.75" customHeight="1" x14ac:dyDescent="0.2">
      <c r="A47" s="567"/>
      <c r="B47" s="567"/>
      <c r="C47" s="567" t="s">
        <v>346</v>
      </c>
      <c r="D47" s="567"/>
      <c r="E47" s="567"/>
      <c r="F47" s="567"/>
      <c r="G47" s="784" t="s">
        <v>347</v>
      </c>
      <c r="H47" s="568" t="s">
        <v>340</v>
      </c>
      <c r="I47" s="571"/>
      <c r="J47" s="569">
        <f>IF(HLOOKUP(CaseName,CaseData,MATCH($G47,cases!$G$3:$G$1232,0)-1,FALSE)="",IF(ISBLANK(VLOOKUP(ChemName,ChemData,MATCH(G47,substances!$3:$3,FALSE)-1,FALSE)),"",VLOOKUP(ChemName,ChemData,MATCH(G47,substances!$3:$3,FALSE)-1,FALSE)),HLOOKUP(CaseName,CaseData,MATCH($G47,cases!$G$3:$G$1232,0)-1,FALSE))</f>
        <v>1E-13</v>
      </c>
      <c r="K47" s="735">
        <v>0</v>
      </c>
      <c r="L47" s="552">
        <f t="shared" si="2"/>
        <v>1E-13</v>
      </c>
      <c r="M47" s="568" t="s">
        <v>341</v>
      </c>
      <c r="N47" s="567"/>
      <c r="O47" s="585"/>
      <c r="P47" s="585"/>
      <c r="S47"/>
      <c r="T47"/>
      <c r="U47"/>
      <c r="V47"/>
      <c r="W47"/>
      <c r="X47"/>
      <c r="Y47"/>
    </row>
    <row r="48" spans="1:25" s="11" customFormat="1" ht="12.75" customHeight="1" x14ac:dyDescent="0.2">
      <c r="A48" s="567"/>
      <c r="B48" s="567"/>
      <c r="C48" s="567" t="s">
        <v>348</v>
      </c>
      <c r="D48" s="567"/>
      <c r="E48" s="567"/>
      <c r="F48" s="567"/>
      <c r="G48" s="784" t="s">
        <v>349</v>
      </c>
      <c r="H48" s="568" t="s">
        <v>340</v>
      </c>
      <c r="I48" s="571"/>
      <c r="J48" s="569">
        <f>IF(HLOOKUP(CaseName,CaseData,MATCH($G48,cases!$G$3:$G$1232,0)-1,FALSE)="",IF(ISBLANK(VLOOKUP(ChemName,ChemData,MATCH(G48,substances!$3:$3,FALSE)-1,FALSE)),"",VLOOKUP(ChemName,ChemData,MATCH(G48,substances!$3:$3,FALSE)-1,FALSE)),HLOOKUP(CaseName,CaseData,MATCH($G48,cases!$G$3:$G$1232,0)-1,FALSE))</f>
        <v>1E-13</v>
      </c>
      <c r="K48" s="735">
        <v>0</v>
      </c>
      <c r="L48" s="552">
        <f t="shared" si="2"/>
        <v>1E-13</v>
      </c>
      <c r="M48" s="568" t="s">
        <v>341</v>
      </c>
      <c r="N48" s="567"/>
      <c r="O48" s="585"/>
      <c r="P48" s="585"/>
      <c r="S48"/>
      <c r="T48"/>
      <c r="U48"/>
      <c r="V48"/>
      <c r="W48"/>
      <c r="X48"/>
      <c r="Y48"/>
    </row>
    <row r="49" spans="1:25" s="11" customFormat="1" ht="12.75" customHeight="1" x14ac:dyDescent="0.2">
      <c r="A49" s="567"/>
      <c r="B49" s="567"/>
      <c r="C49" s="567" t="s">
        <v>350</v>
      </c>
      <c r="D49" s="567"/>
      <c r="E49" s="567"/>
      <c r="F49" s="567"/>
      <c r="G49" s="784" t="s">
        <v>351</v>
      </c>
      <c r="H49" s="568" t="s">
        <v>340</v>
      </c>
      <c r="I49" s="571"/>
      <c r="J49" s="569">
        <f>IF(HLOOKUP(CaseName,CaseData,MATCH($G49,cases!$G$3:$G$1232,0)-1,FALSE)="",IF(ISBLANK(VLOOKUP(ChemName,ChemData,MATCH(G49,substances!$3:$3,FALSE)-1,FALSE)),"",VLOOKUP(ChemName,ChemData,MATCH(G49,substances!$3:$3,FALSE)-1,FALSE)),HLOOKUP(CaseName,CaseData,MATCH($G49,cases!$G$3:$G$1232,0)-1,FALSE))</f>
        <v>1E-13</v>
      </c>
      <c r="K49" s="735">
        <v>0</v>
      </c>
      <c r="L49" s="552">
        <f t="shared" si="2"/>
        <v>1E-13</v>
      </c>
      <c r="M49" s="568" t="s">
        <v>341</v>
      </c>
      <c r="N49" s="567"/>
      <c r="O49" s="585"/>
      <c r="P49" s="585"/>
      <c r="S49"/>
      <c r="T49"/>
      <c r="U49"/>
      <c r="V49"/>
      <c r="W49"/>
      <c r="X49"/>
      <c r="Y49"/>
    </row>
    <row r="50" spans="1:25" s="11" customFormat="1" ht="12.75" customHeight="1" x14ac:dyDescent="0.2">
      <c r="A50" s="567"/>
      <c r="B50" s="567"/>
      <c r="C50" s="567" t="s">
        <v>352</v>
      </c>
      <c r="D50" s="567"/>
      <c r="E50" s="567"/>
      <c r="F50" s="567"/>
      <c r="G50" s="784" t="s">
        <v>353</v>
      </c>
      <c r="H50" s="568" t="s">
        <v>340</v>
      </c>
      <c r="I50" s="571"/>
      <c r="J50" s="569">
        <f>IF(HLOOKUP(CaseName,CaseData,MATCH($G50,cases!$G$3:$G$1232,0)-1,FALSE)="",IF(ISBLANK(VLOOKUP(ChemName,ChemData,MATCH(G50,substances!$3:$3,FALSE)-1,FALSE)),"",VLOOKUP(ChemName,ChemData,MATCH(G50,substances!$3:$3,FALSE)-1,FALSE)),HLOOKUP(CaseName,CaseData,MATCH($G50,cases!$G$3:$G$1232,0)-1,FALSE))</f>
        <v>1E-13</v>
      </c>
      <c r="K50" s="735">
        <v>0</v>
      </c>
      <c r="L50" s="552">
        <f t="shared" si="2"/>
        <v>1E-13</v>
      </c>
      <c r="M50" s="568" t="s">
        <v>341</v>
      </c>
      <c r="N50" s="567"/>
      <c r="O50" s="585"/>
      <c r="P50" s="585"/>
      <c r="S50"/>
      <c r="T50"/>
      <c r="U50"/>
      <c r="V50"/>
      <c r="W50"/>
      <c r="X50"/>
      <c r="Y50"/>
    </row>
    <row r="51" spans="1:25" s="11" customFormat="1" ht="12.75" customHeight="1" x14ac:dyDescent="0.2">
      <c r="A51" s="567"/>
      <c r="B51" s="567"/>
      <c r="C51" s="567" t="s">
        <v>354</v>
      </c>
      <c r="D51" s="567"/>
      <c r="E51" s="567"/>
      <c r="F51" s="567"/>
      <c r="G51" s="784" t="s">
        <v>355</v>
      </c>
      <c r="H51" s="568" t="s">
        <v>340</v>
      </c>
      <c r="I51" s="571"/>
      <c r="J51" s="569">
        <f>IF(HLOOKUP(CaseName,CaseData,MATCH($G51,cases!$G$3:$G$1232,0)-1,FALSE)="",IF(ISBLANK(VLOOKUP(ChemName,ChemData,MATCH(G51,substances!$3:$3,FALSE)-1,FALSE)),"",VLOOKUP(ChemName,ChemData,MATCH(G51,substances!$3:$3,FALSE)-1,FALSE)),HLOOKUP(CaseName,CaseData,MATCH($G51,cases!$G$3:$G$1232,0)-1,FALSE))</f>
        <v>1E-13</v>
      </c>
      <c r="K51" s="735">
        <v>0</v>
      </c>
      <c r="L51" s="552">
        <f t="shared" si="2"/>
        <v>1E-13</v>
      </c>
      <c r="M51" s="568" t="s">
        <v>341</v>
      </c>
      <c r="N51" s="567"/>
      <c r="O51" s="585"/>
      <c r="P51" s="585"/>
      <c r="S51"/>
      <c r="T51"/>
      <c r="U51"/>
      <c r="V51"/>
      <c r="W51"/>
      <c r="X51"/>
      <c r="Y51"/>
    </row>
    <row r="52" spans="1:25" s="11" customFormat="1" ht="12.75" customHeight="1" x14ac:dyDescent="0.2">
      <c r="A52" s="567"/>
      <c r="B52" s="567"/>
      <c r="C52" s="567" t="s">
        <v>356</v>
      </c>
      <c r="D52" s="567"/>
      <c r="E52" s="567"/>
      <c r="F52" s="567"/>
      <c r="G52" s="784" t="s">
        <v>357</v>
      </c>
      <c r="H52" s="568" t="s">
        <v>340</v>
      </c>
      <c r="I52" s="571"/>
      <c r="J52" s="569">
        <f>IF(HLOOKUP(CaseName,CaseData,MATCH($G52,cases!$G$3:$G$1232,0)-1,FALSE)="",IF(ISBLANK(VLOOKUP(ChemName,ChemData,MATCH(G52,substances!$3:$3,FALSE)-1,FALSE)),"",VLOOKUP(ChemName,ChemData,MATCH(G52,substances!$3:$3,FALSE)-1,FALSE)),HLOOKUP(CaseName,CaseData,MATCH($G52,cases!$G$3:$G$1232,0)-1,FALSE))</f>
        <v>1E-13</v>
      </c>
      <c r="K52" s="735">
        <v>0</v>
      </c>
      <c r="L52" s="552">
        <f t="shared" si="2"/>
        <v>1E-13</v>
      </c>
      <c r="M52" s="568" t="s">
        <v>341</v>
      </c>
      <c r="N52" s="567"/>
      <c r="O52" s="585"/>
      <c r="P52" s="585"/>
      <c r="S52"/>
      <c r="T52"/>
      <c r="U52"/>
      <c r="V52"/>
      <c r="W52"/>
      <c r="X52"/>
      <c r="Y52"/>
    </row>
    <row r="53" spans="1:25" s="11" customFormat="1" ht="12.75" customHeight="1" x14ac:dyDescent="0.2">
      <c r="A53" s="567"/>
      <c r="B53" s="567"/>
      <c r="C53" s="567" t="s">
        <v>358</v>
      </c>
      <c r="D53" s="567"/>
      <c r="E53" s="567"/>
      <c r="F53" s="567"/>
      <c r="G53" s="784" t="s">
        <v>359</v>
      </c>
      <c r="H53" s="568" t="s">
        <v>340</v>
      </c>
      <c r="I53" s="571"/>
      <c r="J53" s="569">
        <f>IF(HLOOKUP(CaseName,CaseData,MATCH($G53,cases!$G$3:$G$1232,0)-1,FALSE)="",IF(ISBLANK(VLOOKUP(ChemName,ChemData,MATCH(G53,substances!$3:$3,FALSE)-1,FALSE)),"",VLOOKUP(ChemName,ChemData,MATCH(G53,substances!$3:$3,FALSE)-1,FALSE)),HLOOKUP(CaseName,CaseData,MATCH($G53,cases!$G$3:$G$1232,0)-1,FALSE))</f>
        <v>1E-13</v>
      </c>
      <c r="K53" s="735">
        <v>0</v>
      </c>
      <c r="L53" s="552">
        <f t="shared" si="2"/>
        <v>1E-13</v>
      </c>
      <c r="M53" s="568" t="s">
        <v>341</v>
      </c>
      <c r="N53" s="567"/>
      <c r="O53" s="585"/>
      <c r="P53" s="585"/>
      <c r="S53"/>
      <c r="T53"/>
      <c r="U53"/>
      <c r="V53"/>
      <c r="W53"/>
      <c r="X53"/>
      <c r="Y53"/>
    </row>
    <row r="54" spans="1:25" s="11" customFormat="1" ht="12.75" customHeight="1" x14ac:dyDescent="0.2">
      <c r="A54" s="567"/>
      <c r="B54" s="567"/>
      <c r="C54" s="782" t="s">
        <v>360</v>
      </c>
      <c r="D54" s="567"/>
      <c r="E54" s="567"/>
      <c r="F54" s="567"/>
      <c r="G54" s="784"/>
      <c r="H54" s="568"/>
      <c r="I54" s="571"/>
      <c r="J54" s="569"/>
      <c r="K54" s="735"/>
      <c r="L54" s="552"/>
      <c r="M54" s="568"/>
      <c r="N54" s="567"/>
      <c r="O54" s="585"/>
      <c r="P54" s="585"/>
      <c r="S54"/>
      <c r="T54"/>
      <c r="U54"/>
      <c r="V54"/>
      <c r="W54"/>
      <c r="X54"/>
      <c r="Y54"/>
    </row>
    <row r="55" spans="1:25" s="11" customFormat="1" ht="12.75" customHeight="1" x14ac:dyDescent="0.2">
      <c r="A55" s="567"/>
      <c r="B55" s="567"/>
      <c r="C55" s="567" t="s">
        <v>361</v>
      </c>
      <c r="D55" s="567"/>
      <c r="E55" s="567"/>
      <c r="F55" s="567"/>
      <c r="G55" s="784" t="s">
        <v>362</v>
      </c>
      <c r="H55" s="568" t="s">
        <v>340</v>
      </c>
      <c r="I55" s="571"/>
      <c r="J55" s="569">
        <f>IF(HLOOKUP(CaseName,CaseData,MATCH($G55,cases!$G$3:$G$1232,0)-1,FALSE)="",IF(ISBLANK(VLOOKUP(ChemName,ChemData,MATCH(G55,substances!$3:$3,FALSE)-1,FALSE)),"",VLOOKUP(ChemName,ChemData,MATCH(G55,substances!$3:$3,FALSE)-1,FALSE)),HLOOKUP(CaseName,CaseData,MATCH($G55,cases!$G$3:$G$1232,0)-1,FALSE))</f>
        <v>1E-13</v>
      </c>
      <c r="K55" s="735">
        <f>L44</f>
        <v>1E-13</v>
      </c>
      <c r="L55" s="552">
        <f t="shared" si="1"/>
        <v>1E-13</v>
      </c>
      <c r="M55" s="568" t="s">
        <v>341</v>
      </c>
      <c r="N55" s="567"/>
      <c r="O55" s="585"/>
      <c r="P55" s="585"/>
      <c r="S55"/>
      <c r="T55"/>
      <c r="U55"/>
      <c r="V55"/>
      <c r="W55"/>
      <c r="X55"/>
      <c r="Y55"/>
    </row>
    <row r="56" spans="1:25" s="11" customFormat="1" ht="12.75" customHeight="1" x14ac:dyDescent="0.2">
      <c r="A56" s="567"/>
      <c r="B56" s="567"/>
      <c r="C56" s="567" t="s">
        <v>363</v>
      </c>
      <c r="D56" s="567"/>
      <c r="E56" s="567"/>
      <c r="F56" s="567"/>
      <c r="G56" s="784" t="s">
        <v>364</v>
      </c>
      <c r="H56" s="568" t="s">
        <v>340</v>
      </c>
      <c r="I56" s="571"/>
      <c r="J56" s="569">
        <f>IF(HLOOKUP(CaseName,CaseData,MATCH($G56,cases!$G$3:$G$1232,0)-1,FALSE)="",IF(ISBLANK(VLOOKUP(ChemName,ChemData,MATCH(G56,substances!$3:$3,FALSE)-1,FALSE)),"",VLOOKUP(ChemName,ChemData,MATCH(G56,substances!$3:$3,FALSE)-1,FALSE)),HLOOKUP(CaseName,CaseData,MATCH($G56,cases!$G$3:$G$1232,0)-1,FALSE))</f>
        <v>1E-13</v>
      </c>
      <c r="K56" s="735">
        <f>L44</f>
        <v>1E-13</v>
      </c>
      <c r="L56" s="552">
        <f t="shared" si="1"/>
        <v>1E-13</v>
      </c>
      <c r="M56" s="568" t="s">
        <v>341</v>
      </c>
      <c r="N56" s="567"/>
      <c r="O56" s="585"/>
      <c r="P56" s="585"/>
      <c r="S56"/>
      <c r="T56"/>
      <c r="U56"/>
      <c r="V56"/>
      <c r="W56"/>
      <c r="X56"/>
      <c r="Y56"/>
    </row>
    <row r="57" spans="1:25" s="11" customFormat="1" ht="12.75" customHeight="1" x14ac:dyDescent="0.2">
      <c r="A57" s="567"/>
      <c r="B57" s="567"/>
      <c r="C57" s="567" t="s">
        <v>365</v>
      </c>
      <c r="D57" s="567"/>
      <c r="E57" s="567"/>
      <c r="F57" s="567"/>
      <c r="G57" s="784" t="s">
        <v>366</v>
      </c>
      <c r="H57" s="568" t="s">
        <v>340</v>
      </c>
      <c r="I57" s="571"/>
      <c r="J57" s="569">
        <f>IF(HLOOKUP(CaseName,CaseData,MATCH($G57,cases!$G$3:$G$1232,0)-1,FALSE)="",IF(ISBLANK(VLOOKUP(ChemName,ChemData,MATCH(G57,substances!$3:$3,FALSE)-1,FALSE)),"",VLOOKUP(ChemName,ChemData,MATCH(G57,substances!$3:$3,FALSE)-1,FALSE)),HLOOKUP(CaseName,CaseData,MATCH($G57,cases!$G$3:$G$1232,0)-1,FALSE))</f>
        <v>1E-13</v>
      </c>
      <c r="K57" s="735">
        <f>L45</f>
        <v>1E-13</v>
      </c>
      <c r="L57" s="552">
        <f t="shared" si="1"/>
        <v>1E-13</v>
      </c>
      <c r="M57" s="568" t="s">
        <v>341</v>
      </c>
      <c r="N57" s="567"/>
      <c r="O57" s="585"/>
      <c r="P57" s="585"/>
      <c r="S57"/>
      <c r="T57"/>
      <c r="U57"/>
      <c r="V57"/>
      <c r="W57"/>
      <c r="X57"/>
      <c r="Y57"/>
    </row>
    <row r="58" spans="1:25" s="11" customFormat="1" ht="12.75" customHeight="1" x14ac:dyDescent="0.2">
      <c r="A58" s="567"/>
      <c r="B58" s="567"/>
      <c r="C58" s="567" t="s">
        <v>367</v>
      </c>
      <c r="D58" s="567"/>
      <c r="E58" s="567"/>
      <c r="F58" s="567"/>
      <c r="G58" s="784" t="s">
        <v>368</v>
      </c>
      <c r="H58" s="568" t="s">
        <v>340</v>
      </c>
      <c r="I58" s="571"/>
      <c r="J58" s="569">
        <f>IF(HLOOKUP(CaseName,CaseData,MATCH($G58,cases!$G$3:$G$1232,0)-1,FALSE)="",IF(ISBLANK(VLOOKUP(ChemName,ChemData,MATCH(G58,substances!$3:$3,FALSE)-1,FALSE)),"",VLOOKUP(ChemName,ChemData,MATCH(G58,substances!$3:$3,FALSE)-1,FALSE)),HLOOKUP(CaseName,CaseData,MATCH($G58,cases!$G$3:$G$1232,0)-1,FALSE))</f>
        <v>1E-13</v>
      </c>
      <c r="K58" s="735">
        <f>L45</f>
        <v>1E-13</v>
      </c>
      <c r="L58" s="552">
        <f t="shared" si="1"/>
        <v>1E-13</v>
      </c>
      <c r="M58" s="568" t="s">
        <v>341</v>
      </c>
      <c r="N58" s="567"/>
      <c r="O58" s="585"/>
      <c r="P58" s="585"/>
      <c r="S58"/>
      <c r="T58"/>
      <c r="U58"/>
      <c r="V58"/>
      <c r="W58"/>
      <c r="X58"/>
      <c r="Y58"/>
    </row>
    <row r="59" spans="1:25" s="11" customFormat="1" ht="12.75" customHeight="1" x14ac:dyDescent="0.2">
      <c r="A59" s="567"/>
      <c r="B59" s="567"/>
      <c r="C59" s="567" t="s">
        <v>369</v>
      </c>
      <c r="D59" s="567"/>
      <c r="E59" s="567"/>
      <c r="F59" s="567"/>
      <c r="G59" s="784" t="s">
        <v>370</v>
      </c>
      <c r="H59" s="568" t="s">
        <v>340</v>
      </c>
      <c r="I59" s="571"/>
      <c r="J59" s="569">
        <f>IF(HLOOKUP(CaseName,CaseData,MATCH($G59,cases!$G$3:$G$1232,0)-1,FALSE)="",IF(ISBLANK(VLOOKUP(ChemName,ChemData,MATCH(G59,substances!$3:$3,FALSE)-1,FALSE)),"",VLOOKUP(ChemName,ChemData,MATCH(G59,substances!$3:$3,FALSE)-1,FALSE)),HLOOKUP(CaseName,CaseData,MATCH($G59,cases!$G$3:$G$1232,0)-1,FALSE))</f>
        <v>1E-13</v>
      </c>
      <c r="K59" s="735">
        <f>L46</f>
        <v>1E-13</v>
      </c>
      <c r="L59" s="552">
        <f t="shared" si="1"/>
        <v>1E-13</v>
      </c>
      <c r="M59" s="568" t="s">
        <v>341</v>
      </c>
      <c r="N59" s="567"/>
      <c r="O59" s="585"/>
      <c r="P59" s="585"/>
      <c r="S59"/>
      <c r="T59"/>
      <c r="U59"/>
      <c r="V59"/>
      <c r="W59"/>
      <c r="X59"/>
      <c r="Y59"/>
    </row>
    <row r="60" spans="1:25" s="11" customFormat="1" ht="12.75" customHeight="1" x14ac:dyDescent="0.2">
      <c r="A60" s="567"/>
      <c r="B60" s="567"/>
      <c r="C60" s="567" t="s">
        <v>371</v>
      </c>
      <c r="D60" s="567"/>
      <c r="E60" s="567"/>
      <c r="F60" s="567"/>
      <c r="G60" s="784" t="s">
        <v>372</v>
      </c>
      <c r="H60" s="568" t="s">
        <v>340</v>
      </c>
      <c r="I60" s="571"/>
      <c r="J60" s="569">
        <f>IF(HLOOKUP(CaseName,CaseData,MATCH($G60,cases!$G$3:$G$1232,0)-1,FALSE)="",IF(ISBLANK(VLOOKUP(ChemName,ChemData,MATCH(G60,substances!$3:$3,FALSE)-1,FALSE)),"",VLOOKUP(ChemName,ChemData,MATCH(G60,substances!$3:$3,FALSE)-1,FALSE)),HLOOKUP(CaseName,CaseData,MATCH($G60,cases!$G$3:$G$1232,0)-1,FALSE))</f>
        <v>1E-13</v>
      </c>
      <c r="K60" s="735">
        <f>L46</f>
        <v>1E-13</v>
      </c>
      <c r="L60" s="552">
        <f t="shared" si="1"/>
        <v>1E-13</v>
      </c>
      <c r="M60" s="568" t="s">
        <v>341</v>
      </c>
      <c r="N60" s="567"/>
      <c r="O60" s="585"/>
      <c r="P60" s="585"/>
      <c r="S60"/>
      <c r="T60"/>
      <c r="U60"/>
      <c r="V60"/>
      <c r="W60"/>
      <c r="X60"/>
      <c r="Y60"/>
    </row>
    <row r="61" spans="1:25" s="11" customFormat="1" ht="12.75" customHeight="1" x14ac:dyDescent="0.2">
      <c r="A61" s="567"/>
      <c r="B61" s="567"/>
      <c r="C61" s="567" t="s">
        <v>373</v>
      </c>
      <c r="D61" s="567"/>
      <c r="E61" s="567"/>
      <c r="F61" s="567"/>
      <c r="G61" s="784" t="s">
        <v>374</v>
      </c>
      <c r="H61" s="568" t="s">
        <v>340</v>
      </c>
      <c r="I61" s="571"/>
      <c r="J61" s="569">
        <f>IF(HLOOKUP(CaseName,CaseData,MATCH($G61,cases!$G$3:$G$1232,0)-1,FALSE)="",IF(ISBLANK(VLOOKUP(ChemName,ChemData,MATCH(G61,substances!$3:$3,FALSE)-1,FALSE)),"",VLOOKUP(ChemName,ChemData,MATCH(G61,substances!$3:$3,FALSE)-1,FALSE)),HLOOKUP(CaseName,CaseData,MATCH($G61,cases!$G$3:$G$1232,0)-1,FALSE))</f>
        <v>1E-13</v>
      </c>
      <c r="K61" s="735">
        <f>L47</f>
        <v>1E-13</v>
      </c>
      <c r="L61" s="552">
        <f t="shared" si="1"/>
        <v>1E-13</v>
      </c>
      <c r="M61" s="568" t="s">
        <v>341</v>
      </c>
      <c r="N61" s="567"/>
      <c r="O61" s="585"/>
      <c r="P61" s="585"/>
      <c r="S61"/>
      <c r="T61"/>
      <c r="U61"/>
      <c r="V61"/>
      <c r="W61"/>
      <c r="X61"/>
      <c r="Y61"/>
    </row>
    <row r="62" spans="1:25" s="11" customFormat="1" ht="12.75" customHeight="1" x14ac:dyDescent="0.2">
      <c r="A62" s="567"/>
      <c r="B62" s="567"/>
      <c r="C62" s="567" t="s">
        <v>375</v>
      </c>
      <c r="D62" s="567"/>
      <c r="E62" s="567"/>
      <c r="F62" s="567"/>
      <c r="G62" s="784" t="s">
        <v>376</v>
      </c>
      <c r="H62" s="568" t="s">
        <v>340</v>
      </c>
      <c r="I62" s="571"/>
      <c r="J62" s="569">
        <f>IF(HLOOKUP(CaseName,CaseData,MATCH($G62,cases!$G$3:$G$1232,0)-1,FALSE)="",IF(ISBLANK(VLOOKUP(ChemName,ChemData,MATCH(G62,substances!$3:$3,FALSE)-1,FALSE)),"",VLOOKUP(ChemName,ChemData,MATCH(G62,substances!$3:$3,FALSE)-1,FALSE)),HLOOKUP(CaseName,CaseData,MATCH($G62,cases!$G$3:$G$1232,0)-1,FALSE))</f>
        <v>1E-13</v>
      </c>
      <c r="K62" s="735">
        <f>L47</f>
        <v>1E-13</v>
      </c>
      <c r="L62" s="552">
        <f t="shared" si="1"/>
        <v>1E-13</v>
      </c>
      <c r="M62" s="568" t="s">
        <v>341</v>
      </c>
      <c r="N62" s="567"/>
      <c r="O62" s="585"/>
      <c r="P62" s="585"/>
      <c r="S62"/>
      <c r="T62"/>
      <c r="U62"/>
      <c r="V62"/>
      <c r="W62"/>
      <c r="X62"/>
      <c r="Y62"/>
    </row>
    <row r="63" spans="1:25" s="11" customFormat="1" ht="12.75" customHeight="1" x14ac:dyDescent="0.2">
      <c r="A63" s="567"/>
      <c r="B63" s="567"/>
      <c r="C63" s="567" t="s">
        <v>377</v>
      </c>
      <c r="D63" s="567"/>
      <c r="E63" s="567"/>
      <c r="F63" s="567"/>
      <c r="G63" s="784" t="s">
        <v>378</v>
      </c>
      <c r="H63" s="568" t="s">
        <v>340</v>
      </c>
      <c r="I63" s="571"/>
      <c r="J63" s="569">
        <f>IF(HLOOKUP(CaseName,CaseData,MATCH($G63,cases!$G$3:$G$1232,0)-1,FALSE)="",IF(ISBLANK(VLOOKUP(ChemName,ChemData,MATCH(G63,substances!$3:$3,FALSE)-1,FALSE)),"",VLOOKUP(ChemName,ChemData,MATCH(G63,substances!$3:$3,FALSE)-1,FALSE)),HLOOKUP(CaseName,CaseData,MATCH($G63,cases!$G$3:$G$1232,0)-1,FALSE))</f>
        <v>1E-13</v>
      </c>
      <c r="K63" s="735">
        <f>L48</f>
        <v>1E-13</v>
      </c>
      <c r="L63" s="552">
        <f t="shared" si="1"/>
        <v>1E-13</v>
      </c>
      <c r="M63" s="568" t="s">
        <v>341</v>
      </c>
      <c r="N63" s="567"/>
      <c r="O63" s="585"/>
      <c r="P63" s="585"/>
      <c r="S63"/>
      <c r="T63"/>
      <c r="U63"/>
      <c r="V63"/>
      <c r="W63"/>
      <c r="X63"/>
      <c r="Y63"/>
    </row>
    <row r="64" spans="1:25" s="11" customFormat="1" ht="12.75" customHeight="1" x14ac:dyDescent="0.2">
      <c r="A64" s="567"/>
      <c r="B64" s="567"/>
      <c r="C64" s="567" t="s">
        <v>379</v>
      </c>
      <c r="D64" s="567"/>
      <c r="E64" s="567"/>
      <c r="F64" s="567"/>
      <c r="G64" s="784" t="s">
        <v>380</v>
      </c>
      <c r="H64" s="568" t="s">
        <v>340</v>
      </c>
      <c r="I64" s="571"/>
      <c r="J64" s="569">
        <f>IF(HLOOKUP(CaseName,CaseData,MATCH($G64,cases!$G$3:$G$1232,0)-1,FALSE)="",IF(ISBLANK(VLOOKUP(ChemName,ChemData,MATCH(G64,substances!$3:$3,FALSE)-1,FALSE)),"",VLOOKUP(ChemName,ChemData,MATCH(G64,substances!$3:$3,FALSE)-1,FALSE)),HLOOKUP(CaseName,CaseData,MATCH($G64,cases!$G$3:$G$1232,0)-1,FALSE))</f>
        <v>1E-13</v>
      </c>
      <c r="K64" s="735">
        <f>L48</f>
        <v>1E-13</v>
      </c>
      <c r="L64" s="552">
        <f t="shared" si="1"/>
        <v>1E-13</v>
      </c>
      <c r="M64" s="568" t="s">
        <v>341</v>
      </c>
      <c r="N64" s="567"/>
      <c r="O64" s="585"/>
      <c r="P64" s="585"/>
      <c r="S64"/>
      <c r="T64"/>
      <c r="U64"/>
      <c r="V64"/>
      <c r="W64"/>
      <c r="X64"/>
      <c r="Y64"/>
    </row>
    <row r="65" spans="1:25" s="11" customFormat="1" ht="12.75" customHeight="1" x14ac:dyDescent="0.2">
      <c r="A65" s="567"/>
      <c r="B65" s="567"/>
      <c r="C65" s="567" t="s">
        <v>381</v>
      </c>
      <c r="D65" s="567"/>
      <c r="E65" s="567"/>
      <c r="F65" s="567"/>
      <c r="G65" s="784" t="s">
        <v>382</v>
      </c>
      <c r="H65" s="568" t="s">
        <v>340</v>
      </c>
      <c r="I65" s="571"/>
      <c r="J65" s="569">
        <f>IF(HLOOKUP(CaseName,CaseData,MATCH($G65,cases!$G$3:$G$1232,0)-1,FALSE)="",IF(ISBLANK(VLOOKUP(ChemName,ChemData,MATCH(G65,substances!$3:$3,FALSE)-1,FALSE)),"",VLOOKUP(ChemName,ChemData,MATCH(G65,substances!$3:$3,FALSE)-1,FALSE)),HLOOKUP(CaseName,CaseData,MATCH($G65,cases!$G$3:$G$1232,0)-1,FALSE))</f>
        <v>1E-13</v>
      </c>
      <c r="K65" s="735">
        <f>L49</f>
        <v>1E-13</v>
      </c>
      <c r="L65" s="552">
        <f t="shared" si="1"/>
        <v>1E-13</v>
      </c>
      <c r="M65" s="568" t="s">
        <v>341</v>
      </c>
      <c r="N65" s="567"/>
      <c r="O65" s="585"/>
      <c r="P65" s="585"/>
      <c r="S65"/>
      <c r="T65"/>
      <c r="U65"/>
      <c r="V65"/>
      <c r="W65"/>
      <c r="X65"/>
      <c r="Y65"/>
    </row>
    <row r="66" spans="1:25" s="11" customFormat="1" ht="12.75" customHeight="1" x14ac:dyDescent="0.2">
      <c r="A66" s="567"/>
      <c r="B66" s="567"/>
      <c r="C66" s="567" t="s">
        <v>383</v>
      </c>
      <c r="D66" s="567"/>
      <c r="E66" s="567"/>
      <c r="F66" s="567"/>
      <c r="G66" s="784" t="s">
        <v>384</v>
      </c>
      <c r="H66" s="568" t="s">
        <v>340</v>
      </c>
      <c r="I66" s="571"/>
      <c r="J66" s="569">
        <f>IF(HLOOKUP(CaseName,CaseData,MATCH($G66,cases!$G$3:$G$1232,0)-1,FALSE)="",IF(ISBLANK(VLOOKUP(ChemName,ChemData,MATCH(G66,substances!$3:$3,FALSE)-1,FALSE)),"",VLOOKUP(ChemName,ChemData,MATCH(G66,substances!$3:$3,FALSE)-1,FALSE)),HLOOKUP(CaseName,CaseData,MATCH($G66,cases!$G$3:$G$1232,0)-1,FALSE))</f>
        <v>1E-13</v>
      </c>
      <c r="K66" s="735">
        <f>L49</f>
        <v>1E-13</v>
      </c>
      <c r="L66" s="552">
        <f t="shared" si="1"/>
        <v>1E-13</v>
      </c>
      <c r="M66" s="568" t="s">
        <v>341</v>
      </c>
      <c r="N66" s="567"/>
      <c r="O66" s="585"/>
      <c r="P66" s="585"/>
      <c r="S66"/>
      <c r="T66"/>
      <c r="U66"/>
      <c r="V66"/>
      <c r="W66"/>
      <c r="X66"/>
      <c r="Y66"/>
    </row>
    <row r="67" spans="1:25" s="11" customFormat="1" ht="12.75" customHeight="1" x14ac:dyDescent="0.2">
      <c r="A67" s="567"/>
      <c r="B67" s="567"/>
      <c r="C67" s="567" t="s">
        <v>385</v>
      </c>
      <c r="D67" s="567"/>
      <c r="E67" s="567"/>
      <c r="F67" s="567"/>
      <c r="G67" s="784" t="s">
        <v>386</v>
      </c>
      <c r="H67" s="568" t="s">
        <v>340</v>
      </c>
      <c r="I67" s="571"/>
      <c r="J67" s="569">
        <f>IF(HLOOKUP(CaseName,CaseData,MATCH($G67,cases!$G$3:$G$1232,0)-1,FALSE)="",IF(ISBLANK(VLOOKUP(ChemName,ChemData,MATCH(G67,substances!$3:$3,FALSE)-1,FALSE)),"",VLOOKUP(ChemName,ChemData,MATCH(G67,substances!$3:$3,FALSE)-1,FALSE)),HLOOKUP(CaseName,CaseData,MATCH($G67,cases!$G$3:$G$1232,0)-1,FALSE))</f>
        <v>1E-13</v>
      </c>
      <c r="K67" s="735">
        <f>L50</f>
        <v>1E-13</v>
      </c>
      <c r="L67" s="552">
        <f t="shared" si="1"/>
        <v>1E-13</v>
      </c>
      <c r="M67" s="568" t="s">
        <v>341</v>
      </c>
      <c r="N67" s="567"/>
      <c r="O67" s="585"/>
      <c r="P67" s="585"/>
      <c r="S67"/>
      <c r="T67"/>
      <c r="U67"/>
      <c r="V67"/>
      <c r="W67"/>
      <c r="X67"/>
      <c r="Y67"/>
    </row>
    <row r="68" spans="1:25" s="11" customFormat="1" ht="12.75" customHeight="1" x14ac:dyDescent="0.2">
      <c r="A68" s="567"/>
      <c r="B68" s="567"/>
      <c r="C68" s="567" t="s">
        <v>387</v>
      </c>
      <c r="D68" s="567"/>
      <c r="E68" s="567"/>
      <c r="F68" s="567"/>
      <c r="G68" s="784" t="s">
        <v>388</v>
      </c>
      <c r="H68" s="568" t="s">
        <v>340</v>
      </c>
      <c r="I68" s="571"/>
      <c r="J68" s="569">
        <f>IF(HLOOKUP(CaseName,CaseData,MATCH($G68,cases!$G$3:$G$1232,0)-1,FALSE)="",IF(ISBLANK(VLOOKUP(ChemName,ChemData,MATCH(G68,substances!$3:$3,FALSE)-1,FALSE)),"",VLOOKUP(ChemName,ChemData,MATCH(G68,substances!$3:$3,FALSE)-1,FALSE)),HLOOKUP(CaseName,CaseData,MATCH($G68,cases!$G$3:$G$1232,0)-1,FALSE))</f>
        <v>1E-13</v>
      </c>
      <c r="K68" s="735">
        <f>L50</f>
        <v>1E-13</v>
      </c>
      <c r="L68" s="552">
        <f t="shared" si="1"/>
        <v>1E-13</v>
      </c>
      <c r="M68" s="568" t="s">
        <v>341</v>
      </c>
      <c r="N68" s="567"/>
      <c r="O68" s="585"/>
      <c r="P68" s="585"/>
      <c r="S68"/>
      <c r="T68"/>
      <c r="U68"/>
      <c r="V68"/>
      <c r="W68"/>
      <c r="X68"/>
      <c r="Y68"/>
    </row>
    <row r="69" spans="1:25" s="11" customFormat="1" ht="12.75" customHeight="1" x14ac:dyDescent="0.2">
      <c r="A69" s="567"/>
      <c r="B69" s="567"/>
      <c r="C69" s="567" t="s">
        <v>389</v>
      </c>
      <c r="D69" s="567"/>
      <c r="E69" s="567"/>
      <c r="F69" s="567"/>
      <c r="G69" s="784" t="s">
        <v>390</v>
      </c>
      <c r="H69" s="568" t="s">
        <v>340</v>
      </c>
      <c r="I69" s="571"/>
      <c r="J69" s="569">
        <f>IF(HLOOKUP(CaseName,CaseData,MATCH($G69,cases!$G$3:$G$1232,0)-1,FALSE)="",IF(ISBLANK(VLOOKUP(ChemName,ChemData,MATCH(G69,substances!$3:$3,FALSE)-1,FALSE)),"",VLOOKUP(ChemName,ChemData,MATCH(G69,substances!$3:$3,FALSE)-1,FALSE)),HLOOKUP(CaseName,CaseData,MATCH($G69,cases!$G$3:$G$1232,0)-1,FALSE))</f>
        <v>1E-13</v>
      </c>
      <c r="K69" s="735">
        <f>L51</f>
        <v>1E-13</v>
      </c>
      <c r="L69" s="552">
        <f t="shared" si="1"/>
        <v>1E-13</v>
      </c>
      <c r="M69" s="568" t="s">
        <v>341</v>
      </c>
      <c r="N69" s="567"/>
      <c r="O69" s="585"/>
      <c r="P69" s="585"/>
      <c r="S69"/>
      <c r="T69"/>
      <c r="U69"/>
      <c r="V69"/>
      <c r="W69"/>
      <c r="X69"/>
      <c r="Y69"/>
    </row>
    <row r="70" spans="1:25" s="11" customFormat="1" ht="12.75" customHeight="1" x14ac:dyDescent="0.2">
      <c r="A70" s="567"/>
      <c r="B70" s="567"/>
      <c r="C70" s="567" t="s">
        <v>391</v>
      </c>
      <c r="D70" s="567"/>
      <c r="E70" s="567"/>
      <c r="F70" s="567"/>
      <c r="G70" s="784" t="s">
        <v>392</v>
      </c>
      <c r="H70" s="568" t="s">
        <v>340</v>
      </c>
      <c r="I70" s="571"/>
      <c r="J70" s="569">
        <f>IF(HLOOKUP(CaseName,CaseData,MATCH($G70,cases!$G$3:$G$1232,0)-1,FALSE)="",IF(ISBLANK(VLOOKUP(ChemName,ChemData,MATCH(G70,substances!$3:$3,FALSE)-1,FALSE)),"",VLOOKUP(ChemName,ChemData,MATCH(G70,substances!$3:$3,FALSE)-1,FALSE)),HLOOKUP(CaseName,CaseData,MATCH($G70,cases!$G$3:$G$1232,0)-1,FALSE))</f>
        <v>1E-13</v>
      </c>
      <c r="K70" s="735">
        <f>L51</f>
        <v>1E-13</v>
      </c>
      <c r="L70" s="552">
        <f t="shared" si="1"/>
        <v>1E-13</v>
      </c>
      <c r="M70" s="568" t="s">
        <v>341</v>
      </c>
      <c r="N70" s="567"/>
      <c r="O70" s="585"/>
      <c r="P70" s="585"/>
      <c r="S70"/>
      <c r="T70"/>
      <c r="U70"/>
      <c r="V70"/>
      <c r="W70"/>
      <c r="X70"/>
      <c r="Y70"/>
    </row>
    <row r="71" spans="1:25" s="11" customFormat="1" ht="12.75" customHeight="1" x14ac:dyDescent="0.2">
      <c r="A71" s="567"/>
      <c r="B71" s="567"/>
      <c r="C71" s="567" t="s">
        <v>393</v>
      </c>
      <c r="D71" s="567"/>
      <c r="E71" s="567"/>
      <c r="F71" s="567"/>
      <c r="G71" s="784" t="s">
        <v>394</v>
      </c>
      <c r="H71" s="568" t="s">
        <v>340</v>
      </c>
      <c r="I71" s="571"/>
      <c r="J71" s="569">
        <f>IF(HLOOKUP(CaseName,CaseData,MATCH($G71,cases!$G$3:$G$1232,0)-1,FALSE)="",IF(ISBLANK(VLOOKUP(ChemName,ChemData,MATCH(G71,substances!$3:$3,FALSE)-1,FALSE)),"",VLOOKUP(ChemName,ChemData,MATCH(G71,substances!$3:$3,FALSE)-1,FALSE)),HLOOKUP(CaseName,CaseData,MATCH($G71,cases!$G$3:$G$1232,0)-1,FALSE))</f>
        <v>1E-13</v>
      </c>
      <c r="K71" s="735">
        <f>L52</f>
        <v>1E-13</v>
      </c>
      <c r="L71" s="552">
        <f t="shared" si="1"/>
        <v>1E-13</v>
      </c>
      <c r="M71" s="568" t="s">
        <v>341</v>
      </c>
      <c r="N71" s="567"/>
      <c r="O71" s="585"/>
      <c r="P71" s="585"/>
      <c r="S71"/>
      <c r="T71"/>
      <c r="U71"/>
      <c r="V71"/>
      <c r="W71"/>
      <c r="X71"/>
      <c r="Y71"/>
    </row>
    <row r="72" spans="1:25" s="11" customFormat="1" ht="12.75" customHeight="1" x14ac:dyDescent="0.2">
      <c r="A72" s="567"/>
      <c r="B72" s="567"/>
      <c r="C72" s="567" t="s">
        <v>395</v>
      </c>
      <c r="D72" s="567"/>
      <c r="E72" s="567"/>
      <c r="F72" s="567"/>
      <c r="G72" s="784" t="s">
        <v>396</v>
      </c>
      <c r="H72" s="568" t="s">
        <v>340</v>
      </c>
      <c r="I72" s="571"/>
      <c r="J72" s="569">
        <f>IF(HLOOKUP(CaseName,CaseData,MATCH($G72,cases!$G$3:$G$1232,0)-1,FALSE)="",IF(ISBLANK(VLOOKUP(ChemName,ChemData,MATCH(G72,substances!$3:$3,FALSE)-1,FALSE)),"",VLOOKUP(ChemName,ChemData,MATCH(G72,substances!$3:$3,FALSE)-1,FALSE)),HLOOKUP(CaseName,CaseData,MATCH($G72,cases!$G$3:$G$1232,0)-1,FALSE))</f>
        <v>1E-13</v>
      </c>
      <c r="K72" s="735">
        <f>L52</f>
        <v>1E-13</v>
      </c>
      <c r="L72" s="552">
        <f t="shared" si="1"/>
        <v>1E-13</v>
      </c>
      <c r="M72" s="568" t="s">
        <v>341</v>
      </c>
      <c r="N72" s="567"/>
      <c r="O72" s="585"/>
      <c r="P72" s="585"/>
      <c r="S72"/>
      <c r="T72"/>
      <c r="U72"/>
      <c r="V72"/>
      <c r="W72"/>
      <c r="X72"/>
      <c r="Y72"/>
    </row>
    <row r="73" spans="1:25" s="11" customFormat="1" ht="12.75" customHeight="1" x14ac:dyDescent="0.2">
      <c r="A73" s="567"/>
      <c r="B73" s="567"/>
      <c r="C73" s="567" t="s">
        <v>397</v>
      </c>
      <c r="D73" s="567"/>
      <c r="E73" s="567"/>
      <c r="F73" s="567"/>
      <c r="G73" s="784" t="s">
        <v>398</v>
      </c>
      <c r="H73" s="568" t="s">
        <v>340</v>
      </c>
      <c r="I73" s="571"/>
      <c r="J73" s="569">
        <f>IF(HLOOKUP(CaseName,CaseData,MATCH($G73,cases!$G$3:$G$1232,0)-1,FALSE)="",IF(ISBLANK(VLOOKUP(ChemName,ChemData,MATCH(G73,substances!$3:$3,FALSE)-1,FALSE)),"",VLOOKUP(ChemName,ChemData,MATCH(G73,substances!$3:$3,FALSE)-1,FALSE)),HLOOKUP(CaseName,CaseData,MATCH($G73,cases!$G$3:$G$1232,0)-1,FALSE))</f>
        <v>1E-13</v>
      </c>
      <c r="K73" s="735">
        <f>L53</f>
        <v>1E-13</v>
      </c>
      <c r="L73" s="552">
        <f t="shared" si="1"/>
        <v>1E-13</v>
      </c>
      <c r="M73" s="568" t="s">
        <v>341</v>
      </c>
      <c r="N73" s="567"/>
      <c r="O73" s="585"/>
      <c r="P73" s="585"/>
      <c r="S73"/>
      <c r="T73"/>
      <c r="U73"/>
      <c r="V73"/>
      <c r="W73"/>
      <c r="X73"/>
      <c r="Y73"/>
    </row>
    <row r="74" spans="1:25" s="11" customFormat="1" ht="12.75" customHeight="1" x14ac:dyDescent="0.2">
      <c r="A74" s="567"/>
      <c r="B74" s="567"/>
      <c r="C74" s="599" t="s">
        <v>399</v>
      </c>
      <c r="D74" s="599"/>
      <c r="E74" s="599"/>
      <c r="F74" s="599"/>
      <c r="G74" s="785" t="s">
        <v>400</v>
      </c>
      <c r="H74" s="602" t="s">
        <v>340</v>
      </c>
      <c r="I74" s="590"/>
      <c r="J74" s="799">
        <f>IF(HLOOKUP(CaseName,CaseData,MATCH($G74,cases!$G$3:$G$1232,0)-1,FALSE)="",IF(ISBLANK(VLOOKUP(ChemName,ChemData,MATCH(G74,substances!$3:$3,FALSE)-1,FALSE)),"",VLOOKUP(ChemName,ChemData,MATCH(G74,substances!$3:$3,FALSE)-1,FALSE)),HLOOKUP(CaseName,CaseData,MATCH($G74,cases!$G$3:$G$1232,0)-1,FALSE))</f>
        <v>1E-13</v>
      </c>
      <c r="K74" s="736">
        <f>L53</f>
        <v>1E-13</v>
      </c>
      <c r="L74" s="553">
        <f t="shared" si="1"/>
        <v>1E-13</v>
      </c>
      <c r="M74" s="602" t="s">
        <v>341</v>
      </c>
      <c r="N74" s="599"/>
      <c r="O74" s="585"/>
      <c r="P74" s="585"/>
      <c r="S74"/>
      <c r="T74"/>
      <c r="U74"/>
      <c r="V74"/>
      <c r="W74"/>
      <c r="X74"/>
      <c r="Y74"/>
    </row>
    <row r="75" spans="1:25" s="11" customFormat="1" ht="12.75" customHeight="1" x14ac:dyDescent="0.2">
      <c r="A75" s="567"/>
      <c r="B75" s="567"/>
      <c r="C75" s="599"/>
      <c r="D75" s="599"/>
      <c r="E75" s="599"/>
      <c r="F75" s="599"/>
      <c r="G75" s="785"/>
      <c r="H75" s="602"/>
      <c r="I75" s="590"/>
      <c r="J75" s="803"/>
      <c r="K75" s="804"/>
      <c r="L75" s="552"/>
      <c r="M75" s="602"/>
      <c r="N75" s="599"/>
      <c r="O75" s="585"/>
      <c r="P75" s="585"/>
      <c r="S75"/>
      <c r="T75"/>
      <c r="U75"/>
      <c r="V75"/>
      <c r="W75"/>
      <c r="X75"/>
      <c r="Y75"/>
    </row>
    <row r="76" spans="1:25" customFormat="1" ht="12.75" customHeight="1" x14ac:dyDescent="0.2">
      <c r="A76" s="567"/>
      <c r="B76" s="567"/>
      <c r="C76" s="601" t="s">
        <v>401</v>
      </c>
      <c r="D76" s="599"/>
      <c r="E76" s="599"/>
      <c r="F76" s="599"/>
      <c r="G76" s="588" t="s">
        <v>263</v>
      </c>
      <c r="H76" s="588" t="s">
        <v>279</v>
      </c>
      <c r="I76" s="732" t="s">
        <v>264</v>
      </c>
      <c r="J76" s="814" t="s">
        <v>280</v>
      </c>
      <c r="K76" s="732" t="s">
        <v>265</v>
      </c>
      <c r="L76" s="734" t="s">
        <v>266</v>
      </c>
      <c r="M76" s="581"/>
      <c r="N76" s="588" t="s">
        <v>267</v>
      </c>
      <c r="O76" s="567"/>
      <c r="P76" s="567"/>
    </row>
    <row r="77" spans="1:25" customFormat="1" ht="12.75" customHeight="1" x14ac:dyDescent="0.2">
      <c r="A77" s="567"/>
      <c r="B77" s="567"/>
      <c r="C77" s="782" t="s">
        <v>337</v>
      </c>
      <c r="D77" s="567"/>
      <c r="E77" s="567"/>
      <c r="F77" s="567"/>
      <c r="G77" s="568"/>
      <c r="H77" s="568"/>
      <c r="I77" s="675"/>
      <c r="J77" s="814"/>
      <c r="K77" s="812"/>
      <c r="L77" s="734"/>
      <c r="M77" s="567"/>
      <c r="N77" s="568"/>
      <c r="O77" s="567"/>
      <c r="P77" s="567"/>
    </row>
    <row r="78" spans="1:25" customFormat="1" ht="12.75" customHeight="1" x14ac:dyDescent="0.2">
      <c r="A78" s="567"/>
      <c r="B78" s="567"/>
      <c r="C78" s="567" t="s">
        <v>402</v>
      </c>
      <c r="D78" s="567"/>
      <c r="E78" s="567"/>
      <c r="F78" s="567"/>
      <c r="G78" s="784" t="s">
        <v>403</v>
      </c>
      <c r="H78" s="568" t="s">
        <v>340</v>
      </c>
      <c r="I78" s="813"/>
      <c r="J78" s="428" t="str">
        <f>IF(HLOOKUP(CaseName,CaseData,MATCH($G78,cases!$G$3:$G$1232,0)-1,FALSE)="",IF(ISBLANK(VLOOKUP(ChemName,ChemData,MATCH(G78,substances!$3:$3,FALSE)-1,FALSE)),"",VLOOKUP(ChemName,ChemData,MATCH(G78,substances!$3:$3,FALSE)-1,FALSE)),HLOOKUP(CaseName,CaseData,MATCH($G78,cases!$G$3:$G$1232,0)-1,FALSE))</f>
        <v/>
      </c>
      <c r="K78" s="735">
        <f>kfragS.a+kmpdeg.a</f>
        <v>0</v>
      </c>
      <c r="L78" s="423">
        <f t="shared" ref="L78" si="3">IF(ISBLANK(I78), IF(ISNUMBER(J78)=FALSE, K78, J78), I78)</f>
        <v>0</v>
      </c>
      <c r="M78" s="568" t="s">
        <v>341</v>
      </c>
      <c r="N78" s="567"/>
      <c r="O78" s="567"/>
      <c r="P78" s="567"/>
    </row>
    <row r="79" spans="1:25" customFormat="1" ht="12.75" customHeight="1" x14ac:dyDescent="0.2">
      <c r="A79" s="567"/>
      <c r="B79" s="567"/>
      <c r="C79" s="567"/>
      <c r="D79" s="578" t="s">
        <v>404</v>
      </c>
      <c r="E79" s="567"/>
      <c r="F79" s="567"/>
      <c r="G79" s="806" t="s">
        <v>405</v>
      </c>
      <c r="H79" s="603" t="s">
        <v>340</v>
      </c>
      <c r="I79" s="813"/>
      <c r="J79" s="428" t="e">
        <f>IF(HLOOKUP(CaseName,CaseData,MATCH($G79,cases!$G$3:$G$1232,0)-1,FALSE)="",IF(ISBLANK(VLOOKUP(ChemName,ChemData,MATCH(G79,substances!$3:$3,FALSE)-1,FALSE)),"",VLOOKUP(ChemName,ChemData,MATCH(G79,substances!$3:$3,FALSE)-1,FALSE)),HLOOKUP(CaseName,CaseData,MATCH($G79,cases!$G$3:$G$1232,0)-1,FALSE))</f>
        <v>#N/A</v>
      </c>
      <c r="K79" s="735">
        <v>0</v>
      </c>
      <c r="L79" s="423">
        <f t="shared" ref="L79:L87" si="4">IF(ISBLANK(I79), IF(ISNUMBER(J79)=FALSE, K79, J79), I79)</f>
        <v>0</v>
      </c>
      <c r="M79" s="568" t="s">
        <v>341</v>
      </c>
      <c r="N79" s="578"/>
      <c r="O79" s="567"/>
      <c r="P79" s="567"/>
    </row>
    <row r="80" spans="1:25" customFormat="1" ht="12.75" customHeight="1" x14ac:dyDescent="0.2">
      <c r="A80" s="567"/>
      <c r="B80" s="567"/>
      <c r="C80" s="567"/>
      <c r="D80" s="578" t="s">
        <v>406</v>
      </c>
      <c r="E80" s="567"/>
      <c r="F80" s="567"/>
      <c r="G80" s="806" t="s">
        <v>407</v>
      </c>
      <c r="H80" s="603" t="s">
        <v>340</v>
      </c>
      <c r="I80" s="813"/>
      <c r="J80" s="428" t="e">
        <f>IF(HLOOKUP(CaseName,CaseData,MATCH($G80,cases!$G$3:$G$1232,0)-1,FALSE)="",IF(ISBLANK(VLOOKUP(ChemName,ChemData,MATCH(G80,substances!$3:$3,FALSE)-1,FALSE)),"",VLOOKUP(ChemName,ChemData,MATCH(G80,substances!$3:$3,FALSE)-1,FALSE)),HLOOKUP(CaseName,CaseData,MATCH($G80,cases!$G$3:$G$1232,0)-1,FALSE))</f>
        <v>#N/A</v>
      </c>
      <c r="K80" s="735">
        <v>0</v>
      </c>
      <c r="L80" s="423">
        <f t="shared" si="4"/>
        <v>0</v>
      </c>
      <c r="M80" s="568" t="s">
        <v>341</v>
      </c>
      <c r="N80" s="578"/>
      <c r="O80" s="567"/>
      <c r="P80" s="567"/>
    </row>
    <row r="81" spans="1:16" customFormat="1" ht="12.75" customHeight="1" x14ac:dyDescent="0.2">
      <c r="A81" s="567"/>
      <c r="B81" s="567"/>
      <c r="C81" s="567" t="s">
        <v>408</v>
      </c>
      <c r="D81" s="567"/>
      <c r="E81" s="567"/>
      <c r="F81" s="567"/>
      <c r="G81" s="784" t="s">
        <v>409</v>
      </c>
      <c r="H81" s="568" t="s">
        <v>340</v>
      </c>
      <c r="I81" s="813"/>
      <c r="J81" s="428" t="str">
        <f>IF(HLOOKUP(CaseName,CaseData,MATCH($G81,cases!$G$3:$G$1232,0)-1,FALSE)="",IF(ISBLANK(VLOOKUP(ChemName,ChemData,MATCH(G81,substances!$3:$3,FALSE)-1,FALSE)),"",VLOOKUP(ChemName,ChemData,MATCH(G81,substances!$3:$3,FALSE)-1,FALSE)),HLOOKUP(CaseName,CaseData,MATCH($G81,cases!$G$3:$G$1232,0)-1,FALSE))</f>
        <v/>
      </c>
      <c r="K81" s="735">
        <f>kfragS.w1+kmpdeg.w1</f>
        <v>0</v>
      </c>
      <c r="L81" s="423">
        <f t="shared" si="4"/>
        <v>0</v>
      </c>
      <c r="M81" s="568" t="s">
        <v>341</v>
      </c>
      <c r="N81" s="567"/>
      <c r="O81" s="567"/>
      <c r="P81" s="567"/>
    </row>
    <row r="82" spans="1:16" customFormat="1" ht="12.75" customHeight="1" x14ac:dyDescent="0.2">
      <c r="A82" s="567"/>
      <c r="B82" s="567"/>
      <c r="C82" s="567" t="s">
        <v>410</v>
      </c>
      <c r="D82" s="567"/>
      <c r="E82" s="567"/>
      <c r="F82" s="567"/>
      <c r="G82" s="784" t="s">
        <v>411</v>
      </c>
      <c r="H82" s="568" t="s">
        <v>340</v>
      </c>
      <c r="I82" s="813"/>
      <c r="J82" s="428" t="str">
        <f>IF(HLOOKUP(CaseName,CaseData,MATCH($G82,cases!$G$3:$G$1232,0)-1,FALSE)="",IF(ISBLANK(VLOOKUP(ChemName,ChemData,MATCH(G82,substances!$3:$3,FALSE)-1,FALSE)),"",VLOOKUP(ChemName,ChemData,MATCH(G82,substances!$3:$3,FALSE)-1,FALSE)),HLOOKUP(CaseName,CaseData,MATCH($G82,cases!$G$3:$G$1232,0)-1,FALSE))</f>
        <v/>
      </c>
      <c r="K82" s="735">
        <f>kfragS.w1+kmpdeg.w1</f>
        <v>0</v>
      </c>
      <c r="L82" s="423">
        <f t="shared" si="4"/>
        <v>0</v>
      </c>
      <c r="M82" s="568" t="s">
        <v>341</v>
      </c>
      <c r="N82" s="567"/>
      <c r="O82" s="567"/>
      <c r="P82" s="567"/>
    </row>
    <row r="83" spans="1:16" customFormat="1" ht="12.75" customHeight="1" x14ac:dyDescent="0.2">
      <c r="A83" s="567"/>
      <c r="B83" s="567"/>
      <c r="C83" s="567"/>
      <c r="D83" s="578" t="s">
        <v>412</v>
      </c>
      <c r="E83" s="567"/>
      <c r="F83" s="567"/>
      <c r="G83" s="806" t="s">
        <v>413</v>
      </c>
      <c r="H83" s="603" t="s">
        <v>340</v>
      </c>
      <c r="I83" s="813"/>
      <c r="J83" s="428" t="e">
        <f>IF(HLOOKUP(CaseName,CaseData,MATCH($G83,cases!$G$3:$G$1232,0)-1,FALSE)="",IF(ISBLANK(VLOOKUP(ChemName,ChemData,MATCH(G83,substances!$3:$3,FALSE)-1,FALSE)),"",VLOOKUP(ChemName,ChemData,MATCH(G83,substances!$3:$3,FALSE)-1,FALSE)),HLOOKUP(CaseName,CaseData,MATCH($G83,cases!$G$3:$G$1232,0)-1,FALSE))</f>
        <v>#N/A</v>
      </c>
      <c r="K83" s="735">
        <v>0</v>
      </c>
      <c r="L83" s="423">
        <f t="shared" si="4"/>
        <v>0</v>
      </c>
      <c r="M83" s="568" t="s">
        <v>341</v>
      </c>
      <c r="N83" s="578"/>
      <c r="O83" s="567"/>
      <c r="P83" s="567"/>
    </row>
    <row r="84" spans="1:16" customFormat="1" ht="12.75" customHeight="1" x14ac:dyDescent="0.2">
      <c r="A84" s="567"/>
      <c r="B84" s="567"/>
      <c r="C84" s="567"/>
      <c r="D84" s="578" t="s">
        <v>414</v>
      </c>
      <c r="E84" s="567"/>
      <c r="F84" s="567"/>
      <c r="G84" s="806" t="s">
        <v>415</v>
      </c>
      <c r="H84" s="603" t="s">
        <v>340</v>
      </c>
      <c r="I84" s="813"/>
      <c r="J84" s="428" t="e">
        <f>IF(HLOOKUP(CaseName,CaseData,MATCH($G84,cases!$G$3:$G$1232,0)-1,FALSE)="",IF(ISBLANK(VLOOKUP(ChemName,ChemData,MATCH(G84,substances!$3:$3,FALSE)-1,FALSE)),"",VLOOKUP(ChemName,ChemData,MATCH(G84,substances!$3:$3,FALSE)-1,FALSE)),HLOOKUP(CaseName,CaseData,MATCH($G84,cases!$G$3:$G$1232,0)-1,FALSE))</f>
        <v>#N/A</v>
      </c>
      <c r="K84" s="735">
        <v>0</v>
      </c>
      <c r="L84" s="423">
        <f t="shared" si="4"/>
        <v>0</v>
      </c>
      <c r="M84" s="568" t="s">
        <v>341</v>
      </c>
      <c r="N84" s="578"/>
      <c r="O84" s="567"/>
      <c r="P84" s="567"/>
    </row>
    <row r="85" spans="1:16" customFormat="1" ht="12.75" customHeight="1" x14ac:dyDescent="0.2">
      <c r="A85" s="567"/>
      <c r="B85" s="567"/>
      <c r="C85" s="567" t="s">
        <v>416</v>
      </c>
      <c r="D85" s="567"/>
      <c r="E85" s="567"/>
      <c r="F85" s="567"/>
      <c r="G85" s="784" t="s">
        <v>417</v>
      </c>
      <c r="H85" s="568" t="s">
        <v>340</v>
      </c>
      <c r="I85" s="813"/>
      <c r="J85" s="428" t="str">
        <f>IF(HLOOKUP(CaseName,CaseData,MATCH($G85,cases!$G$3:$G$1232,0)-1,FALSE)="",IF(ISBLANK(VLOOKUP(ChemName,ChemData,MATCH(G85,substances!$3:$3,FALSE)-1,FALSE)),"",VLOOKUP(ChemName,ChemData,MATCH(G85,substances!$3:$3,FALSE)-1,FALSE)),HLOOKUP(CaseName,CaseData,MATCH($G85,cases!$G$3:$G$1232,0)-1,FALSE))</f>
        <v/>
      </c>
      <c r="K85" s="735">
        <f>kfragS.w2+kmpdeg.w2</f>
        <v>0</v>
      </c>
      <c r="L85" s="423">
        <f t="shared" si="4"/>
        <v>0</v>
      </c>
      <c r="M85" s="568" t="s">
        <v>341</v>
      </c>
      <c r="N85" s="567"/>
      <c r="O85" s="567"/>
      <c r="P85" s="567"/>
    </row>
    <row r="86" spans="1:16" customFormat="1" ht="12.75" customHeight="1" x14ac:dyDescent="0.2">
      <c r="A86" s="567"/>
      <c r="B86" s="567"/>
      <c r="C86" s="567"/>
      <c r="D86" s="578" t="s">
        <v>418</v>
      </c>
      <c r="E86" s="567"/>
      <c r="F86" s="567"/>
      <c r="G86" s="806" t="s">
        <v>419</v>
      </c>
      <c r="H86" s="603" t="s">
        <v>340</v>
      </c>
      <c r="I86" s="813"/>
      <c r="J86" s="428" t="e">
        <f>IF(HLOOKUP(CaseName,CaseData,MATCH($G86,cases!$G$3:$G$1232,0)-1,FALSE)="",IF(ISBLANK(VLOOKUP(ChemName,ChemData,MATCH(G86,substances!$3:$3,FALSE)-1,FALSE)),"",VLOOKUP(ChemName,ChemData,MATCH(G86,substances!$3:$3,FALSE)-1,FALSE)),HLOOKUP(CaseName,CaseData,MATCH($G86,cases!$G$3:$G$1232,0)-1,FALSE))</f>
        <v>#N/A</v>
      </c>
      <c r="K86" s="735">
        <v>0</v>
      </c>
      <c r="L86" s="423">
        <f t="shared" si="4"/>
        <v>0</v>
      </c>
      <c r="M86" s="568" t="s">
        <v>341</v>
      </c>
      <c r="N86" s="578"/>
      <c r="O86" s="567"/>
      <c r="P86" s="567"/>
    </row>
    <row r="87" spans="1:16" customFormat="1" ht="12.75" customHeight="1" x14ac:dyDescent="0.2">
      <c r="A87" s="567"/>
      <c r="B87" s="567"/>
      <c r="C87" s="567"/>
      <c r="D87" s="578" t="s">
        <v>420</v>
      </c>
      <c r="E87" s="567"/>
      <c r="F87" s="567"/>
      <c r="G87" s="806" t="s">
        <v>421</v>
      </c>
      <c r="H87" s="603" t="s">
        <v>340</v>
      </c>
      <c r="I87" s="813"/>
      <c r="J87" s="428" t="e">
        <f>IF(HLOOKUP(CaseName,CaseData,MATCH($G87,cases!$G$3:$G$1232,0)-1,FALSE)="",IF(ISBLANK(VLOOKUP(ChemName,ChemData,MATCH(G87,substances!$3:$3,FALSE)-1,FALSE)),"",VLOOKUP(ChemName,ChemData,MATCH(G87,substances!$3:$3,FALSE)-1,FALSE)),HLOOKUP(CaseName,CaseData,MATCH($G87,cases!$G$3:$G$1232,0)-1,FALSE))</f>
        <v>#N/A</v>
      </c>
      <c r="K87" s="735">
        <v>0</v>
      </c>
      <c r="L87" s="423">
        <f t="shared" si="4"/>
        <v>0</v>
      </c>
      <c r="M87" s="568" t="s">
        <v>341</v>
      </c>
      <c r="N87" s="578"/>
      <c r="O87" s="567"/>
      <c r="P87" s="567"/>
    </row>
    <row r="88" spans="1:16" customFormat="1" ht="12.75" customHeight="1" x14ac:dyDescent="0.2">
      <c r="A88" s="567"/>
      <c r="B88" s="567"/>
      <c r="C88" s="567" t="s">
        <v>422</v>
      </c>
      <c r="D88" s="567"/>
      <c r="E88" s="567"/>
      <c r="F88" s="567"/>
      <c r="G88" s="784" t="s">
        <v>423</v>
      </c>
      <c r="H88" s="568" t="s">
        <v>340</v>
      </c>
      <c r="I88" s="813"/>
      <c r="J88" s="428" t="str">
        <f>IF(HLOOKUP(CaseName,CaseData,MATCH($G88,cases!$G$3:$G$1232,0)-1,FALSE)="",IF(ISBLANK(VLOOKUP(ChemName,ChemData,MATCH(G88,substances!$3:$3,FALSE)-1,FALSE)),"",VLOOKUP(ChemName,ChemData,MATCH(G88,substances!$3:$3,FALSE)-1,FALSE)),HLOOKUP(CaseName,CaseData,MATCH($G88,cases!$G$3:$G$1232,0)-1,FALSE))</f>
        <v/>
      </c>
      <c r="K88" s="735">
        <f>kfragS.s+kmpdeg.s</f>
        <v>0</v>
      </c>
      <c r="L88" s="552">
        <f t="shared" ref="L88:L98" si="5">IF(ISBLANK(I88), IF(ISNUMBER(J88)=FALSE, K88, J88), I88)</f>
        <v>0</v>
      </c>
      <c r="M88" s="568" t="s">
        <v>341</v>
      </c>
      <c r="N88" s="567"/>
      <c r="O88" s="567"/>
      <c r="P88" s="567"/>
    </row>
    <row r="89" spans="1:16" customFormat="1" ht="12.75" customHeight="1" x14ac:dyDescent="0.2">
      <c r="A89" s="567"/>
      <c r="B89" s="567"/>
      <c r="C89" s="567" t="s">
        <v>424</v>
      </c>
      <c r="D89" s="567"/>
      <c r="E89" s="567"/>
      <c r="F89" s="567"/>
      <c r="G89" s="784" t="s">
        <v>425</v>
      </c>
      <c r="H89" s="568" t="s">
        <v>340</v>
      </c>
      <c r="I89" s="813"/>
      <c r="J89" s="428" t="str">
        <f>IF(HLOOKUP(CaseName,CaseData,MATCH($G89,cases!$G$3:$G$1232,0)-1,FALSE)="",IF(ISBLANK(VLOOKUP(ChemName,ChemData,MATCH(G89,substances!$3:$3,FALSE)-1,FALSE)),"",VLOOKUP(ChemName,ChemData,MATCH(G89,substances!$3:$3,FALSE)-1,FALSE)),HLOOKUP(CaseName,CaseData,MATCH($G89,cases!$G$3:$G$1232,0)-1,FALSE))</f>
        <v/>
      </c>
      <c r="K89" s="735">
        <f>kfragS.s+kmpdeg.s</f>
        <v>0</v>
      </c>
      <c r="L89" s="552">
        <f t="shared" si="5"/>
        <v>0</v>
      </c>
      <c r="M89" s="568" t="s">
        <v>341</v>
      </c>
      <c r="N89" s="567"/>
      <c r="O89" s="567"/>
      <c r="P89" s="567"/>
    </row>
    <row r="90" spans="1:16" customFormat="1" ht="12.75" customHeight="1" x14ac:dyDescent="0.2">
      <c r="A90" s="567"/>
      <c r="B90" s="567"/>
      <c r="C90" s="567" t="s">
        <v>426</v>
      </c>
      <c r="D90" s="567"/>
      <c r="E90" s="567"/>
      <c r="F90" s="567"/>
      <c r="G90" s="784" t="s">
        <v>427</v>
      </c>
      <c r="H90" s="568" t="s">
        <v>340</v>
      </c>
      <c r="I90" s="813"/>
      <c r="J90" s="428" t="str">
        <f>IF(HLOOKUP(CaseName,CaseData,MATCH($G90,cases!$G$3:$G$1232,0)-1,FALSE)="",IF(ISBLANK(VLOOKUP(ChemName,ChemData,MATCH(G90,substances!$3:$3,FALSE)-1,FALSE)),"",VLOOKUP(ChemName,ChemData,MATCH(G90,substances!$3:$3,FALSE)-1,FALSE)),HLOOKUP(CaseName,CaseData,MATCH($G90,cases!$G$3:$G$1232,0)-1,FALSE))</f>
        <v/>
      </c>
      <c r="K90" s="735">
        <f>kfragS.s+kmpdeg.s</f>
        <v>0</v>
      </c>
      <c r="L90" s="552">
        <f t="shared" si="5"/>
        <v>0</v>
      </c>
      <c r="M90" s="568" t="s">
        <v>341</v>
      </c>
      <c r="N90" s="567"/>
      <c r="O90" s="567"/>
      <c r="P90" s="567"/>
    </row>
    <row r="91" spans="1:16" customFormat="1" ht="12.75" customHeight="1" x14ac:dyDescent="0.2">
      <c r="A91" s="567"/>
      <c r="B91" s="567"/>
      <c r="C91" s="567"/>
      <c r="D91" s="578" t="s">
        <v>428</v>
      </c>
      <c r="E91" s="567"/>
      <c r="F91" s="567"/>
      <c r="G91" s="806" t="s">
        <v>429</v>
      </c>
      <c r="H91" s="603" t="s">
        <v>340</v>
      </c>
      <c r="I91" s="813"/>
      <c r="J91" s="428" t="e">
        <f>IF(HLOOKUP(CaseName,CaseData,MATCH($G91,cases!$G$3:$G$1232,0)-1,FALSE)="",IF(ISBLANK(VLOOKUP(ChemName,ChemData,MATCH(G91,substances!$3:$3,FALSE)-1,FALSE)),"",VLOOKUP(ChemName,ChemData,MATCH(G91,substances!$3:$3,FALSE)-1,FALSE)),HLOOKUP(CaseName,CaseData,MATCH($G91,cases!$G$3:$G$1232,0)-1,FALSE))</f>
        <v>#N/A</v>
      </c>
      <c r="K91" s="735">
        <v>0</v>
      </c>
      <c r="L91" s="552">
        <f t="shared" ref="L91:L92" si="6">IF(ISBLANK(I91), IF(ISNUMBER(J91)=FALSE, K91, J91), I91)</f>
        <v>0</v>
      </c>
      <c r="M91" s="568" t="s">
        <v>341</v>
      </c>
      <c r="N91" s="578"/>
      <c r="O91" s="567"/>
      <c r="P91" s="567"/>
    </row>
    <row r="92" spans="1:16" customFormat="1" ht="12.75" customHeight="1" x14ac:dyDescent="0.2">
      <c r="A92" s="567"/>
      <c r="B92" s="567"/>
      <c r="C92" s="567"/>
      <c r="D92" s="578" t="s">
        <v>430</v>
      </c>
      <c r="E92" s="567"/>
      <c r="F92" s="567"/>
      <c r="G92" s="806" t="s">
        <v>431</v>
      </c>
      <c r="H92" s="603" t="s">
        <v>340</v>
      </c>
      <c r="I92" s="813"/>
      <c r="J92" s="428" t="e">
        <f>IF(HLOOKUP(CaseName,CaseData,MATCH($G92,cases!$G$3:$G$1232,0)-1,FALSE)="",IF(ISBLANK(VLOOKUP(ChemName,ChemData,MATCH(G92,substances!$3:$3,FALSE)-1,FALSE)),"",VLOOKUP(ChemName,ChemData,MATCH(G92,substances!$3:$3,FALSE)-1,FALSE)),HLOOKUP(CaseName,CaseData,MATCH($G92,cases!$G$3:$G$1232,0)-1,FALSE))</f>
        <v>#N/A</v>
      </c>
      <c r="K92" s="735">
        <v>0</v>
      </c>
      <c r="L92" s="552">
        <f t="shared" si="6"/>
        <v>0</v>
      </c>
      <c r="M92" s="568" t="s">
        <v>341</v>
      </c>
      <c r="N92" s="578"/>
      <c r="O92" s="567"/>
      <c r="P92" s="567"/>
    </row>
    <row r="93" spans="1:16" customFormat="1" ht="12.75" customHeight="1" x14ac:dyDescent="0.2">
      <c r="A93" s="567"/>
      <c r="B93" s="567"/>
      <c r="C93" s="567" t="s">
        <v>432</v>
      </c>
      <c r="D93" s="567"/>
      <c r="E93" s="567"/>
      <c r="F93" s="567"/>
      <c r="G93" s="784" t="s">
        <v>433</v>
      </c>
      <c r="H93" s="568" t="s">
        <v>340</v>
      </c>
      <c r="I93" s="813"/>
      <c r="J93" s="428" t="str">
        <f>IF(HLOOKUP(CaseName,CaseData,MATCH($G93,cases!$G$3:$G$1232,0)-1,FALSE)="",IF(ISBLANK(VLOOKUP(ChemName,ChemData,MATCH(G93,substances!$3:$3,FALSE)-1,FALSE)),"",VLOOKUP(ChemName,ChemData,MATCH(G93,substances!$3:$3,FALSE)-1,FALSE)),HLOOKUP(CaseName,CaseData,MATCH($G93,cases!$G$3:$G$1232,0)-1,FALSE))</f>
        <v/>
      </c>
      <c r="K93" s="735">
        <f>kfragS.sd+kmpdeg.sd</f>
        <v>0</v>
      </c>
      <c r="L93" s="552">
        <f t="shared" si="5"/>
        <v>0</v>
      </c>
      <c r="M93" s="568" t="s">
        <v>341</v>
      </c>
      <c r="N93" s="567"/>
      <c r="O93" s="567"/>
      <c r="P93" s="567"/>
    </row>
    <row r="94" spans="1:16" customFormat="1" ht="12.75" customHeight="1" x14ac:dyDescent="0.2">
      <c r="A94" s="567"/>
      <c r="B94" s="567"/>
      <c r="C94" s="567" t="s">
        <v>434</v>
      </c>
      <c r="D94" s="567"/>
      <c r="E94" s="567"/>
      <c r="F94" s="567"/>
      <c r="G94" s="784" t="s">
        <v>435</v>
      </c>
      <c r="H94" s="568" t="s">
        <v>340</v>
      </c>
      <c r="I94" s="813"/>
      <c r="J94" s="428" t="str">
        <f>IF(HLOOKUP(CaseName,CaseData,MATCH($G94,cases!$G$3:$G$1232,0)-1,FALSE)="",IF(ISBLANK(VLOOKUP(ChemName,ChemData,MATCH(G94,substances!$3:$3,FALSE)-1,FALSE)),"",VLOOKUP(ChemName,ChemData,MATCH(G94,substances!$3:$3,FALSE)-1,FALSE)),HLOOKUP(CaseName,CaseData,MATCH($G94,cases!$G$3:$G$1232,0)-1,FALSE))</f>
        <v/>
      </c>
      <c r="K94" s="735">
        <f>kfragS.sd+kmpdeg.sd</f>
        <v>0</v>
      </c>
      <c r="L94" s="552">
        <f t="shared" si="5"/>
        <v>0</v>
      </c>
      <c r="M94" s="568" t="s">
        <v>341</v>
      </c>
      <c r="N94" s="567"/>
      <c r="O94" s="567"/>
      <c r="P94" s="567"/>
    </row>
    <row r="95" spans="1:16" customFormat="1" ht="12.75" customHeight="1" x14ac:dyDescent="0.2">
      <c r="A95" s="567"/>
      <c r="B95" s="567"/>
      <c r="C95" s="567" t="s">
        <v>436</v>
      </c>
      <c r="D95" s="567"/>
      <c r="E95" s="567"/>
      <c r="F95" s="567"/>
      <c r="G95" s="784" t="s">
        <v>437</v>
      </c>
      <c r="H95" s="568" t="s">
        <v>340</v>
      </c>
      <c r="I95" s="813"/>
      <c r="J95" s="428" t="str">
        <f>IF(HLOOKUP(CaseName,CaseData,MATCH($G95,cases!$G$3:$G$1232,0)-1,FALSE)="",IF(ISBLANK(VLOOKUP(ChemName,ChemData,MATCH(G95,substances!$3:$3,FALSE)-1,FALSE)),"",VLOOKUP(ChemName,ChemData,MATCH(G95,substances!$3:$3,FALSE)-1,FALSE)),HLOOKUP(CaseName,CaseData,MATCH($G95,cases!$G$3:$G$1232,0)-1,FALSE))</f>
        <v/>
      </c>
      <c r="K95" s="735">
        <f>kfragS.sd+kmpdeg.sd</f>
        <v>0</v>
      </c>
      <c r="L95" s="552">
        <f t="shared" si="5"/>
        <v>0</v>
      </c>
      <c r="M95" s="568" t="s">
        <v>341</v>
      </c>
      <c r="N95" s="567"/>
      <c r="O95" s="567"/>
      <c r="P95" s="567"/>
    </row>
    <row r="96" spans="1:16" customFormat="1" ht="12.75" customHeight="1" x14ac:dyDescent="0.2">
      <c r="A96" s="567"/>
      <c r="B96" s="567"/>
      <c r="C96" s="567"/>
      <c r="D96" s="578" t="s">
        <v>438</v>
      </c>
      <c r="E96" s="567"/>
      <c r="F96" s="567"/>
      <c r="G96" s="806" t="s">
        <v>439</v>
      </c>
      <c r="H96" s="603" t="s">
        <v>340</v>
      </c>
      <c r="I96" s="813"/>
      <c r="J96" s="428" t="e">
        <f>IF(HLOOKUP(CaseName,CaseData,MATCH($G96,cases!$G$3:$G$1232,0)-1,FALSE)="",IF(ISBLANK(VLOOKUP(ChemName,ChemData,MATCH(G96,substances!$3:$3,FALSE)-1,FALSE)),"",VLOOKUP(ChemName,ChemData,MATCH(G96,substances!$3:$3,FALSE)-1,FALSE)),HLOOKUP(CaseName,CaseData,MATCH($G96,cases!$G$3:$G$1232,0)-1,FALSE))</f>
        <v>#N/A</v>
      </c>
      <c r="K96" s="735">
        <v>0</v>
      </c>
      <c r="L96" s="552">
        <f t="shared" si="5"/>
        <v>0</v>
      </c>
      <c r="M96" s="568" t="s">
        <v>341</v>
      </c>
      <c r="N96" s="578"/>
      <c r="O96" s="567"/>
      <c r="P96" s="567"/>
    </row>
    <row r="97" spans="1:16" customFormat="1" ht="12.75" customHeight="1" x14ac:dyDescent="0.2">
      <c r="A97" s="567"/>
      <c r="B97" s="567"/>
      <c r="C97" s="567"/>
      <c r="D97" s="578" t="s">
        <v>440</v>
      </c>
      <c r="E97" s="567"/>
      <c r="F97" s="567"/>
      <c r="G97" s="806" t="s">
        <v>441</v>
      </c>
      <c r="H97" s="603" t="s">
        <v>340</v>
      </c>
      <c r="I97" s="813"/>
      <c r="J97" s="428" t="e">
        <f>IF(HLOOKUP(CaseName,CaseData,MATCH($G97,cases!$G$3:$G$1232,0)-1,FALSE)="",IF(ISBLANK(VLOOKUP(ChemName,ChemData,MATCH(G97,substances!$3:$3,FALSE)-1,FALSE)),"",VLOOKUP(ChemName,ChemData,MATCH(G97,substances!$3:$3,FALSE)-1,FALSE)),HLOOKUP(CaseName,CaseData,MATCH($G97,cases!$G$3:$G$1232,0)-1,FALSE))</f>
        <v>#N/A</v>
      </c>
      <c r="K97" s="735">
        <v>0</v>
      </c>
      <c r="L97" s="552">
        <f t="shared" si="5"/>
        <v>0</v>
      </c>
      <c r="M97" s="568" t="s">
        <v>341</v>
      </c>
      <c r="N97" s="578"/>
      <c r="O97" s="567"/>
      <c r="P97" s="567"/>
    </row>
    <row r="98" spans="1:16" customFormat="1" ht="12.75" customHeight="1" x14ac:dyDescent="0.2">
      <c r="A98" s="567"/>
      <c r="B98" s="567"/>
      <c r="C98" s="567" t="s">
        <v>442</v>
      </c>
      <c r="D98" s="567"/>
      <c r="E98" s="567"/>
      <c r="F98" s="567"/>
      <c r="G98" s="784" t="s">
        <v>443</v>
      </c>
      <c r="H98" s="568" t="s">
        <v>340</v>
      </c>
      <c r="I98" s="813"/>
      <c r="J98" s="428" t="str">
        <f>IF(HLOOKUP(CaseName,CaseData,MATCH($G98,cases!$G$3:$G$1232,0)-1,FALSE)="",IF(ISBLANK(VLOOKUP(ChemName,ChemData,MATCH(G98,substances!$3:$3,FALSE)-1,FALSE)),"",VLOOKUP(ChemName,ChemData,MATCH(G98,substances!$3:$3,FALSE)-1,FALSE)),HLOOKUP(CaseName,CaseData,MATCH($G98,cases!$G$3:$G$1232,0)-1,FALSE))</f>
        <v/>
      </c>
      <c r="K98" s="735">
        <f>kfragS.w3+kmpdeg.w3</f>
        <v>0</v>
      </c>
      <c r="L98" s="552">
        <f t="shared" si="5"/>
        <v>0</v>
      </c>
      <c r="M98" s="568" t="s">
        <v>341</v>
      </c>
      <c r="N98" s="567"/>
      <c r="O98" s="567"/>
      <c r="P98" s="567"/>
    </row>
    <row r="99" spans="1:16" customFormat="1" ht="12.75" customHeight="1" x14ac:dyDescent="0.2">
      <c r="A99" s="567"/>
      <c r="B99" s="567"/>
      <c r="C99" s="567"/>
      <c r="D99" s="578" t="s">
        <v>438</v>
      </c>
      <c r="E99" s="567"/>
      <c r="F99" s="567"/>
      <c r="G99" s="806" t="s">
        <v>444</v>
      </c>
      <c r="H99" s="603" t="s">
        <v>340</v>
      </c>
      <c r="I99" s="813"/>
      <c r="J99" s="428" t="e">
        <f>IF(HLOOKUP(CaseName,CaseData,MATCH($G99,cases!$G$3:$G$1232,0)-1,FALSE)="",IF(ISBLANK(VLOOKUP(ChemName,ChemData,MATCH(G99,substances!$3:$3,FALSE)-1,FALSE)),"",VLOOKUP(ChemName,ChemData,MATCH(G99,substances!$3:$3,FALSE)-1,FALSE)),HLOOKUP(CaseName,CaseData,MATCH($G99,cases!$G$3:$G$1232,0)-1,FALSE))</f>
        <v>#N/A</v>
      </c>
      <c r="K99" s="735">
        <v>0</v>
      </c>
      <c r="L99" s="552">
        <f t="shared" ref="L99:L100" si="7">IF(ISBLANK(I99), IF(ISNUMBER(J99)=FALSE, K99, J99), I99)</f>
        <v>0</v>
      </c>
      <c r="M99" s="568" t="s">
        <v>341</v>
      </c>
      <c r="N99" s="578"/>
      <c r="O99" s="567"/>
      <c r="P99" s="567"/>
    </row>
    <row r="100" spans="1:16" customFormat="1" ht="12.75" customHeight="1" x14ac:dyDescent="0.2">
      <c r="A100" s="567"/>
      <c r="B100" s="567"/>
      <c r="C100" s="567"/>
      <c r="D100" s="578" t="s">
        <v>440</v>
      </c>
      <c r="E100" s="567"/>
      <c r="F100" s="567"/>
      <c r="G100" s="806" t="s">
        <v>445</v>
      </c>
      <c r="H100" s="603" t="s">
        <v>340</v>
      </c>
      <c r="I100" s="813"/>
      <c r="J100" s="428" t="e">
        <f>IF(HLOOKUP(CaseName,CaseData,MATCH($G100,cases!$G$3:$G$1232,0)-1,FALSE)="",IF(ISBLANK(VLOOKUP(ChemName,ChemData,MATCH(G100,substances!$3:$3,FALSE)-1,FALSE)),"",VLOOKUP(ChemName,ChemData,MATCH(G100,substances!$3:$3,FALSE)-1,FALSE)),HLOOKUP(CaseName,CaseData,MATCH($G100,cases!$G$3:$G$1232,0)-1,FALSE))</f>
        <v>#N/A</v>
      </c>
      <c r="K100" s="735">
        <v>0</v>
      </c>
      <c r="L100" s="552">
        <f t="shared" si="7"/>
        <v>0</v>
      </c>
      <c r="M100" s="568" t="s">
        <v>341</v>
      </c>
      <c r="N100" s="578"/>
      <c r="O100" s="567"/>
      <c r="P100" s="567"/>
    </row>
    <row r="101" spans="1:16" customFormat="1" ht="12.75" customHeight="1" x14ac:dyDescent="0.2">
      <c r="A101" s="567"/>
      <c r="B101" s="567"/>
      <c r="C101" s="782" t="s">
        <v>446</v>
      </c>
      <c r="D101" s="567"/>
      <c r="E101" s="567"/>
      <c r="F101" s="567"/>
      <c r="G101" s="784"/>
      <c r="H101" s="568"/>
      <c r="I101" s="815"/>
      <c r="J101" s="428"/>
      <c r="K101" s="735"/>
      <c r="L101" s="552"/>
      <c r="M101" s="568"/>
      <c r="N101" s="567"/>
      <c r="O101" s="567"/>
      <c r="P101" s="567"/>
    </row>
    <row r="102" spans="1:16" customFormat="1" ht="12.75" customHeight="1" x14ac:dyDescent="0.2">
      <c r="A102" s="567"/>
      <c r="B102" s="567"/>
      <c r="C102" s="567" t="s">
        <v>447</v>
      </c>
      <c r="D102" s="567"/>
      <c r="E102" s="567"/>
      <c r="F102" s="567"/>
      <c r="G102" s="784" t="s">
        <v>448</v>
      </c>
      <c r="H102" s="568" t="s">
        <v>340</v>
      </c>
      <c r="I102" s="816"/>
      <c r="J102" s="725" t="str">
        <f>IF(HLOOKUP(CaseName,CaseData,MATCH($G102,cases!$G$3:$G$1232,0)-1,FALSE)="","",HLOOKUP(CaseName,CaseData,MATCH($G102,cases!$G$3:$G$1232,0)-1,FALSE))</f>
        <v/>
      </c>
      <c r="K102" s="735">
        <f>kdegS.a</f>
        <v>0</v>
      </c>
      <c r="L102" s="552">
        <f t="shared" ref="L102:L103" si="8">IF(ISBLANK(I102), IF(ISNUMBER(J102)=FALSE, K102, J102), I102)</f>
        <v>0</v>
      </c>
      <c r="M102" s="568" t="s">
        <v>341</v>
      </c>
      <c r="N102" s="567"/>
      <c r="O102" s="567"/>
      <c r="P102" s="567"/>
    </row>
    <row r="103" spans="1:16" customFormat="1" ht="12.75" customHeight="1" x14ac:dyDescent="0.2">
      <c r="A103" s="567"/>
      <c r="B103" s="567"/>
      <c r="C103" s="567" t="s">
        <v>449</v>
      </c>
      <c r="D103" s="567"/>
      <c r="E103" s="567"/>
      <c r="F103" s="567"/>
      <c r="G103" s="784" t="s">
        <v>450</v>
      </c>
      <c r="H103" s="568" t="s">
        <v>340</v>
      </c>
      <c r="I103" s="816"/>
      <c r="J103" s="725" t="str">
        <f>IF(HLOOKUP(CaseName,CaseData,MATCH($G103,cases!$G$3:$G$1232,0)-1,FALSE)="","",HLOOKUP(CaseName,CaseData,MATCH($G103,cases!$G$3:$G$1232,0)-1,FALSE))</f>
        <v/>
      </c>
      <c r="K103" s="735">
        <f>kdegS.a</f>
        <v>0</v>
      </c>
      <c r="L103" s="552">
        <f t="shared" si="8"/>
        <v>0</v>
      </c>
      <c r="M103" s="568" t="s">
        <v>341</v>
      </c>
      <c r="N103" s="567"/>
      <c r="O103" s="567"/>
      <c r="P103" s="567"/>
    </row>
    <row r="104" spans="1:16" customFormat="1" ht="12.75" customHeight="1" x14ac:dyDescent="0.2">
      <c r="A104" s="567"/>
      <c r="B104" s="567"/>
      <c r="C104" s="567" t="s">
        <v>451</v>
      </c>
      <c r="D104" s="567"/>
      <c r="E104" s="567"/>
      <c r="F104" s="567"/>
      <c r="G104" s="784" t="s">
        <v>452</v>
      </c>
      <c r="H104" s="568" t="s">
        <v>340</v>
      </c>
      <c r="I104" s="816"/>
      <c r="J104" s="725" t="str">
        <f>IF(HLOOKUP(CaseName,CaseData,MATCH($G104,cases!$G$3:$G$1232,0)-1,FALSE)="","",HLOOKUP(CaseName,CaseData,MATCH($G104,cases!$G$3:$G$1232,0)-1,FALSE))</f>
        <v/>
      </c>
      <c r="K104" s="735">
        <f>kdegS.w0</f>
        <v>0</v>
      </c>
      <c r="L104" s="552">
        <f t="shared" ref="L104:L123" si="9">IF(ISBLANK(I104), IF(ISNUMBER(J104)=FALSE, K104, J104), I104)</f>
        <v>0</v>
      </c>
      <c r="M104" s="568" t="s">
        <v>341</v>
      </c>
      <c r="N104" s="567"/>
      <c r="O104" s="567"/>
      <c r="P104" s="567"/>
    </row>
    <row r="105" spans="1:16" customFormat="1" ht="12.75" customHeight="1" x14ac:dyDescent="0.2">
      <c r="A105" s="567"/>
      <c r="B105" s="567"/>
      <c r="C105" s="567" t="s">
        <v>453</v>
      </c>
      <c r="D105" s="567"/>
      <c r="E105" s="567"/>
      <c r="F105" s="567"/>
      <c r="G105" s="784" t="s">
        <v>454</v>
      </c>
      <c r="H105" s="568" t="s">
        <v>340</v>
      </c>
      <c r="I105" s="816"/>
      <c r="J105" s="725" t="str">
        <f>IF(HLOOKUP(CaseName,CaseData,MATCH($G105,cases!$G$3:$G$1232,0)-1,FALSE)="","",HLOOKUP(CaseName,CaseData,MATCH($G105,cases!$G$3:$G$1232,0)-1,FALSE))</f>
        <v/>
      </c>
      <c r="K105" s="735">
        <f>kdegS.w0</f>
        <v>0</v>
      </c>
      <c r="L105" s="552">
        <f t="shared" si="9"/>
        <v>0</v>
      </c>
      <c r="M105" s="568" t="s">
        <v>341</v>
      </c>
      <c r="N105" s="567"/>
      <c r="O105" s="567"/>
      <c r="P105" s="567"/>
    </row>
    <row r="106" spans="1:16" customFormat="1" ht="12.75" customHeight="1" x14ac:dyDescent="0.2">
      <c r="A106" s="567"/>
      <c r="B106" s="567"/>
      <c r="C106" s="567" t="s">
        <v>455</v>
      </c>
      <c r="D106" s="567"/>
      <c r="E106" s="567"/>
      <c r="F106" s="567"/>
      <c r="G106" s="784" t="s">
        <v>456</v>
      </c>
      <c r="H106" s="568" t="s">
        <v>340</v>
      </c>
      <c r="I106" s="816"/>
      <c r="J106" s="725" t="str">
        <f>IF(HLOOKUP(CaseName,CaseData,MATCH($G106,cases!$G$3:$G$1232,0)-1,FALSE)="","",HLOOKUP(CaseName,CaseData,MATCH($G106,cases!$G$3:$G$1232,0)-1,FALSE))</f>
        <v/>
      </c>
      <c r="K106" s="735">
        <f>kdegS.w1</f>
        <v>0</v>
      </c>
      <c r="L106" s="552">
        <f t="shared" si="9"/>
        <v>0</v>
      </c>
      <c r="M106" s="568" t="s">
        <v>341</v>
      </c>
      <c r="N106" s="567"/>
      <c r="O106" s="567"/>
      <c r="P106" s="567"/>
    </row>
    <row r="107" spans="1:16" customFormat="1" ht="12.75" customHeight="1" x14ac:dyDescent="0.2">
      <c r="A107" s="567"/>
      <c r="B107" s="567"/>
      <c r="C107" s="567" t="s">
        <v>457</v>
      </c>
      <c r="D107" s="567"/>
      <c r="E107" s="567"/>
      <c r="F107" s="567"/>
      <c r="G107" s="784" t="s">
        <v>458</v>
      </c>
      <c r="H107" s="568" t="s">
        <v>340</v>
      </c>
      <c r="I107" s="816"/>
      <c r="J107" s="725" t="str">
        <f>IF(HLOOKUP(CaseName,CaseData,MATCH($G107,cases!$G$3:$G$1232,0)-1,FALSE)="","",HLOOKUP(CaseName,CaseData,MATCH($G107,cases!$G$3:$G$1232,0)-1,FALSE))</f>
        <v/>
      </c>
      <c r="K107" s="735">
        <f>kdegS.w1</f>
        <v>0</v>
      </c>
      <c r="L107" s="552">
        <f t="shared" si="9"/>
        <v>0</v>
      </c>
      <c r="M107" s="568" t="s">
        <v>341</v>
      </c>
      <c r="N107" s="567"/>
      <c r="O107" s="567"/>
      <c r="P107" s="567"/>
    </row>
    <row r="108" spans="1:16" customFormat="1" ht="12.75" customHeight="1" x14ac:dyDescent="0.2">
      <c r="A108" s="567"/>
      <c r="B108" s="567"/>
      <c r="C108" s="567" t="s">
        <v>459</v>
      </c>
      <c r="D108" s="567"/>
      <c r="E108" s="567"/>
      <c r="F108" s="567"/>
      <c r="G108" s="784" t="s">
        <v>460</v>
      </c>
      <c r="H108" s="568" t="s">
        <v>340</v>
      </c>
      <c r="I108" s="816"/>
      <c r="J108" s="725" t="str">
        <f>IF(HLOOKUP(CaseName,CaseData,MATCH($G108,cases!$G$3:$G$1232,0)-1,FALSE)="","",HLOOKUP(CaseName,CaseData,MATCH($G108,cases!$G$3:$G$1232,0)-1,FALSE))</f>
        <v/>
      </c>
      <c r="K108" s="735">
        <f>kdegS.w2</f>
        <v>0</v>
      </c>
      <c r="L108" s="552">
        <f t="shared" si="9"/>
        <v>0</v>
      </c>
      <c r="M108" s="568" t="s">
        <v>341</v>
      </c>
      <c r="N108" s="784"/>
      <c r="O108" s="567"/>
      <c r="P108" s="567"/>
    </row>
    <row r="109" spans="1:16" customFormat="1" ht="12.75" customHeight="1" x14ac:dyDescent="0.2">
      <c r="A109" s="567"/>
      <c r="B109" s="567"/>
      <c r="C109" s="567" t="s">
        <v>461</v>
      </c>
      <c r="D109" s="567"/>
      <c r="E109" s="567"/>
      <c r="F109" s="567"/>
      <c r="G109" s="784" t="s">
        <v>462</v>
      </c>
      <c r="H109" s="568" t="s">
        <v>340</v>
      </c>
      <c r="I109" s="816"/>
      <c r="J109" s="725" t="str">
        <f>IF(HLOOKUP(CaseName,CaseData,MATCH($G109,cases!$G$3:$G$1232,0)-1,FALSE)="","",HLOOKUP(CaseName,CaseData,MATCH($G109,cases!$G$3:$G$1232,0)-1,FALSE))</f>
        <v/>
      </c>
      <c r="K109" s="735">
        <f>kdegS.w2</f>
        <v>0</v>
      </c>
      <c r="L109" s="552">
        <f t="shared" si="9"/>
        <v>0</v>
      </c>
      <c r="M109" s="568" t="s">
        <v>341</v>
      </c>
      <c r="N109" s="784"/>
      <c r="O109" s="567"/>
      <c r="P109" s="567"/>
    </row>
    <row r="110" spans="1:16" customFormat="1" ht="12.75" customHeight="1" x14ac:dyDescent="0.2">
      <c r="A110" s="567"/>
      <c r="B110" s="567"/>
      <c r="C110" s="567" t="s">
        <v>463</v>
      </c>
      <c r="D110" s="567"/>
      <c r="E110" s="567"/>
      <c r="F110" s="567"/>
      <c r="G110" s="784" t="s">
        <v>464</v>
      </c>
      <c r="H110" s="568" t="s">
        <v>340</v>
      </c>
      <c r="I110" s="816"/>
      <c r="J110" s="725" t="str">
        <f>IF(HLOOKUP(CaseName,CaseData,MATCH($G110,cases!$G$3:$G$1232,0)-1,FALSE)="","",HLOOKUP(CaseName,CaseData,MATCH($G110,cases!$G$3:$G$1232,0)-1,FALSE))</f>
        <v/>
      </c>
      <c r="K110" s="735">
        <f>kdegS.s1</f>
        <v>0</v>
      </c>
      <c r="L110" s="552">
        <f t="shared" si="9"/>
        <v>0</v>
      </c>
      <c r="M110" s="568" t="s">
        <v>341</v>
      </c>
      <c r="N110" s="784"/>
      <c r="O110" s="567"/>
      <c r="P110" s="567"/>
    </row>
    <row r="111" spans="1:16" customFormat="1" ht="12.75" customHeight="1" x14ac:dyDescent="0.2">
      <c r="A111" s="567"/>
      <c r="B111" s="567"/>
      <c r="C111" s="567" t="s">
        <v>465</v>
      </c>
      <c r="D111" s="567"/>
      <c r="E111" s="567"/>
      <c r="F111" s="567"/>
      <c r="G111" s="784" t="s">
        <v>466</v>
      </c>
      <c r="H111" s="568" t="s">
        <v>340</v>
      </c>
      <c r="I111" s="816"/>
      <c r="J111" s="725" t="str">
        <f>IF(HLOOKUP(CaseName,CaseData,MATCH($G111,cases!$G$3:$G$1232,0)-1,FALSE)="","",HLOOKUP(CaseName,CaseData,MATCH($G111,cases!$G$3:$G$1232,0)-1,FALSE))</f>
        <v/>
      </c>
      <c r="K111" s="735">
        <f>kdegS.s1</f>
        <v>0</v>
      </c>
      <c r="L111" s="552">
        <f t="shared" si="9"/>
        <v>0</v>
      </c>
      <c r="M111" s="568" t="s">
        <v>341</v>
      </c>
      <c r="N111" s="784"/>
      <c r="O111" s="567"/>
      <c r="P111" s="567"/>
    </row>
    <row r="112" spans="1:16" customFormat="1" ht="12.75" customHeight="1" x14ac:dyDescent="0.2">
      <c r="A112" s="567"/>
      <c r="B112" s="567"/>
      <c r="C112" s="567" t="s">
        <v>467</v>
      </c>
      <c r="D112" s="567"/>
      <c r="E112" s="567"/>
      <c r="F112" s="567"/>
      <c r="G112" s="784" t="s">
        <v>468</v>
      </c>
      <c r="H112" s="568" t="s">
        <v>340</v>
      </c>
      <c r="I112" s="816"/>
      <c r="J112" s="725" t="str">
        <f>IF(HLOOKUP(CaseName,CaseData,MATCH($G112,cases!$G$3:$G$1232,0)-1,FALSE)="","",HLOOKUP(CaseName,CaseData,MATCH($G112,cases!$G$3:$G$1232,0)-1,FALSE))</f>
        <v/>
      </c>
      <c r="K112" s="735">
        <f>kdegS.s2</f>
        <v>0</v>
      </c>
      <c r="L112" s="552">
        <f t="shared" si="9"/>
        <v>0</v>
      </c>
      <c r="M112" s="568" t="s">
        <v>341</v>
      </c>
      <c r="N112" s="784"/>
      <c r="O112" s="567"/>
      <c r="P112" s="567"/>
    </row>
    <row r="113" spans="1:34" customFormat="1" ht="12.75" customHeight="1" x14ac:dyDescent="0.2">
      <c r="A113" s="567"/>
      <c r="B113" s="567"/>
      <c r="C113" s="567" t="s">
        <v>469</v>
      </c>
      <c r="D113" s="567"/>
      <c r="E113" s="567"/>
      <c r="F113" s="567"/>
      <c r="G113" s="784" t="s">
        <v>470</v>
      </c>
      <c r="H113" s="568" t="s">
        <v>340</v>
      </c>
      <c r="I113" s="816"/>
      <c r="J113" s="725" t="str">
        <f>IF(HLOOKUP(CaseName,CaseData,MATCH($G113,cases!$G$3:$G$1232,0)-1,FALSE)="","",HLOOKUP(CaseName,CaseData,MATCH($G113,cases!$G$3:$G$1232,0)-1,FALSE))</f>
        <v/>
      </c>
      <c r="K113" s="735">
        <f>kdegS.s2</f>
        <v>0</v>
      </c>
      <c r="L113" s="552">
        <f t="shared" si="9"/>
        <v>0</v>
      </c>
      <c r="M113" s="568" t="s">
        <v>341</v>
      </c>
      <c r="N113" s="784"/>
      <c r="O113" s="567"/>
      <c r="P113" s="567"/>
    </row>
    <row r="114" spans="1:34" customFormat="1" ht="12.75" customHeight="1" x14ac:dyDescent="0.2">
      <c r="A114" s="567"/>
      <c r="B114" s="567"/>
      <c r="C114" s="567" t="s">
        <v>471</v>
      </c>
      <c r="D114" s="567"/>
      <c r="E114" s="567"/>
      <c r="F114" s="567"/>
      <c r="G114" s="784" t="s">
        <v>472</v>
      </c>
      <c r="H114" s="568" t="s">
        <v>340</v>
      </c>
      <c r="I114" s="816"/>
      <c r="J114" s="725" t="str">
        <f>IF(HLOOKUP(CaseName,CaseData,MATCH($G114,cases!$G$3:$G$1232,0)-1,FALSE)="","",HLOOKUP(CaseName,CaseData,MATCH($G114,cases!$G$3:$G$1232,0)-1,FALSE))</f>
        <v/>
      </c>
      <c r="K114" s="735">
        <f>kdegS.s3</f>
        <v>0</v>
      </c>
      <c r="L114" s="552">
        <f t="shared" si="9"/>
        <v>0</v>
      </c>
      <c r="M114" s="568" t="s">
        <v>341</v>
      </c>
      <c r="N114" s="784"/>
      <c r="O114" s="567"/>
      <c r="P114" s="567"/>
    </row>
    <row r="115" spans="1:34" customFormat="1" ht="12.75" customHeight="1" x14ac:dyDescent="0.2">
      <c r="A115" s="567"/>
      <c r="B115" s="567"/>
      <c r="C115" s="567" t="s">
        <v>473</v>
      </c>
      <c r="D115" s="567"/>
      <c r="E115" s="567"/>
      <c r="F115" s="567"/>
      <c r="G115" s="784" t="s">
        <v>474</v>
      </c>
      <c r="H115" s="568" t="s">
        <v>340</v>
      </c>
      <c r="I115" s="816"/>
      <c r="J115" s="725" t="str">
        <f>IF(HLOOKUP(CaseName,CaseData,MATCH($G115,cases!$G$3:$G$1232,0)-1,FALSE)="","",HLOOKUP(CaseName,CaseData,MATCH($G115,cases!$G$3:$G$1232,0)-1,FALSE))</f>
        <v/>
      </c>
      <c r="K115" s="735">
        <f>kdegS.s3</f>
        <v>0</v>
      </c>
      <c r="L115" s="552">
        <f t="shared" si="9"/>
        <v>0</v>
      </c>
      <c r="M115" s="568" t="s">
        <v>341</v>
      </c>
      <c r="N115" s="784"/>
      <c r="O115" s="567"/>
      <c r="P115" s="567"/>
    </row>
    <row r="116" spans="1:34" customFormat="1" ht="12.75" customHeight="1" x14ac:dyDescent="0.2">
      <c r="A116" s="567"/>
      <c r="B116" s="567"/>
      <c r="C116" s="567" t="s">
        <v>475</v>
      </c>
      <c r="D116" s="567"/>
      <c r="E116" s="567"/>
      <c r="F116" s="567"/>
      <c r="G116" s="784" t="s">
        <v>476</v>
      </c>
      <c r="H116" s="568" t="s">
        <v>340</v>
      </c>
      <c r="I116" s="816"/>
      <c r="J116" s="725" t="str">
        <f>IF(HLOOKUP(CaseName,CaseData,MATCH($G116,cases!$G$3:$G$1232,0)-1,FALSE)="","",HLOOKUP(CaseName,CaseData,MATCH($G116,cases!$G$3:$G$1232,0)-1,FALSE))</f>
        <v/>
      </c>
      <c r="K116" s="735">
        <f>kdegS.sd0</f>
        <v>0</v>
      </c>
      <c r="L116" s="552">
        <f t="shared" si="9"/>
        <v>0</v>
      </c>
      <c r="M116" s="568" t="s">
        <v>341</v>
      </c>
      <c r="N116" s="784"/>
      <c r="O116" s="567"/>
      <c r="P116" s="567"/>
    </row>
    <row r="117" spans="1:34" customFormat="1" ht="12.75" customHeight="1" x14ac:dyDescent="0.2">
      <c r="A117" s="567"/>
      <c r="B117" s="567"/>
      <c r="C117" s="567" t="s">
        <v>477</v>
      </c>
      <c r="D117" s="567"/>
      <c r="E117" s="567"/>
      <c r="F117" s="567"/>
      <c r="G117" s="784" t="s">
        <v>478</v>
      </c>
      <c r="H117" s="568" t="s">
        <v>340</v>
      </c>
      <c r="I117" s="816"/>
      <c r="J117" s="725" t="str">
        <f>IF(HLOOKUP(CaseName,CaseData,MATCH($G117,cases!$G$3:$G$1232,0)-1,FALSE)="","",HLOOKUP(CaseName,CaseData,MATCH($G117,cases!$G$3:$G$1232,0)-1,FALSE))</f>
        <v/>
      </c>
      <c r="K117" s="735">
        <f>kdegS.sd0</f>
        <v>0</v>
      </c>
      <c r="L117" s="552">
        <f t="shared" si="9"/>
        <v>0</v>
      </c>
      <c r="M117" s="568" t="s">
        <v>341</v>
      </c>
      <c r="N117" s="784"/>
      <c r="O117" s="567"/>
      <c r="P117" s="567"/>
    </row>
    <row r="118" spans="1:34" customFormat="1" ht="12.75" customHeight="1" x14ac:dyDescent="0.2">
      <c r="A118" s="567"/>
      <c r="B118" s="567"/>
      <c r="C118" s="567" t="s">
        <v>479</v>
      </c>
      <c r="D118" s="567"/>
      <c r="E118" s="567"/>
      <c r="F118" s="567"/>
      <c r="G118" s="784" t="s">
        <v>480</v>
      </c>
      <c r="H118" s="568" t="s">
        <v>340</v>
      </c>
      <c r="I118" s="816"/>
      <c r="J118" s="725" t="str">
        <f>IF(HLOOKUP(CaseName,CaseData,MATCH($G118,cases!$G$3:$G$1232,0)-1,FALSE)="","",HLOOKUP(CaseName,CaseData,MATCH($G118,cases!$G$3:$G$1232,0)-1,FALSE))</f>
        <v/>
      </c>
      <c r="K118" s="735">
        <f>kdegS.sd1</f>
        <v>0</v>
      </c>
      <c r="L118" s="552">
        <f t="shared" si="9"/>
        <v>0</v>
      </c>
      <c r="M118" s="568" t="s">
        <v>341</v>
      </c>
      <c r="N118" s="784"/>
      <c r="O118" s="567"/>
      <c r="P118" s="567"/>
    </row>
    <row r="119" spans="1:34" customFormat="1" ht="12.75" customHeight="1" x14ac:dyDescent="0.2">
      <c r="A119" s="567"/>
      <c r="B119" s="567"/>
      <c r="C119" s="567" t="s">
        <v>481</v>
      </c>
      <c r="D119" s="567"/>
      <c r="E119" s="567"/>
      <c r="F119" s="567"/>
      <c r="G119" s="784" t="s">
        <v>482</v>
      </c>
      <c r="H119" s="568" t="s">
        <v>340</v>
      </c>
      <c r="I119" s="816"/>
      <c r="J119" s="725" t="str">
        <f>IF(HLOOKUP(CaseName,CaseData,MATCH($G119,cases!$G$3:$G$1232,0)-1,FALSE)="","",HLOOKUP(CaseName,CaseData,MATCH($G119,cases!$G$3:$G$1232,0)-1,FALSE))</f>
        <v/>
      </c>
      <c r="K119" s="735">
        <f>kdegS.sd1</f>
        <v>0</v>
      </c>
      <c r="L119" s="552">
        <f t="shared" si="9"/>
        <v>0</v>
      </c>
      <c r="M119" s="568" t="s">
        <v>341</v>
      </c>
      <c r="N119" s="784"/>
      <c r="O119" s="567"/>
      <c r="P119" s="567"/>
    </row>
    <row r="120" spans="1:34" customFormat="1" ht="12.75" customHeight="1" x14ac:dyDescent="0.2">
      <c r="A120" s="567"/>
      <c r="B120" s="567"/>
      <c r="C120" s="567" t="s">
        <v>483</v>
      </c>
      <c r="D120" s="567"/>
      <c r="E120" s="567"/>
      <c r="F120" s="567"/>
      <c r="G120" s="784" t="s">
        <v>484</v>
      </c>
      <c r="H120" s="568" t="s">
        <v>340</v>
      </c>
      <c r="I120" s="816"/>
      <c r="J120" s="725" t="str">
        <f>IF(HLOOKUP(CaseName,CaseData,MATCH($G120,cases!$G$3:$G$1232,0)-1,FALSE)="","",HLOOKUP(CaseName,CaseData,MATCH($G120,cases!$G$3:$G$1232,0)-1,FALSE))</f>
        <v/>
      </c>
      <c r="K120" s="735">
        <f>kdegS.sd2</f>
        <v>0</v>
      </c>
      <c r="L120" s="552">
        <f t="shared" si="9"/>
        <v>0</v>
      </c>
      <c r="M120" s="568" t="s">
        <v>341</v>
      </c>
      <c r="N120" s="784"/>
      <c r="O120" s="567"/>
      <c r="P120" s="567"/>
    </row>
    <row r="121" spans="1:34" customFormat="1" ht="12.75" customHeight="1" x14ac:dyDescent="0.2">
      <c r="A121" s="567"/>
      <c r="B121" s="567"/>
      <c r="C121" s="567" t="s">
        <v>485</v>
      </c>
      <c r="D121" s="567"/>
      <c r="E121" s="567"/>
      <c r="F121" s="567"/>
      <c r="G121" s="784" t="s">
        <v>486</v>
      </c>
      <c r="H121" s="568" t="s">
        <v>340</v>
      </c>
      <c r="I121" s="816"/>
      <c r="J121" s="725" t="str">
        <f>IF(HLOOKUP(CaseName,CaseData,MATCH($G121,cases!$G$3:$G$1232,0)-1,FALSE)="","",HLOOKUP(CaseName,CaseData,MATCH($G121,cases!$G$3:$G$1232,0)-1,FALSE))</f>
        <v/>
      </c>
      <c r="K121" s="735">
        <f>kdegS.sd2</f>
        <v>0</v>
      </c>
      <c r="L121" s="552">
        <f t="shared" si="9"/>
        <v>0</v>
      </c>
      <c r="M121" s="568" t="s">
        <v>341</v>
      </c>
      <c r="N121" s="784"/>
      <c r="O121" s="567"/>
      <c r="P121" s="567"/>
    </row>
    <row r="122" spans="1:34" customFormat="1" ht="12.75" customHeight="1" x14ac:dyDescent="0.2">
      <c r="A122" s="567"/>
      <c r="B122" s="567"/>
      <c r="C122" s="567" t="s">
        <v>487</v>
      </c>
      <c r="D122" s="567"/>
      <c r="E122" s="567"/>
      <c r="F122" s="567"/>
      <c r="G122" s="784" t="s">
        <v>488</v>
      </c>
      <c r="H122" s="568" t="s">
        <v>340</v>
      </c>
      <c r="I122" s="816"/>
      <c r="J122" s="725" t="str">
        <f>IF(HLOOKUP(CaseName,CaseData,MATCH($G122,cases!$G$3:$G$1232,0)-1,FALSE)="","",HLOOKUP(CaseName,CaseData,MATCH($G122,cases!$G$3:$G$1232,0)-1,FALSE))</f>
        <v/>
      </c>
      <c r="K122" s="735">
        <f>kdegS.w3</f>
        <v>0</v>
      </c>
      <c r="L122" s="552">
        <f t="shared" si="9"/>
        <v>0</v>
      </c>
      <c r="M122" s="568" t="s">
        <v>341</v>
      </c>
      <c r="N122" s="784"/>
      <c r="O122" s="567"/>
      <c r="P122" s="567"/>
    </row>
    <row r="123" spans="1:34" customFormat="1" ht="12.75" customHeight="1" x14ac:dyDescent="0.2">
      <c r="A123" s="567"/>
      <c r="B123" s="567"/>
      <c r="C123" s="567" t="s">
        <v>489</v>
      </c>
      <c r="D123" s="567"/>
      <c r="E123" s="567"/>
      <c r="F123" s="567"/>
      <c r="G123" s="784" t="s">
        <v>490</v>
      </c>
      <c r="H123" s="568" t="s">
        <v>340</v>
      </c>
      <c r="I123" s="816"/>
      <c r="J123" s="614" t="str">
        <f>IF(HLOOKUP(CaseName,CaseData,MATCH($G123,cases!$G$3:$G$1232,0)-1,FALSE)="","",HLOOKUP(CaseName,CaseData,MATCH($G123,cases!$G$3:$G$1232,0)-1,FALSE))</f>
        <v/>
      </c>
      <c r="K123" s="817">
        <f>kdegS.w3</f>
        <v>0</v>
      </c>
      <c r="L123" s="423">
        <f t="shared" si="9"/>
        <v>0</v>
      </c>
      <c r="M123" s="568" t="s">
        <v>341</v>
      </c>
      <c r="N123" s="784"/>
      <c r="O123" s="567"/>
      <c r="P123" s="567"/>
    </row>
    <row r="124" spans="1:34" customFormat="1" ht="12.75" customHeight="1" x14ac:dyDescent="0.2">
      <c r="A124" s="567"/>
      <c r="B124" s="567"/>
      <c r="C124" s="567"/>
      <c r="D124" s="567"/>
      <c r="E124" s="567"/>
      <c r="F124" s="567"/>
      <c r="G124" s="784"/>
      <c r="H124" s="568"/>
      <c r="I124" s="815"/>
      <c r="J124" s="608"/>
      <c r="K124" s="818"/>
      <c r="L124" s="552"/>
      <c r="M124" s="568"/>
      <c r="N124" s="567"/>
      <c r="O124" s="567"/>
      <c r="P124" s="567"/>
    </row>
    <row r="125" spans="1:34" customFormat="1" ht="12.75" customHeight="1" x14ac:dyDescent="0.2">
      <c r="A125" s="147" t="s">
        <v>491</v>
      </c>
      <c r="B125" s="147"/>
      <c r="C125" s="147"/>
      <c r="D125" s="147"/>
      <c r="E125" s="147"/>
      <c r="F125" s="147"/>
      <c r="G125" s="148" t="s">
        <v>263</v>
      </c>
      <c r="H125" s="148" t="s">
        <v>279</v>
      </c>
      <c r="I125" s="331" t="s">
        <v>264</v>
      </c>
      <c r="J125" s="331" t="s">
        <v>280</v>
      </c>
      <c r="K125" s="331" t="s">
        <v>265</v>
      </c>
      <c r="L125" s="331" t="s">
        <v>266</v>
      </c>
      <c r="M125" s="147"/>
      <c r="N125" s="148" t="s">
        <v>267</v>
      </c>
      <c r="O125" s="215"/>
      <c r="P125" s="215"/>
      <c r="Q125" s="11"/>
      <c r="R125" s="11"/>
    </row>
    <row r="126" spans="1:34" s="26" customFormat="1" ht="12.75" customHeight="1" x14ac:dyDescent="0.2">
      <c r="A126" s="17"/>
      <c r="B126" s="17"/>
      <c r="C126" s="17"/>
      <c r="D126" s="17"/>
      <c r="E126" s="17"/>
      <c r="F126" s="17"/>
      <c r="G126" s="38"/>
      <c r="H126" s="38"/>
      <c r="I126" s="299"/>
      <c r="J126" s="569"/>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2">
      <c r="A127" s="763"/>
      <c r="B127" s="764" t="s">
        <v>128</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2">
      <c r="A128" s="762"/>
      <c r="B128" s="74" t="s">
        <v>63</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2">
      <c r="A129" s="762"/>
      <c r="B129" s="38"/>
      <c r="C129" s="38" t="s">
        <v>492</v>
      </c>
      <c r="D129" s="17"/>
      <c r="E129" s="17"/>
      <c r="F129" s="17"/>
      <c r="G129" s="38" t="s">
        <v>493</v>
      </c>
      <c r="H129" s="38" t="s">
        <v>494</v>
      </c>
      <c r="I129" s="571"/>
      <c r="J129" s="425">
        <f>IF(HLOOKUP(CaseName,CaseData,MATCH($G129,cases!$G$3:$G$1232,0)-1,FALSE)="",IF(HLOOKUP(ScenarioName,ScenarioData,MATCH($G129,scenarios!$G$3:$G$144,0),FALSE)="","",HLOOKUP(ScenarioName,ScenarioData,MATCH($G129,scenarios!$G$3:$G$153,0),FALSE)),HLOOKUP(CaseName,CaseData,MATCH($G129,cases!$G$3:$G$1232,0)-1,FALSE))</f>
        <v>10000</v>
      </c>
      <c r="K129" s="165">
        <v>10000</v>
      </c>
      <c r="L129" s="155">
        <f t="shared" ref="L129:L135" si="10">IF(ISBLANK(I129),IF(ISNUMBER(J129)=FALSE,K129*1000/(Molweight*3600*24*365),J129*1000/(Molweight*3600*24*365)),I129*1000/(Molweight*3600*24*365))</f>
        <v>6.6944902535023516</v>
      </c>
      <c r="M129" s="38" t="s">
        <v>495</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2">
      <c r="A130" s="762"/>
      <c r="B130" s="38"/>
      <c r="C130" s="38" t="s">
        <v>496</v>
      </c>
      <c r="D130" s="17"/>
      <c r="E130" s="17"/>
      <c r="F130" s="17"/>
      <c r="G130" s="38" t="s">
        <v>497</v>
      </c>
      <c r="H130" s="38" t="s">
        <v>494</v>
      </c>
      <c r="I130" s="571"/>
      <c r="J130" s="425">
        <f>IF(HLOOKUP(CaseName,CaseData,MATCH($G130,cases!$G$3:$G$1232,0)-1,FALSE)="",IF(HLOOKUP(ScenarioName,ScenarioData,MATCH($G130,scenarios!$G$3:$G$144,0),FALSE)="","",HLOOKUP(ScenarioName,ScenarioData,MATCH($G130,scenarios!$G$3:$G$153,0),FALSE)),HLOOKUP(CaseName,CaseData,MATCH($G130,cases!$G$3:$G$1232,0)-1,FALSE))</f>
        <v>0</v>
      </c>
      <c r="K130" s="165">
        <v>0</v>
      </c>
      <c r="L130" s="155">
        <f t="shared" si="10"/>
        <v>0</v>
      </c>
      <c r="M130" s="38" t="s">
        <v>495</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2">
      <c r="A131" s="762"/>
      <c r="B131" s="38"/>
      <c r="C131" s="38" t="s">
        <v>498</v>
      </c>
      <c r="D131" s="17"/>
      <c r="E131" s="17"/>
      <c r="F131" s="17"/>
      <c r="G131" s="38" t="s">
        <v>499</v>
      </c>
      <c r="H131" s="38" t="s">
        <v>494</v>
      </c>
      <c r="I131" s="571"/>
      <c r="J131" s="425">
        <f>IF(HLOOKUP(CaseName,CaseData,MATCH($G131,cases!$G$3:$G$1232,0)-1,FALSE)="",IF(HLOOKUP(ScenarioName,ScenarioData,MATCH($G131,scenarios!$G$3:$G$144,0),FALSE)="","",HLOOKUP(ScenarioName,ScenarioData,MATCH($G131,scenarios!$G$3:$G$153,0),FALSE)),HLOOKUP(CaseName,CaseData,MATCH($G131,cases!$G$3:$G$1232,0)-1,FALSE))</f>
        <v>10000</v>
      </c>
      <c r="K131" s="165">
        <v>10000</v>
      </c>
      <c r="L131" s="155">
        <f t="shared" si="10"/>
        <v>6.6944902535023516</v>
      </c>
      <c r="M131" s="38" t="s">
        <v>495</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2">
      <c r="A132" s="762"/>
      <c r="B132" s="38"/>
      <c r="C132" s="38" t="s">
        <v>500</v>
      </c>
      <c r="D132" s="17"/>
      <c r="E132" s="17"/>
      <c r="F132" s="17"/>
      <c r="G132" s="38" t="s">
        <v>501</v>
      </c>
      <c r="H132" s="38" t="s">
        <v>494</v>
      </c>
      <c r="I132" s="571"/>
      <c r="J132" s="425">
        <f>IF(HLOOKUP(CaseName,CaseData,MATCH($G132,cases!$G$3:$G$1232,0)-1,FALSE)="",IF(HLOOKUP(ScenarioName,ScenarioData,MATCH($G132,scenarios!$G$3:$G$144,0),FALSE)="","",HLOOKUP(ScenarioName,ScenarioData,MATCH($G132,scenarios!$G$3:$G$153,0),FALSE)),HLOOKUP(CaseName,CaseData,MATCH($G132,cases!$G$3:$G$1232,0)-1,FALSE))</f>
        <v>0</v>
      </c>
      <c r="K132" s="165">
        <v>0</v>
      </c>
      <c r="L132" s="155">
        <f t="shared" si="10"/>
        <v>0</v>
      </c>
      <c r="M132" s="38" t="s">
        <v>495</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2">
      <c r="A133" s="762"/>
      <c r="B133" s="38"/>
      <c r="C133" s="38" t="s">
        <v>502</v>
      </c>
      <c r="D133" s="17"/>
      <c r="E133" s="17"/>
      <c r="F133" s="17"/>
      <c r="G133" s="38" t="s">
        <v>503</v>
      </c>
      <c r="H133" s="38" t="s">
        <v>494</v>
      </c>
      <c r="I133" s="571"/>
      <c r="J133" s="425">
        <f>IF(HLOOKUP(CaseName,CaseData,MATCH($G133,cases!$G$3:$G$1232,0)-1,FALSE)="",IF(HLOOKUP(ScenarioName,ScenarioData,MATCH($G133,scenarios!$G$3:$G$144,0),FALSE)="","",HLOOKUP(ScenarioName,ScenarioData,MATCH($G133,scenarios!$G$3:$G$153,0),FALSE)),HLOOKUP(CaseName,CaseData,MATCH($G133,cases!$G$3:$G$1232,0)-1,FALSE))</f>
        <v>0</v>
      </c>
      <c r="K133" s="165">
        <v>0</v>
      </c>
      <c r="L133" s="155">
        <f t="shared" si="10"/>
        <v>0</v>
      </c>
      <c r="M133" s="38" t="s">
        <v>495</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2">
      <c r="A134" s="762"/>
      <c r="B134" s="38"/>
      <c r="C134" s="38" t="s">
        <v>504</v>
      </c>
      <c r="D134" s="17"/>
      <c r="E134" s="17"/>
      <c r="F134" s="17"/>
      <c r="G134" s="38" t="s">
        <v>505</v>
      </c>
      <c r="H134" s="38" t="s">
        <v>494</v>
      </c>
      <c r="I134" s="571"/>
      <c r="J134" s="425">
        <f>IF(HLOOKUP(CaseName,CaseData,MATCH($G134,cases!$G$3:$G$1232,0)-1,FALSE)="",IF(HLOOKUP(ScenarioName,ScenarioData,MATCH($G134,scenarios!$G$3:$G$144,0),FALSE)="","",HLOOKUP(ScenarioName,ScenarioData,MATCH($G134,scenarios!$G$3:$G$153,0),FALSE)),HLOOKUP(CaseName,CaseData,MATCH($G134,cases!$G$3:$G$1232,0)-1,FALSE))</f>
        <v>10000</v>
      </c>
      <c r="K134" s="165">
        <v>10000</v>
      </c>
      <c r="L134" s="155">
        <f t="shared" si="10"/>
        <v>6.6944902535023516</v>
      </c>
      <c r="M134" s="38" t="s">
        <v>506</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2">
      <c r="A135" s="762"/>
      <c r="B135" s="38"/>
      <c r="C135" s="38" t="s">
        <v>507</v>
      </c>
      <c r="D135" s="17"/>
      <c r="E135" s="17"/>
      <c r="F135" s="17"/>
      <c r="G135" s="38" t="s">
        <v>508</v>
      </c>
      <c r="H135" s="38" t="s">
        <v>494</v>
      </c>
      <c r="I135" s="571"/>
      <c r="J135" s="425">
        <f>IF(HLOOKUP(CaseName,CaseData,MATCH($G135,cases!$G$3:$G$1232,0)-1,FALSE)="",IF(HLOOKUP(ScenarioName,ScenarioData,MATCH($G135,scenarios!$G$3:$G$144,0),FALSE)="","",HLOOKUP(ScenarioName,ScenarioData,MATCH($G135,scenarios!$G$3:$G$153,0),FALSE)),HLOOKUP(CaseName,CaseData,MATCH($G135,cases!$G$3:$G$1232,0)-1,FALSE))</f>
        <v>0</v>
      </c>
      <c r="K135" s="165">
        <v>0</v>
      </c>
      <c r="L135" s="155">
        <f t="shared" si="10"/>
        <v>0</v>
      </c>
      <c r="M135" s="38" t="s">
        <v>495</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2">
      <c r="A136" s="762"/>
      <c r="B136" s="74" t="s">
        <v>216</v>
      </c>
      <c r="C136" s="17"/>
      <c r="D136" s="17"/>
      <c r="E136" s="17"/>
      <c r="F136" s="17"/>
      <c r="G136" s="149"/>
      <c r="H136" s="38"/>
      <c r="I136" s="575"/>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2">
      <c r="A137" s="762"/>
      <c r="B137" s="38"/>
      <c r="C137" s="38" t="s">
        <v>492</v>
      </c>
      <c r="D137" s="17"/>
      <c r="E137" s="17"/>
      <c r="F137" s="17"/>
      <c r="G137" s="38" t="s">
        <v>509</v>
      </c>
      <c r="H137" s="38" t="s">
        <v>494</v>
      </c>
      <c r="I137" s="571"/>
      <c r="J137" s="425">
        <f>IF(HLOOKUP(CaseName,CaseData,MATCH($G137,cases!$G$3:$G$1232,0)-1,FALSE)="",IF(HLOOKUP(ScenarioName,ScenarioData,MATCH($G137,scenarios!$G$3:$G$144,0),FALSE)="","",HLOOKUP(ScenarioName,ScenarioData,MATCH($G137,scenarios!$G$3:$G$153,0),FALSE)),HLOOKUP(CaseName,CaseData,MATCH($G137,cases!$G$3:$G$1232,0)-1,FALSE))</f>
        <v>0</v>
      </c>
      <c r="K137" s="165">
        <v>0</v>
      </c>
      <c r="L137" s="155">
        <f t="shared" ref="L137:L143" si="11">IF(ISBLANK(I137),IF(ISNUMBER(J137)=FALSE,K137*1000/(Molweight*3600*24*365),J137*1000/(Molweight*3600*24*365)),I137*1000/(Molweight*3600*24*365))</f>
        <v>0</v>
      </c>
      <c r="M137" s="38" t="s">
        <v>495</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2">
      <c r="A138" s="762"/>
      <c r="B138" s="38"/>
      <c r="C138" s="38" t="s">
        <v>496</v>
      </c>
      <c r="D138" s="17"/>
      <c r="E138" s="17"/>
      <c r="F138" s="17"/>
      <c r="G138" s="38" t="s">
        <v>510</v>
      </c>
      <c r="H138" s="38" t="s">
        <v>494</v>
      </c>
      <c r="I138" s="571"/>
      <c r="J138" s="425">
        <f>IF(HLOOKUP(CaseName,CaseData,MATCH($G138,cases!$G$3:$G$1232,0)-1,FALSE)="",IF(HLOOKUP(ScenarioName,ScenarioData,MATCH($G138,scenarios!$G$3:$G$144,0),FALSE)="","",HLOOKUP(ScenarioName,ScenarioData,MATCH($G138,scenarios!$G$3:$G$153,0),FALSE)),HLOOKUP(CaseName,CaseData,MATCH($G138,cases!$G$3:$G$1232,0)-1,FALSE))</f>
        <v>0</v>
      </c>
      <c r="K138" s="165">
        <v>0</v>
      </c>
      <c r="L138" s="155">
        <f t="shared" si="11"/>
        <v>0</v>
      </c>
      <c r="M138" s="38" t="s">
        <v>506</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2">
      <c r="A139" s="762"/>
      <c r="B139" s="38"/>
      <c r="C139" s="38" t="s">
        <v>498</v>
      </c>
      <c r="D139" s="17"/>
      <c r="E139" s="17"/>
      <c r="F139" s="17"/>
      <c r="G139" s="38" t="s">
        <v>511</v>
      </c>
      <c r="H139" s="38" t="s">
        <v>494</v>
      </c>
      <c r="I139" s="571"/>
      <c r="J139" s="425">
        <f>IF(HLOOKUP(CaseName,CaseData,MATCH($G139,cases!$G$3:$G$1232,0)-1,FALSE)="",IF(HLOOKUP(ScenarioName,ScenarioData,MATCH($G139,scenarios!$G$3:$G$144,0),FALSE)="","",HLOOKUP(ScenarioName,ScenarioData,MATCH($G139,scenarios!$G$3:$G$153,0),FALSE)),HLOOKUP(CaseName,CaseData,MATCH($G139,cases!$G$3:$G$1232,0)-1,FALSE))</f>
        <v>0</v>
      </c>
      <c r="K139" s="165">
        <v>0</v>
      </c>
      <c r="L139" s="155">
        <f t="shared" si="11"/>
        <v>0</v>
      </c>
      <c r="M139" s="38" t="s">
        <v>495</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2">
      <c r="A140" s="762"/>
      <c r="B140" s="38"/>
      <c r="C140" s="38" t="s">
        <v>500</v>
      </c>
      <c r="D140" s="17"/>
      <c r="E140" s="17"/>
      <c r="F140" s="17"/>
      <c r="G140" s="38" t="s">
        <v>512</v>
      </c>
      <c r="H140" s="38" t="s">
        <v>494</v>
      </c>
      <c r="I140" s="571"/>
      <c r="J140" s="425">
        <f>IF(HLOOKUP(CaseName,CaseData,MATCH($G140,cases!$G$3:$G$1232,0)-1,FALSE)="",IF(HLOOKUP(ScenarioName,ScenarioData,MATCH($G140,scenarios!$G$3:$G$144,0),FALSE)="","",HLOOKUP(ScenarioName,ScenarioData,MATCH($G140,scenarios!$G$3:$G$153,0),FALSE)),HLOOKUP(CaseName,CaseData,MATCH($G140,cases!$G$3:$G$1232,0)-1,FALSE))</f>
        <v>0</v>
      </c>
      <c r="K140" s="165">
        <v>0</v>
      </c>
      <c r="L140" s="155">
        <f t="shared" si="11"/>
        <v>0</v>
      </c>
      <c r="M140" s="38" t="s">
        <v>495</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2">
      <c r="A141" s="762"/>
      <c r="B141" s="38"/>
      <c r="C141" s="38" t="s">
        <v>502</v>
      </c>
      <c r="D141" s="17"/>
      <c r="E141" s="17"/>
      <c r="F141" s="17"/>
      <c r="G141" s="38" t="s">
        <v>513</v>
      </c>
      <c r="H141" s="38" t="s">
        <v>494</v>
      </c>
      <c r="I141" s="571"/>
      <c r="J141" s="425">
        <f>IF(HLOOKUP(CaseName,CaseData,MATCH($G141,cases!$G$3:$G$1232,0)-1,FALSE)="",IF(HLOOKUP(ScenarioName,ScenarioData,MATCH($G141,scenarios!$G$3:$G$144,0),FALSE)="","",HLOOKUP(ScenarioName,ScenarioData,MATCH($G141,scenarios!$G$3:$G$153,0),FALSE)),HLOOKUP(CaseName,CaseData,MATCH($G141,cases!$G$3:$G$1232,0)-1,FALSE))</f>
        <v>0</v>
      </c>
      <c r="K141" s="165">
        <v>0</v>
      </c>
      <c r="L141" s="155">
        <f t="shared" si="11"/>
        <v>0</v>
      </c>
      <c r="M141" s="38" t="s">
        <v>495</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2">
      <c r="A142" s="762"/>
      <c r="B142" s="38"/>
      <c r="C142" s="38" t="s">
        <v>504</v>
      </c>
      <c r="D142" s="17"/>
      <c r="E142" s="17"/>
      <c r="F142" s="17"/>
      <c r="G142" s="38" t="s">
        <v>514</v>
      </c>
      <c r="H142" s="38" t="s">
        <v>494</v>
      </c>
      <c r="I142" s="571"/>
      <c r="J142" s="425">
        <f>IF(HLOOKUP(CaseName,CaseData,MATCH($G142,cases!$G$3:$G$1232,0)-1,FALSE)="",IF(HLOOKUP(ScenarioName,ScenarioData,MATCH($G142,scenarios!$G$3:$G$144,0),FALSE)="","",HLOOKUP(ScenarioName,ScenarioData,MATCH($G142,scenarios!$G$3:$G$153,0),FALSE)),HLOOKUP(CaseName,CaseData,MATCH($G142,cases!$G$3:$G$1232,0)-1,FALSE))</f>
        <v>0</v>
      </c>
      <c r="K142" s="165">
        <v>0</v>
      </c>
      <c r="L142" s="155">
        <f t="shared" si="11"/>
        <v>0</v>
      </c>
      <c r="M142" s="38" t="s">
        <v>495</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2">
      <c r="A143" s="762"/>
      <c r="B143" s="38"/>
      <c r="C143" s="38" t="s">
        <v>507</v>
      </c>
      <c r="D143" s="17"/>
      <c r="E143" s="17"/>
      <c r="F143" s="17"/>
      <c r="G143" s="38" t="s">
        <v>515</v>
      </c>
      <c r="H143" s="38" t="s">
        <v>494</v>
      </c>
      <c r="I143" s="571"/>
      <c r="J143" s="425">
        <f>IF(HLOOKUP(CaseName,CaseData,MATCH($G143,cases!$G$3:$G$1232,0)-1,FALSE)="",IF(HLOOKUP(ScenarioName,ScenarioData,MATCH($G143,scenarios!$G$3:$G$144,0),FALSE)="","",HLOOKUP(ScenarioName,ScenarioData,MATCH($G143,scenarios!$G$3:$G$153,0),FALSE)),HLOOKUP(CaseName,CaseData,MATCH($G143,cases!$G$3:$G$1232,0)-1,FALSE))</f>
        <v>0</v>
      </c>
      <c r="K143" s="165">
        <v>0</v>
      </c>
      <c r="L143" s="155">
        <f t="shared" si="11"/>
        <v>0</v>
      </c>
      <c r="M143" s="38" t="s">
        <v>495</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2">
      <c r="A144" s="762"/>
      <c r="B144" s="74" t="s">
        <v>232</v>
      </c>
      <c r="C144" s="17"/>
      <c r="D144" s="17"/>
      <c r="E144" s="17"/>
      <c r="F144" s="17"/>
      <c r="G144" s="149"/>
      <c r="H144" s="38"/>
      <c r="I144" s="575"/>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2">
      <c r="A145" s="762"/>
      <c r="B145" s="38"/>
      <c r="C145" s="38" t="s">
        <v>492</v>
      </c>
      <c r="D145" s="17"/>
      <c r="E145" s="17"/>
      <c r="F145" s="17"/>
      <c r="G145" s="38" t="s">
        <v>516</v>
      </c>
      <c r="H145" s="38" t="s">
        <v>494</v>
      </c>
      <c r="I145" s="571"/>
      <c r="J145" s="425">
        <f>IF(HLOOKUP(CaseName,CaseData,MATCH($G145,cases!$G$3:$G$1232,0)-1,FALSE)="",IF(HLOOKUP(ScenarioName,ScenarioData,MATCH($G145,scenarios!$G$3:$G$144,0),FALSE)="","",HLOOKUP(ScenarioName,ScenarioData,MATCH($G145,scenarios!$G$3:$G$153,0),FALSE)),HLOOKUP(CaseName,CaseData,MATCH($G145,cases!$G$3:$G$1232,0)-1,FALSE))</f>
        <v>0</v>
      </c>
      <c r="K145" s="165">
        <v>0</v>
      </c>
      <c r="L145" s="155">
        <f>IF(ISBLANK(I145),IF(ISNUMBER(J145)=FALSE,K145*1000/(Molweight*3600*24*365),J145*1000/(Molweight*3600*24*365)),I145*1000/(Molweight*3600*24*365))</f>
        <v>0</v>
      </c>
      <c r="M145" s="38" t="s">
        <v>495</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2">
      <c r="A146" s="762"/>
      <c r="B146" s="38"/>
      <c r="C146" s="38" t="s">
        <v>517</v>
      </c>
      <c r="D146" s="17"/>
      <c r="E146" s="17"/>
      <c r="F146" s="17"/>
      <c r="G146" s="38" t="s">
        <v>518</v>
      </c>
      <c r="H146" s="38" t="s">
        <v>494</v>
      </c>
      <c r="I146" s="571"/>
      <c r="J146" s="425">
        <f>IF(HLOOKUP(CaseName,CaseData,MATCH($G146,cases!$G$3:$G$1232,0)-1,FALSE)="",IF(HLOOKUP(ScenarioName,ScenarioData,MATCH($G146,scenarios!$G$3:$G$144,0),FALSE)="","",HLOOKUP(ScenarioName,ScenarioData,MATCH($G146,scenarios!$G$3:$G$153,0),FALSE)),HLOOKUP(CaseName,CaseData,MATCH($G146,cases!$G$3:$G$1232,0)-1,FALSE))</f>
        <v>0</v>
      </c>
      <c r="K146" s="165">
        <v>0</v>
      </c>
      <c r="L146" s="155">
        <f>IF(ISBLANK(I146),IF(ISNUMBER(J146)=FALSE,K146*1000/(Molweight*3600*24*365),J146*1000/(Molweight*3600*24*365)),I146*1000/(Molweight*3600*24*365))</f>
        <v>0</v>
      </c>
      <c r="M146" s="38" t="s">
        <v>495</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2">
      <c r="A147" s="762"/>
      <c r="B147" s="38"/>
      <c r="C147" s="38" t="s">
        <v>519</v>
      </c>
      <c r="D147" s="17"/>
      <c r="E147" s="17"/>
      <c r="F147" s="17"/>
      <c r="G147" s="38" t="s">
        <v>520</v>
      </c>
      <c r="H147" s="38" t="s">
        <v>494</v>
      </c>
      <c r="I147" s="571"/>
      <c r="J147" s="425">
        <f>IF(HLOOKUP(CaseName,CaseData,MATCH($G147,cases!$G$3:$G$1232,0)-1,FALSE)="",IF(HLOOKUP(ScenarioName,ScenarioData,MATCH($G147,scenarios!$G$3:$G$144,0),FALSE)="","",HLOOKUP(ScenarioName,ScenarioData,MATCH($G147,scenarios!$G$3:$G$153,0),FALSE)),HLOOKUP(CaseName,CaseData,MATCH($G147,cases!$G$3:$G$1232,0)-1,FALSE))</f>
        <v>0</v>
      </c>
      <c r="K147" s="165">
        <v>0</v>
      </c>
      <c r="L147" s="155">
        <f>IF(ISBLANK(I147),IF(ISNUMBER(J147)=FALSE,K147*1000/(Molweight*3600*24*365),J147*1000/(Molweight*3600*24*365)),I147*1000/(Molweight*3600*24*365))</f>
        <v>0</v>
      </c>
      <c r="M147" s="17" t="s">
        <v>495</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2">
      <c r="A148" s="762"/>
      <c r="B148" s="3" t="s">
        <v>233</v>
      </c>
      <c r="C148" s="38"/>
      <c r="D148" s="17"/>
      <c r="E148" s="17"/>
      <c r="F148" s="17"/>
      <c r="G148" s="149"/>
      <c r="H148" s="38"/>
      <c r="I148" s="575"/>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2">
      <c r="A149" s="762"/>
      <c r="B149" s="38"/>
      <c r="C149" s="38" t="s">
        <v>492</v>
      </c>
      <c r="D149" s="17"/>
      <c r="E149" s="17"/>
      <c r="F149" s="17"/>
      <c r="G149" s="38" t="s">
        <v>521</v>
      </c>
      <c r="H149" s="38" t="s">
        <v>494</v>
      </c>
      <c r="I149" s="571"/>
      <c r="J149" s="425">
        <f>IF(HLOOKUP(CaseName,CaseData,MATCH($G149,cases!$G$3:$G$1232,0)-1,FALSE)="",IF(HLOOKUP(ScenarioName,ScenarioData,MATCH($G149,scenarios!$G$3:$G$144,0),FALSE)="","",HLOOKUP(ScenarioName,ScenarioData,MATCH($G149,scenarios!$G$3:$G$153,0),FALSE)),HLOOKUP(CaseName,CaseData,MATCH($G149,cases!$G$3:$G$1232,0)-1,FALSE))</f>
        <v>0</v>
      </c>
      <c r="K149" s="165">
        <v>0</v>
      </c>
      <c r="L149" s="155">
        <f>IF(ISBLANK(I149),IF(ISNUMBER(J149)=FALSE,K149*1000/(Molweight*3600*24*365),J149*1000/(Molweight*3600*24*365)),I149*1000/(Molweight*3600*24*365))</f>
        <v>0</v>
      </c>
      <c r="M149" s="38" t="s">
        <v>495</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2">
      <c r="A150" s="762"/>
      <c r="B150" s="38"/>
      <c r="C150" s="38" t="s">
        <v>517</v>
      </c>
      <c r="D150" s="17"/>
      <c r="E150" s="17"/>
      <c r="F150" s="17"/>
      <c r="G150" s="38" t="s">
        <v>522</v>
      </c>
      <c r="H150" s="38" t="s">
        <v>494</v>
      </c>
      <c r="I150" s="571"/>
      <c r="J150" s="425">
        <f>IF(HLOOKUP(CaseName,CaseData,MATCH($G150,cases!$G$3:$G$1232,0)-1,FALSE)="",IF(HLOOKUP(ScenarioName,ScenarioData,MATCH($G150,scenarios!$G$3:$G$144,0),FALSE)="","",HLOOKUP(ScenarioName,ScenarioData,MATCH($G150,scenarios!$G$3:$G$153,0),FALSE)),HLOOKUP(CaseName,CaseData,MATCH($G150,cases!$G$3:$G$1232,0)-1,FALSE))</f>
        <v>0</v>
      </c>
      <c r="K150" s="165">
        <v>0</v>
      </c>
      <c r="L150" s="155">
        <f>IF(ISBLANK(I150),IF(ISNUMBER(J150)=FALSE,K150*1000/(Molweight*3600*24*365),J150*1000/(Molweight*3600*24*365)),I150*1000/(Molweight*3600*24*365))</f>
        <v>0</v>
      </c>
      <c r="M150" s="38" t="s">
        <v>495</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2">
      <c r="A151" s="762"/>
      <c r="B151" s="38"/>
      <c r="C151" s="38" t="s">
        <v>519</v>
      </c>
      <c r="D151" s="17"/>
      <c r="E151" s="17"/>
      <c r="F151" s="17"/>
      <c r="G151" s="38" t="s">
        <v>523</v>
      </c>
      <c r="H151" s="38" t="s">
        <v>494</v>
      </c>
      <c r="I151" s="571"/>
      <c r="J151" s="425">
        <f>IF(HLOOKUP(CaseName,CaseData,MATCH($G151,cases!$G$3:$G$1232,0)-1,FALSE)="",IF(HLOOKUP(ScenarioName,ScenarioData,MATCH($G151,scenarios!$G$3:$G$144,0),FALSE)="","",HLOOKUP(ScenarioName,ScenarioData,MATCH($G151,scenarios!$G$3:$G$153,0),FALSE)),HLOOKUP(CaseName,CaseData,MATCH($G151,cases!$G$3:$G$1232,0)-1,FALSE))</f>
        <v>0</v>
      </c>
      <c r="K151" s="165">
        <v>0</v>
      </c>
      <c r="L151" s="155">
        <f>IF(ISBLANK(I151),IF(ISNUMBER(J151)=FALSE,K151*1000/(Molweight*3600*24*365),J151*1000/(Molweight*3600*24*365)),I151*1000/(Molweight*3600*24*365))</f>
        <v>0</v>
      </c>
      <c r="M151" s="17" t="s">
        <v>495</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2">
      <c r="A152" s="762"/>
      <c r="B152" s="74" t="s">
        <v>524</v>
      </c>
      <c r="C152" s="17"/>
      <c r="D152" s="17"/>
      <c r="E152" s="17"/>
      <c r="F152" s="17"/>
      <c r="G152" s="149"/>
      <c r="H152" s="38"/>
      <c r="I152" s="575"/>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2">
      <c r="A153" s="762"/>
      <c r="B153" s="38"/>
      <c r="C153" s="38" t="s">
        <v>492</v>
      </c>
      <c r="D153" s="17"/>
      <c r="E153" s="17"/>
      <c r="F153" s="17"/>
      <c r="G153" s="38" t="s">
        <v>525</v>
      </c>
      <c r="H153" s="38" t="s">
        <v>494</v>
      </c>
      <c r="I153" s="571"/>
      <c r="J153" s="425">
        <f>IF(HLOOKUP(CaseName,CaseData,MATCH($G153,cases!$G$3:$G$1232,0)-1,FALSE)="",IF(HLOOKUP(ScenarioName,ScenarioData,MATCH($G153,scenarios!$G$3:$G$144,0),FALSE)="","",HLOOKUP(ScenarioName,ScenarioData,MATCH($G153,scenarios!$G$3:$G$153,0),FALSE)),HLOOKUP(CaseName,CaseData,MATCH($G153,cases!$G$3:$G$1232,0)-1,FALSE))</f>
        <v>0</v>
      </c>
      <c r="K153" s="165">
        <v>0</v>
      </c>
      <c r="L153" s="155">
        <f>IF(ISBLANK(I153),IF(ISNUMBER(J153)=FALSE,K153*1000/(Molweight*3600*24*365),J153*1000/(Molweight*3600*24*365)),I153*1000/(Molweight*3600*24*365))</f>
        <v>0</v>
      </c>
      <c r="M153" s="38" t="s">
        <v>495</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2">
      <c r="A154" s="762"/>
      <c r="B154" s="38"/>
      <c r="C154" s="38" t="s">
        <v>517</v>
      </c>
      <c r="D154" s="17"/>
      <c r="E154" s="17"/>
      <c r="F154" s="17"/>
      <c r="G154" s="38" t="s">
        <v>526</v>
      </c>
      <c r="H154" s="38" t="s">
        <v>494</v>
      </c>
      <c r="I154" s="571"/>
      <c r="J154" s="425">
        <f>IF(HLOOKUP(CaseName,CaseData,MATCH($G154,cases!$G$3:$G$1232,0)-1,FALSE)="",IF(HLOOKUP(ScenarioName,ScenarioData,MATCH($G154,scenarios!$G$3:$G$144,0),FALSE)="","",HLOOKUP(ScenarioName,ScenarioData,MATCH($G154,scenarios!$G$3:$G$153,0),FALSE)),HLOOKUP(CaseName,CaseData,MATCH($G154,cases!$G$3:$G$1232,0)-1,FALSE))</f>
        <v>0</v>
      </c>
      <c r="K154" s="165">
        <v>0</v>
      </c>
      <c r="L154" s="155">
        <f>IF(ISBLANK(I154),IF(ISNUMBER(J154)=FALSE,K154*1000/(Molweight*3600*24*365),J154*1000/(Molweight*3600*24*365)),I154*1000/(Molweight*3600*24*365))</f>
        <v>0</v>
      </c>
      <c r="M154" s="38" t="s">
        <v>495</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2">
      <c r="A155" s="762"/>
      <c r="B155" s="38"/>
      <c r="C155" s="38" t="s">
        <v>519</v>
      </c>
      <c r="D155" s="17"/>
      <c r="E155" s="17"/>
      <c r="F155" s="17"/>
      <c r="G155" s="38" t="s">
        <v>527</v>
      </c>
      <c r="H155" s="38" t="s">
        <v>494</v>
      </c>
      <c r="I155" s="571"/>
      <c r="J155" s="425">
        <f>IF(HLOOKUP(CaseName,CaseData,MATCH($G155,cases!$G$3:$G$1232,0)-1,FALSE)="",IF(HLOOKUP(ScenarioName,ScenarioData,MATCH($G155,scenarios!$G$3:$G$144,0),FALSE)="","",HLOOKUP(ScenarioName,ScenarioData,MATCH($G155,scenarios!$G$3:$G$153,0),FALSE)),HLOOKUP(CaseName,CaseData,MATCH($G155,cases!$G$3:$G$1232,0)-1,FALSE))</f>
        <v>0</v>
      </c>
      <c r="K155" s="165">
        <v>0</v>
      </c>
      <c r="L155" s="155">
        <f>IF(ISBLANK(I155),IF(ISNUMBER(J155)=FALSE,K155*1000/(Molweight*3600*24*365),J155*1000/(Molweight*3600*24*365)),I155*1000/(Molweight*3600*24*365))</f>
        <v>0</v>
      </c>
      <c r="M155" s="17" t="s">
        <v>495</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2">
      <c r="A156" s="228"/>
      <c r="B156" s="228"/>
      <c r="C156" s="384"/>
      <c r="D156" s="384"/>
      <c r="E156" s="384"/>
      <c r="F156" s="384"/>
      <c r="G156" s="860"/>
      <c r="H156" s="609"/>
      <c r="I156" s="861"/>
      <c r="J156" s="837"/>
      <c r="K156" s="838"/>
      <c r="L156" s="836"/>
      <c r="M156" s="609"/>
      <c r="N156" s="228"/>
      <c r="O156" s="215"/>
      <c r="P156" s="215"/>
      <c r="S156"/>
      <c r="T156"/>
      <c r="U156"/>
      <c r="V156"/>
      <c r="W156"/>
      <c r="X156"/>
      <c r="Y156"/>
    </row>
    <row r="157" spans="1:34" customFormat="1" ht="12.75" customHeight="1" x14ac:dyDescent="0.2">
      <c r="A157" s="148" t="s">
        <v>528</v>
      </c>
      <c r="B157" s="147"/>
      <c r="C157" s="147"/>
      <c r="D157" s="147"/>
      <c r="E157" s="147"/>
      <c r="F157" s="147"/>
      <c r="G157" s="148" t="s">
        <v>263</v>
      </c>
      <c r="H157" s="148" t="s">
        <v>279</v>
      </c>
      <c r="I157" s="150" t="s">
        <v>264</v>
      </c>
      <c r="J157" s="150" t="s">
        <v>280</v>
      </c>
      <c r="K157" s="150" t="s">
        <v>265</v>
      </c>
      <c r="L157" s="150" t="s">
        <v>266</v>
      </c>
      <c r="M157" s="147"/>
      <c r="N157" s="148" t="s">
        <v>267</v>
      </c>
      <c r="O157" s="271" t="s">
        <v>268</v>
      </c>
      <c r="P157" s="411" t="s">
        <v>269</v>
      </c>
      <c r="Q157" s="11"/>
      <c r="R157" s="11"/>
      <c r="AA157" s="335"/>
      <c r="AB157" s="335"/>
      <c r="AC157" s="335"/>
      <c r="AD157" s="335"/>
      <c r="AE157" s="335"/>
      <c r="AF157" s="335"/>
      <c r="AG157" s="335"/>
    </row>
    <row r="158" spans="1:34" s="26" customFormat="1" ht="12.75" customHeight="1" x14ac:dyDescent="0.2">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6"/>
      <c r="AB158" s="686"/>
      <c r="AC158" s="686"/>
      <c r="AD158" s="686"/>
      <c r="AE158" s="686"/>
      <c r="AF158" s="686"/>
      <c r="AG158" s="686"/>
      <c r="AH158" s="11"/>
    </row>
    <row r="159" spans="1:34" s="26" customFormat="1" ht="12.75" customHeight="1" x14ac:dyDescent="0.2">
      <c r="A159" s="38"/>
      <c r="B159" s="144" t="s">
        <v>529</v>
      </c>
      <c r="C159" s="145"/>
      <c r="D159" s="145"/>
      <c r="E159" s="145"/>
      <c r="F159" s="145"/>
      <c r="G159" s="144" t="s">
        <v>530</v>
      </c>
      <c r="H159" s="144"/>
      <c r="I159" s="570"/>
      <c r="J159" s="569" t="str">
        <f>IF(HLOOKUP(CaseName,CaseData,MATCH($G159,cases!$G$3:$G$1232,0),FALSE)="",IF(ISBLANK(VLOOKUP(ChemName,ChemData,MATCH(G159,substances!$3:$3,FALSE)-1,FALSE)),"",VLOOKUP(ChemName,ChemData,MATCH(G159,substances!$3:$3,FALSE)-1,FALSE)),HLOOKUP(CaseName,CaseData,MATCH($G159,cases!$G$3:$G$1232,0),FALSE))</f>
        <v>Particle</v>
      </c>
      <c r="K159" s="426" t="s">
        <v>531</v>
      </c>
      <c r="L159" s="427" t="str">
        <f>IF(I159="",IF(J159="",K159,J159),I159)</f>
        <v>Particle</v>
      </c>
      <c r="M159" s="38"/>
      <c r="N159" s="17"/>
      <c r="O159" s="215"/>
      <c r="P159" s="215"/>
      <c r="Q159" s="11"/>
      <c r="R159" s="11"/>
      <c r="S159"/>
      <c r="T159"/>
      <c r="U159"/>
      <c r="V159"/>
      <c r="W159"/>
      <c r="X159"/>
      <c r="Y159"/>
      <c r="Z159" s="11"/>
      <c r="AA159" s="686"/>
      <c r="AB159" s="686"/>
      <c r="AC159" s="686"/>
      <c r="AD159" s="686"/>
      <c r="AE159" s="686"/>
      <c r="AF159" s="686"/>
      <c r="AG159" s="686"/>
      <c r="AH159" s="11"/>
    </row>
    <row r="160" spans="1:34" s="26" customFormat="1" ht="12.75" customHeight="1" x14ac:dyDescent="0.2">
      <c r="A160" s="17"/>
      <c r="B160" s="38" t="s">
        <v>532</v>
      </c>
      <c r="C160" s="17"/>
      <c r="D160" s="17"/>
      <c r="E160" s="17"/>
      <c r="F160" s="17"/>
      <c r="G160" s="38" t="s">
        <v>533</v>
      </c>
      <c r="H160" s="38" t="s">
        <v>534</v>
      </c>
      <c r="I160" s="571"/>
      <c r="J160" s="569">
        <f>IF(HLOOKUP(CaseName,CaseData,MATCH($G160,cases!$G$3:$G$1232,0)-1,FALSE)="",IF(ISBLANK(VLOOKUP(ChemName,ChemData,MATCH(G160,substances!$3:$3,FALSE)-1,FALSE)),"",VLOOKUP(ChemName,ChemData,MATCH(G160,substances!$3:$3,FALSE)-1,FALSE)),HLOOKUP(CaseName,CaseData,MATCH($G160,cases!$G$3:$G$1232,0)-1,FALSE))</f>
        <v>47.366999999999997</v>
      </c>
      <c r="K160" s="405">
        <f>MEDIAN(substances!F8)</f>
        <v>147</v>
      </c>
      <c r="L160" s="155">
        <f>IF(ISBLANK(I160),IF(ISNUMBER(J160)=FALSE,K160/1000,J160/1000),I160/1000)</f>
        <v>4.7366999999999999E-2</v>
      </c>
      <c r="M160" s="38" t="s">
        <v>535</v>
      </c>
      <c r="N160" s="17"/>
      <c r="O160" s="384"/>
      <c r="P160" s="384"/>
      <c r="Q160" s="11"/>
      <c r="R160" s="11"/>
      <c r="S160"/>
      <c r="T160"/>
      <c r="U160"/>
      <c r="V160"/>
      <c r="W160"/>
      <c r="X160"/>
      <c r="Y160"/>
      <c r="Z160" s="11"/>
      <c r="AA160" s="686"/>
      <c r="AB160" s="686"/>
      <c r="AC160" s="686"/>
      <c r="AD160" s="686"/>
      <c r="AE160" s="686"/>
      <c r="AF160" s="686"/>
      <c r="AG160" s="686"/>
      <c r="AH160" s="11"/>
    </row>
    <row r="161" spans="1:34" s="26" customFormat="1" ht="12.75" customHeight="1" x14ac:dyDescent="0.2">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6"/>
      <c r="AB161" s="686"/>
      <c r="AC161" s="686"/>
      <c r="AD161" s="686"/>
      <c r="AE161" s="686"/>
      <c r="AF161" s="686"/>
      <c r="AG161" s="686"/>
      <c r="AH161" s="11"/>
    </row>
    <row r="162" spans="1:34" s="26" customFormat="1" ht="12.75" customHeight="1" x14ac:dyDescent="0.2">
      <c r="A162" s="38"/>
      <c r="B162" s="38" t="s">
        <v>536</v>
      </c>
      <c r="C162" s="17"/>
      <c r="D162" s="17"/>
      <c r="E162" s="17"/>
      <c r="F162" s="17"/>
      <c r="G162" s="146" t="s">
        <v>537</v>
      </c>
      <c r="H162" s="38" t="s">
        <v>296</v>
      </c>
      <c r="I162" s="571"/>
      <c r="J162" s="565"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297</v>
      </c>
      <c r="N162" s="17" t="s">
        <v>538</v>
      </c>
      <c r="O162" s="215"/>
      <c r="P162" s="215"/>
      <c r="Q162" s="11"/>
      <c r="R162" s="11"/>
      <c r="S162"/>
      <c r="T162"/>
      <c r="U162"/>
      <c r="V162"/>
      <c r="W162"/>
      <c r="X162"/>
      <c r="Y162"/>
      <c r="Z162" s="11"/>
      <c r="AA162" s="686"/>
      <c r="AB162" s="686"/>
      <c r="AC162" s="686"/>
      <c r="AD162" s="686"/>
      <c r="AE162" s="686"/>
      <c r="AF162" s="686"/>
      <c r="AG162" s="686"/>
      <c r="AH162" s="11"/>
    </row>
    <row r="163" spans="1:34" ht="12.75" customHeight="1" x14ac:dyDescent="0.2">
      <c r="A163" s="38"/>
      <c r="B163" s="38" t="s">
        <v>539</v>
      </c>
      <c r="C163" s="17"/>
      <c r="D163" s="17"/>
      <c r="E163" s="17"/>
      <c r="F163" s="17"/>
      <c r="G163" s="539" t="s">
        <v>540</v>
      </c>
      <c r="H163" s="38" t="s">
        <v>296</v>
      </c>
      <c r="I163" s="571"/>
      <c r="J163" s="565" t="str">
        <f>IF(HLOOKUP(CaseName,CaseData,ROW()-2,FALSE)="","",HLOOKUP(CaseName,CaseData,ROW()-2,FALSE))</f>
        <v/>
      </c>
      <c r="K163" s="405">
        <f>(VLOOKUP(ChemClass,QSARtable,8,FALSE))*CORG*RHOsolid/1000</f>
        <v>50</v>
      </c>
      <c r="L163" s="155">
        <f t="shared" si="12"/>
        <v>50</v>
      </c>
      <c r="M163" s="38" t="s">
        <v>297</v>
      </c>
      <c r="N163" s="17"/>
      <c r="O163" s="215"/>
      <c r="P163" s="215"/>
      <c r="Q163" s="11"/>
      <c r="R163" s="11"/>
      <c r="Z163" s="11"/>
      <c r="AA163" s="686"/>
      <c r="AB163" s="686"/>
      <c r="AC163" s="686"/>
      <c r="AD163" s="686"/>
      <c r="AE163" s="686"/>
      <c r="AF163" s="686"/>
      <c r="AG163" s="686"/>
      <c r="AH163" s="11"/>
    </row>
    <row r="164" spans="1:34" s="26" customFormat="1" ht="12.75" customHeight="1" x14ac:dyDescent="0.2">
      <c r="A164" s="38"/>
      <c r="B164" s="38" t="s">
        <v>541</v>
      </c>
      <c r="C164" s="146"/>
      <c r="D164" s="17"/>
      <c r="E164" s="17"/>
      <c r="F164" s="17"/>
      <c r="G164" s="146" t="s">
        <v>542</v>
      </c>
      <c r="H164" s="38" t="s">
        <v>296</v>
      </c>
      <c r="I164" s="571"/>
      <c r="J164" s="565">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297</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2">
      <c r="A165" s="17"/>
      <c r="B165" s="17"/>
      <c r="C165" s="38" t="s">
        <v>543</v>
      </c>
      <c r="D165" s="17"/>
      <c r="E165" s="17"/>
      <c r="F165" s="17"/>
      <c r="G165" s="38" t="s">
        <v>544</v>
      </c>
      <c r="H165" s="38" t="s">
        <v>296</v>
      </c>
      <c r="I165" s="571"/>
      <c r="J165" s="565"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297</v>
      </c>
      <c r="N165" s="17"/>
      <c r="O165" s="215"/>
      <c r="P165" s="215"/>
      <c r="Q165" s="11"/>
      <c r="R165" s="11"/>
      <c r="S165"/>
      <c r="T165"/>
      <c r="U165"/>
      <c r="V165"/>
      <c r="W165"/>
      <c r="X165"/>
      <c r="Y165"/>
      <c r="Z165" s="11"/>
      <c r="AA165" s="686"/>
      <c r="AB165" s="686"/>
      <c r="AC165" s="686"/>
      <c r="AD165" s="686"/>
      <c r="AE165" s="686"/>
      <c r="AF165" s="686"/>
      <c r="AG165" s="686"/>
      <c r="AH165" s="11"/>
    </row>
    <row r="166" spans="1:34" s="26" customFormat="1" ht="12.75" customHeight="1" x14ac:dyDescent="0.2">
      <c r="A166" s="17"/>
      <c r="B166" s="17"/>
      <c r="C166" s="38" t="s">
        <v>545</v>
      </c>
      <c r="D166" s="17"/>
      <c r="E166" s="17"/>
      <c r="F166" s="17"/>
      <c r="G166" s="540" t="s">
        <v>546</v>
      </c>
      <c r="H166" s="38" t="s">
        <v>296</v>
      </c>
      <c r="I166" s="571"/>
      <c r="J166" s="565" t="str">
        <f>IF(HLOOKUP(CaseName,CaseData,ROW()-2,FALSE)="","",HLOOKUP(CaseName,CaseData,ROW()-2,FALSE))</f>
        <v/>
      </c>
      <c r="K166" s="428">
        <f>10^(LOG(Kow)-3.5)</f>
        <v>0.86962635654630471</v>
      </c>
      <c r="L166" s="155">
        <f t="shared" si="12"/>
        <v>0.86962635654630471</v>
      </c>
      <c r="M166" s="38" t="s">
        <v>297</v>
      </c>
      <c r="N166" s="17"/>
      <c r="O166" s="215"/>
      <c r="P166" s="215"/>
      <c r="Q166" s="11"/>
      <c r="R166" s="11"/>
      <c r="S166"/>
      <c r="T166"/>
      <c r="U166"/>
      <c r="V166"/>
      <c r="W166"/>
      <c r="X166"/>
      <c r="Y166"/>
      <c r="Z166" s="11"/>
      <c r="AA166" s="686"/>
      <c r="AB166" s="686"/>
      <c r="AC166" s="686"/>
      <c r="AD166" s="686"/>
      <c r="AE166" s="686"/>
      <c r="AF166" s="686"/>
      <c r="AG166" s="686"/>
      <c r="AH166" s="11"/>
    </row>
    <row r="167" spans="1:34" s="26" customFormat="1" ht="12.75" customHeight="1" x14ac:dyDescent="0.2">
      <c r="A167" s="17"/>
      <c r="B167" s="17"/>
      <c r="C167" s="38" t="s">
        <v>547</v>
      </c>
      <c r="D167" s="17"/>
      <c r="E167" s="17"/>
      <c r="F167" s="17"/>
      <c r="G167" s="38" t="s">
        <v>548</v>
      </c>
      <c r="H167" s="38"/>
      <c r="I167" s="571"/>
      <c r="J167" s="565" t="str">
        <f>IF(HLOOKUP(CaseName,CaseData,ROW()-2,FALSE)="",IF(ISBLANK(VLOOKUP(ChemName,ChemData,MATCH("pKa",substances!$3:$3,FALSE)-1,FALSE)),"",VLOOKUP(ChemName,ChemData,MATCH("pKa",substances!$3:$3,FALSE)-1,FALSE)),HLOOKUP(CaseName,CaseData,ROW()-2,FALSE))</f>
        <v/>
      </c>
      <c r="K167" s="405">
        <v>7</v>
      </c>
      <c r="L167" s="155">
        <f t="shared" si="12"/>
        <v>7</v>
      </c>
      <c r="M167" s="146" t="s">
        <v>297</v>
      </c>
      <c r="N167" s="17"/>
      <c r="O167" s="215"/>
      <c r="P167" s="215"/>
      <c r="Q167" s="11"/>
      <c r="R167" s="11"/>
      <c r="S167"/>
      <c r="T167"/>
      <c r="U167"/>
      <c r="V167"/>
      <c r="W167"/>
      <c r="X167"/>
      <c r="Y167"/>
      <c r="Z167" s="11"/>
      <c r="AA167" s="686"/>
      <c r="AB167" s="686"/>
      <c r="AC167" s="686"/>
      <c r="AD167" s="686"/>
      <c r="AE167" s="686"/>
      <c r="AF167" s="686"/>
      <c r="AG167" s="686"/>
      <c r="AH167" s="11"/>
    </row>
    <row r="168" spans="1:34" s="26" customFormat="1" ht="12.75" customHeight="1" x14ac:dyDescent="0.2">
      <c r="A168" s="17"/>
      <c r="B168" s="17"/>
      <c r="C168" s="38" t="s">
        <v>549</v>
      </c>
      <c r="D168" s="17"/>
      <c r="E168" s="17"/>
      <c r="F168" s="17"/>
      <c r="G168" s="38" t="s">
        <v>550</v>
      </c>
      <c r="H168" s="38" t="s">
        <v>296</v>
      </c>
      <c r="I168" s="571"/>
      <c r="J168" s="565"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297</v>
      </c>
      <c r="N168" s="17" t="s">
        <v>551</v>
      </c>
      <c r="O168" s="215"/>
      <c r="P168" s="215"/>
      <c r="Q168" s="11"/>
      <c r="R168" s="11"/>
      <c r="S168"/>
      <c r="T168"/>
      <c r="U168"/>
      <c r="V168"/>
      <c r="W168"/>
      <c r="X168"/>
      <c r="Y168"/>
      <c r="Z168" s="11"/>
      <c r="AA168" s="686"/>
      <c r="AB168" s="686"/>
      <c r="AC168" s="686"/>
      <c r="AD168" s="686"/>
      <c r="AE168" s="686"/>
      <c r="AF168" s="686"/>
      <c r="AG168" s="686"/>
      <c r="AH168" s="11"/>
    </row>
    <row r="169" spans="1:34" s="26" customFormat="1" ht="12.75" customHeight="1" x14ac:dyDescent="0.2">
      <c r="A169" s="821"/>
      <c r="B169" s="228"/>
      <c r="C169" s="228" t="s">
        <v>552</v>
      </c>
      <c r="D169" s="228"/>
      <c r="E169" s="228"/>
      <c r="F169" s="228"/>
      <c r="G169" s="216" t="s">
        <v>553</v>
      </c>
      <c r="H169" s="216" t="s">
        <v>296</v>
      </c>
      <c r="I169" s="573"/>
      <c r="J169" s="854" t="str">
        <f t="shared" si="13"/>
        <v/>
      </c>
      <c r="K169" s="541">
        <f>IF(ChemClass="Acid",1/(1+10^(pH.cldw-pKa)),IF(ChemClass="Base",1/(1+10^(pKa-pH.cldw)),1))</f>
        <v>1</v>
      </c>
      <c r="L169" s="551">
        <f t="shared" si="12"/>
        <v>1</v>
      </c>
      <c r="M169" s="580" t="s">
        <v>297</v>
      </c>
      <c r="N169" s="228"/>
      <c r="O169" s="215"/>
      <c r="P169" s="215"/>
      <c r="Q169" s="11"/>
      <c r="R169" s="11"/>
      <c r="S169"/>
      <c r="T169"/>
      <c r="U169"/>
      <c r="V169"/>
      <c r="W169"/>
      <c r="X169"/>
      <c r="Y169"/>
      <c r="Z169" s="11"/>
      <c r="AA169" s="686"/>
      <c r="AB169" s="686"/>
      <c r="AC169" s="686"/>
      <c r="AD169" s="686"/>
      <c r="AE169" s="686"/>
      <c r="AF169" s="686"/>
      <c r="AG169" s="686"/>
      <c r="AH169" s="11"/>
    </row>
    <row r="170" spans="1:34" s="26" customFormat="1" ht="12.75" customHeight="1" x14ac:dyDescent="0.2">
      <c r="A170" s="3"/>
      <c r="B170" s="17"/>
      <c r="C170" s="17" t="s">
        <v>554</v>
      </c>
      <c r="D170" s="17"/>
      <c r="E170" s="17"/>
      <c r="F170" s="17"/>
      <c r="G170" s="38" t="s">
        <v>555</v>
      </c>
      <c r="H170" s="38" t="s">
        <v>296</v>
      </c>
      <c r="I170" s="573"/>
      <c r="J170" s="565" t="str">
        <f t="shared" si="13"/>
        <v/>
      </c>
      <c r="K170" s="296">
        <f>IF(ChemClass="Acid",1/(1+10^(pH.aerw-pKa)),IF(ChemClass="Base",1/(1+10^(pKa-pH.aerw)),1))</f>
        <v>1</v>
      </c>
      <c r="L170" s="427">
        <f t="shared" si="12"/>
        <v>1</v>
      </c>
      <c r="M170" s="31" t="s">
        <v>297</v>
      </c>
      <c r="N170" s="17"/>
      <c r="O170" s="215"/>
      <c r="P170" s="215"/>
      <c r="Q170" s="11"/>
      <c r="R170" s="11"/>
      <c r="S170"/>
      <c r="T170"/>
      <c r="U170"/>
      <c r="V170"/>
      <c r="W170"/>
      <c r="X170"/>
      <c r="Y170"/>
      <c r="Z170" s="11"/>
      <c r="AA170" s="686"/>
      <c r="AB170" s="686"/>
      <c r="AC170" s="686"/>
      <c r="AD170" s="686"/>
      <c r="AE170" s="686"/>
      <c r="AF170" s="686"/>
      <c r="AG170" s="686"/>
      <c r="AH170" s="11"/>
    </row>
    <row r="171" spans="1:34" s="26" customFormat="1" ht="12.75" customHeight="1" x14ac:dyDescent="0.2">
      <c r="A171" s="3"/>
      <c r="B171" s="17"/>
      <c r="C171" s="17" t="s">
        <v>556</v>
      </c>
      <c r="D171" s="17"/>
      <c r="E171" s="17"/>
      <c r="F171" s="17"/>
      <c r="G171" s="38" t="s">
        <v>557</v>
      </c>
      <c r="H171" s="38" t="s">
        <v>296</v>
      </c>
      <c r="I171" s="573"/>
      <c r="J171" s="565" t="str">
        <f t="shared" si="13"/>
        <v/>
      </c>
      <c r="K171" s="296">
        <f>IF(ChemClass="Acid",1/(1+10^(pH.w1-pKa)),IF(ChemClass="Base",1/(1+10^(pKa-pH.w1)),1))</f>
        <v>1</v>
      </c>
      <c r="L171" s="427">
        <f t="shared" si="12"/>
        <v>1</v>
      </c>
      <c r="M171" s="31" t="s">
        <v>297</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2">
      <c r="A172" s="3"/>
      <c r="B172" s="17"/>
      <c r="C172" s="17" t="s">
        <v>558</v>
      </c>
      <c r="D172" s="17"/>
      <c r="E172" s="17"/>
      <c r="F172" s="17"/>
      <c r="G172" s="38" t="s">
        <v>559</v>
      </c>
      <c r="H172" s="38" t="s">
        <v>296</v>
      </c>
      <c r="I172" s="573"/>
      <c r="J172" s="565"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2">
      <c r="A173" s="3"/>
      <c r="B173" s="17"/>
      <c r="C173" s="17" t="s">
        <v>560</v>
      </c>
      <c r="D173" s="17"/>
      <c r="E173" s="17"/>
      <c r="F173" s="17"/>
      <c r="G173" s="38" t="s">
        <v>561</v>
      </c>
      <c r="H173" s="38" t="s">
        <v>296</v>
      </c>
      <c r="I173" s="573"/>
      <c r="J173" s="565" t="str">
        <f t="shared" si="13"/>
        <v/>
      </c>
      <c r="K173" s="296">
        <f>IF(ChemClass="Acid",1/(1+10^(pH.w2-pKa)),IF(ChemClass="Base",1/(1+10^(pKa-pH.w2)),1))</f>
        <v>1</v>
      </c>
      <c r="L173" s="427">
        <f t="shared" si="12"/>
        <v>1</v>
      </c>
      <c r="M173" s="31" t="s">
        <v>297</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2">
      <c r="A174" s="3"/>
      <c r="B174" s="17"/>
      <c r="C174" s="17" t="s">
        <v>562</v>
      </c>
      <c r="D174" s="17"/>
      <c r="E174" s="17"/>
      <c r="F174" s="17"/>
      <c r="G174" s="38" t="s">
        <v>563</v>
      </c>
      <c r="H174" s="38"/>
      <c r="I174" s="573"/>
      <c r="J174" s="565"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2">
      <c r="A175" s="3"/>
      <c r="B175" s="17"/>
      <c r="C175" s="17" t="s">
        <v>564</v>
      </c>
      <c r="D175" s="17"/>
      <c r="E175" s="17"/>
      <c r="F175" s="17"/>
      <c r="G175" s="38" t="s">
        <v>565</v>
      </c>
      <c r="H175" s="38" t="s">
        <v>296</v>
      </c>
      <c r="I175" s="573"/>
      <c r="J175" s="565" t="str">
        <f t="shared" si="13"/>
        <v/>
      </c>
      <c r="K175" s="296">
        <f>IF(ChemClass="Acid",1/(1+10^(pH.s1-0.6-pKa)),IF(ChemClass="Base",1/(1+10^(pKa-4.5)),1))</f>
        <v>1</v>
      </c>
      <c r="L175" s="427">
        <f t="shared" si="12"/>
        <v>1</v>
      </c>
      <c r="M175" s="31" t="s">
        <v>297</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2">
      <c r="A176" s="3"/>
      <c r="B176" s="17"/>
      <c r="C176" s="17" t="s">
        <v>566</v>
      </c>
      <c r="D176" s="17"/>
      <c r="E176" s="17"/>
      <c r="F176" s="17"/>
      <c r="G176" s="38" t="s">
        <v>567</v>
      </c>
      <c r="H176" s="38" t="s">
        <v>296</v>
      </c>
      <c r="I176" s="573"/>
      <c r="J176" s="565" t="str">
        <f t="shared" si="13"/>
        <v/>
      </c>
      <c r="K176" s="296">
        <f>IF(ChemClass="Acid",1/(1+10^(pH.s1-pKa)),IF(ChemClass="Base",1/(1+10^(pKa-pH.s1)),1))</f>
        <v>1</v>
      </c>
      <c r="L176" s="427">
        <f t="shared" si="12"/>
        <v>1</v>
      </c>
      <c r="M176" s="31" t="s">
        <v>297</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2">
      <c r="A177" s="3"/>
      <c r="B177" s="17"/>
      <c r="C177" s="17" t="s">
        <v>568</v>
      </c>
      <c r="D177" s="17"/>
      <c r="E177" s="17"/>
      <c r="F177" s="17"/>
      <c r="G177" s="38" t="s">
        <v>569</v>
      </c>
      <c r="H177" s="38" t="s">
        <v>296</v>
      </c>
      <c r="I177" s="573"/>
      <c r="J177" s="565" t="str">
        <f t="shared" si="13"/>
        <v/>
      </c>
      <c r="K177" s="296">
        <f>IF(ChemClass="Acid",1/(1+10^(pH.s2-0.6-pKa)),IF(ChemClass="Base",1/(1+10^(pKa-4.5)),1))</f>
        <v>1</v>
      </c>
      <c r="L177" s="427">
        <f t="shared" si="12"/>
        <v>1</v>
      </c>
      <c r="M177" s="31" t="s">
        <v>297</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2">
      <c r="A178" s="3"/>
      <c r="B178" s="17"/>
      <c r="C178" s="17" t="s">
        <v>570</v>
      </c>
      <c r="D178" s="17"/>
      <c r="E178" s="17"/>
      <c r="F178" s="17"/>
      <c r="G178" s="38" t="s">
        <v>571</v>
      </c>
      <c r="H178" s="38" t="s">
        <v>296</v>
      </c>
      <c r="I178" s="573"/>
      <c r="J178" s="565" t="str">
        <f t="shared" si="13"/>
        <v/>
      </c>
      <c r="K178" s="296">
        <f>IF(ChemClass="Acid",1/(1+10^(pH.s2-pKa)),IF(ChemClass="Base",1/(1+10^(pKa-pH.s2)),1))</f>
        <v>1</v>
      </c>
      <c r="L178" s="427">
        <f t="shared" si="12"/>
        <v>1</v>
      </c>
      <c r="M178" s="31" t="s">
        <v>297</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2">
      <c r="A179" s="3"/>
      <c r="B179" s="17"/>
      <c r="C179" s="17" t="s">
        <v>572</v>
      </c>
      <c r="D179" s="17"/>
      <c r="E179" s="17"/>
      <c r="F179" s="17"/>
      <c r="G179" s="38" t="s">
        <v>573</v>
      </c>
      <c r="H179" s="38" t="s">
        <v>296</v>
      </c>
      <c r="I179" s="573"/>
      <c r="J179" s="565" t="str">
        <f t="shared" si="13"/>
        <v/>
      </c>
      <c r="K179" s="296">
        <f>IF(ChemClass="Acid",1/(1+10^(pH.s3-0.6-pKa)),IF(ChemClass="Base",1/(1+10^(pKa-4.5)),1))</f>
        <v>1</v>
      </c>
      <c r="L179" s="427">
        <f t="shared" si="12"/>
        <v>1</v>
      </c>
      <c r="M179" s="31" t="s">
        <v>297</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2">
      <c r="A180" s="3"/>
      <c r="B180" s="17"/>
      <c r="C180" s="17" t="s">
        <v>574</v>
      </c>
      <c r="D180" s="17"/>
      <c r="E180" s="17"/>
      <c r="F180" s="17"/>
      <c r="G180" s="38" t="s">
        <v>575</v>
      </c>
      <c r="H180" s="38" t="s">
        <v>296</v>
      </c>
      <c r="I180" s="573"/>
      <c r="J180" s="565" t="str">
        <f t="shared" si="13"/>
        <v/>
      </c>
      <c r="K180" s="296">
        <f>IF(ChemClass="Acid",1/(1+10^(pH.s3-pKa)),IF(ChemClass="Base",1/(1+10^(pKa-pH.s3)),1))</f>
        <v>1</v>
      </c>
      <c r="L180" s="427">
        <f t="shared" si="12"/>
        <v>1</v>
      </c>
      <c r="M180" s="31" t="s">
        <v>297</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2">
      <c r="A181" s="17"/>
      <c r="B181" s="17"/>
      <c r="C181" s="17" t="s">
        <v>576</v>
      </c>
      <c r="D181" s="17"/>
      <c r="E181" s="17"/>
      <c r="F181" s="17"/>
      <c r="G181" s="17" t="s">
        <v>577</v>
      </c>
      <c r="H181" s="17" t="s">
        <v>578</v>
      </c>
      <c r="I181" s="571"/>
      <c r="J181" s="565">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579</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2">
      <c r="A182" s="17"/>
      <c r="B182" s="38"/>
      <c r="C182" s="38" t="s">
        <v>580</v>
      </c>
      <c r="D182" s="17"/>
      <c r="E182" s="17"/>
      <c r="F182" s="17"/>
      <c r="G182" s="38" t="s">
        <v>581</v>
      </c>
      <c r="H182" s="38" t="s">
        <v>582</v>
      </c>
      <c r="I182" s="571"/>
      <c r="J182" s="565" t="str">
        <f>IF(HLOOKUP(CaseName,CaseData,ROW()-2,FALSE)="","",HLOOKUP(CaseName,CaseData,ROW()-2,FALSE))</f>
        <v/>
      </c>
      <c r="K182" s="405">
        <f>-3.82*LN(IF(Tm&gt;298,Pvap25*EXP(-6.79*(1-Tm/298)),Pvap25))+70</f>
        <v>380.93506746535149</v>
      </c>
      <c r="L182" s="155">
        <f>IF(ISBLANK(I182),IF(ISNUMBER(J182)=FALSE,K182*1000,J182*1000),I182*1000)</f>
        <v>380935.06746535149</v>
      </c>
      <c r="M182" s="146" t="s">
        <v>583</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2">
      <c r="A183" s="17"/>
      <c r="B183" s="38"/>
      <c r="C183" s="38" t="s">
        <v>584</v>
      </c>
      <c r="D183" s="17"/>
      <c r="E183" s="17"/>
      <c r="F183" s="17"/>
      <c r="G183" s="38" t="s">
        <v>585</v>
      </c>
      <c r="H183" s="38" t="s">
        <v>586</v>
      </c>
      <c r="I183" s="571"/>
      <c r="J183" s="565" t="str">
        <f>IF(HLOOKUP(CaseName,CaseData,ROW()-2,FALSE)="",IF(ISBLANK(VLOOKUP(ChemName,ChemData,MATCH("Sol25",substances!$3:$3,FALSE)-1,FALSE)),"",VLOOKUP(ChemName,ChemData,MATCH("Sol25",substances!$3:$3,FALSE)-1,FALSE)),HLOOKUP(CaseName,CaseData,ROW()-2,FALSE))</f>
        <v/>
      </c>
      <c r="K183" s="405">
        <f>10^(LOG(Kow)*-1.214+0.85)*(Molweight*1000000)</f>
        <v>22.393706874198525</v>
      </c>
      <c r="L183" s="155">
        <f>IF(ISBLANK(I183),IF(ISNUMBER(J183)=FALSE,K183/(1000*Molweight),J183/(1000*Molweight)),I183/(1000*Molweight))</f>
        <v>0.47277021711737127</v>
      </c>
      <c r="M183" s="38" t="s">
        <v>587</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2">
      <c r="A184" s="17"/>
      <c r="B184" s="38"/>
      <c r="C184" s="38" t="s">
        <v>588</v>
      </c>
      <c r="D184" s="17"/>
      <c r="E184" s="17"/>
      <c r="F184" s="17"/>
      <c r="G184" s="38" t="s">
        <v>589</v>
      </c>
      <c r="H184" s="38" t="s">
        <v>582</v>
      </c>
      <c r="I184" s="571"/>
      <c r="J184" s="565" t="str">
        <f>IF(HLOOKUP(CaseName,CaseData,ROW()-2,FALSE)="","",HLOOKUP(CaseName,CaseData,ROW()-2,FALSE))</f>
        <v/>
      </c>
      <c r="K184" s="405">
        <v>10</v>
      </c>
      <c r="L184" s="155">
        <f>IF(ISBLANK(I184),IF(ISNUMBER(J184)=FALSE,K184*1000,J184*1000),I184*1000)</f>
        <v>10000</v>
      </c>
      <c r="M184" s="146" t="s">
        <v>583</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2">
      <c r="A185" s="17"/>
      <c r="B185" s="17"/>
      <c r="C185" s="17" t="s">
        <v>590</v>
      </c>
      <c r="D185" s="17"/>
      <c r="E185" s="17"/>
      <c r="F185" s="17"/>
      <c r="G185" s="17" t="s">
        <v>591</v>
      </c>
      <c r="H185" s="17" t="s">
        <v>592</v>
      </c>
      <c r="I185" s="574"/>
      <c r="J185" s="565"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593</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2">
      <c r="A186" s="228"/>
      <c r="B186" s="228"/>
      <c r="C186" s="228"/>
      <c r="D186" s="228"/>
      <c r="E186" s="228"/>
      <c r="F186" s="228"/>
      <c r="G186" s="228"/>
      <c r="H186" s="228"/>
      <c r="I186" s="550"/>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2">
      <c r="A187" s="17"/>
      <c r="B187" s="758" t="s">
        <v>594</v>
      </c>
      <c r="C187" s="759"/>
      <c r="D187" s="759"/>
      <c r="E187" s="759"/>
      <c r="F187" s="759"/>
      <c r="G187" s="760"/>
      <c r="H187" s="591"/>
      <c r="I187" s="546" t="s">
        <v>595</v>
      </c>
      <c r="J187" s="546" t="s">
        <v>596</v>
      </c>
      <c r="K187" s="765" t="s">
        <v>597</v>
      </c>
      <c r="L187" s="765" t="s">
        <v>598</v>
      </c>
      <c r="M187" s="591"/>
      <c r="N187" s="17"/>
      <c r="O187" s="215"/>
      <c r="P187" s="215"/>
      <c r="Q187" s="11"/>
      <c r="R187" s="11"/>
      <c r="Z187" s="11"/>
      <c r="AA187" s="11"/>
      <c r="AB187" s="11"/>
      <c r="AC187" s="11"/>
      <c r="AD187" s="11"/>
      <c r="AE187" s="11"/>
      <c r="AF187" s="11"/>
      <c r="AG187" s="11"/>
      <c r="AH187" s="11"/>
    </row>
    <row r="188" spans="1:34" ht="12.75" customHeight="1" x14ac:dyDescent="0.2">
      <c r="A188" s="17"/>
      <c r="B188" s="17"/>
      <c r="C188" s="38" t="s">
        <v>531</v>
      </c>
      <c r="D188" s="38"/>
      <c r="E188" s="38"/>
      <c r="F188" s="38"/>
      <c r="G188" s="38"/>
      <c r="H188" s="38"/>
      <c r="I188" s="547">
        <f>1.26*Kow^0.81</f>
        <v>769.53792352546407</v>
      </c>
      <c r="J188" s="547">
        <f>1.26*Kow^0.81</f>
        <v>769.53792352546407</v>
      </c>
      <c r="K188" s="766">
        <f>MAX(IF(Pvap25&gt;100000,(100000/_Sol25)/(8.314*298),(Pvap25/_Sol25)/(8.314*298)),1E-20)</f>
        <v>9.9999999999999995E-21</v>
      </c>
      <c r="L188" s="766">
        <f>MAX(IF(Pvap25&gt;100000,(100000/_Sol25)/(8.314*298),(Pvap25/_Sol25)/(8.314*298)),1E-20)</f>
        <v>9.9999999999999995E-21</v>
      </c>
      <c r="M188" s="38" t="s">
        <v>297</v>
      </c>
      <c r="N188" s="17"/>
      <c r="O188" s="215"/>
      <c r="P188" s="215"/>
      <c r="Q188" s="11"/>
      <c r="R188" s="11"/>
      <c r="Z188" s="11"/>
      <c r="AA188" s="11"/>
      <c r="AB188" s="11"/>
      <c r="AC188" s="11"/>
      <c r="AD188" s="11"/>
      <c r="AE188" s="11"/>
      <c r="AF188" s="11"/>
      <c r="AG188" s="11"/>
      <c r="AH188" s="11"/>
    </row>
    <row r="189" spans="1:34" ht="12.75" customHeight="1" x14ac:dyDescent="0.2">
      <c r="A189" s="17"/>
      <c r="B189" s="17"/>
      <c r="C189" s="38" t="s">
        <v>599</v>
      </c>
      <c r="D189" s="38"/>
      <c r="E189" s="38"/>
      <c r="F189" s="38"/>
      <c r="G189" s="38"/>
      <c r="H189" s="38"/>
      <c r="I189" s="547">
        <f>10^(0.54*LOG(Kow)+1.11)</f>
        <v>927.34141263486231</v>
      </c>
      <c r="J189" s="547">
        <f>10^(0.11*LOG(Kow)+1.54)</f>
        <v>82.856502348910112</v>
      </c>
      <c r="K189" s="766">
        <f>MAX(IF(Pvap25&gt;100000,(100000/_Sol25)/(8.314*298),(Pvap25/_Sol25)/(8.314*298)),1E-20)</f>
        <v>9.9999999999999995E-21</v>
      </c>
      <c r="L189" s="766">
        <v>9.9999999999999995E-21</v>
      </c>
      <c r="M189" s="38" t="s">
        <v>297</v>
      </c>
      <c r="N189" s="17"/>
      <c r="O189" s="215"/>
      <c r="P189" s="215"/>
      <c r="Q189" s="11"/>
      <c r="R189" s="11"/>
      <c r="Z189" s="11"/>
      <c r="AA189" s="11"/>
      <c r="AB189" s="11"/>
      <c r="AC189" s="11"/>
      <c r="AD189" s="11"/>
      <c r="AE189" s="11"/>
      <c r="AF189" s="11"/>
      <c r="AG189" s="11"/>
      <c r="AH189" s="11"/>
    </row>
    <row r="190" spans="1:34" ht="12.75" customHeight="1" x14ac:dyDescent="0.2">
      <c r="A190" s="17"/>
      <c r="B190" s="17"/>
      <c r="C190" s="38" t="s">
        <v>600</v>
      </c>
      <c r="D190" s="38"/>
      <c r="E190" s="38"/>
      <c r="F190" s="38"/>
      <c r="G190" s="38"/>
      <c r="H190" s="38"/>
      <c r="I190" s="547">
        <f>10^(0.37*LOG(Kow)+1.7)</f>
        <v>938.75680179030144</v>
      </c>
      <c r="J190" s="548">
        <f>IF(pKa&gt;0,10^(pKa^0.65*(Kow/(1+Kow))^0.14),1)</f>
        <v>3486.1914541195038</v>
      </c>
      <c r="K190" s="766">
        <f>MAX(IF(Pvap25&gt;100000,(100000/_Sol25)/(8.314*298),(Pvap25/_Sol25)/(8.314*298)),1E-20)</f>
        <v>9.9999999999999995E-21</v>
      </c>
      <c r="L190" s="766">
        <v>9.9999999999999995E-21</v>
      </c>
      <c r="M190" s="38" t="s">
        <v>297</v>
      </c>
      <c r="N190" s="17"/>
      <c r="O190" s="215"/>
      <c r="P190" s="215"/>
      <c r="Q190" s="11"/>
      <c r="R190" s="11"/>
      <c r="Z190" s="11"/>
      <c r="AA190" s="11"/>
      <c r="AB190" s="11"/>
      <c r="AC190" s="11"/>
      <c r="AD190" s="11"/>
      <c r="AE190" s="11"/>
      <c r="AF190" s="11"/>
      <c r="AG190" s="11"/>
      <c r="AH190" s="11"/>
    </row>
    <row r="191" spans="1:34" ht="12.75" customHeight="1" x14ac:dyDescent="0.2">
      <c r="A191" s="17"/>
      <c r="B191" s="17"/>
      <c r="C191" s="38" t="s">
        <v>601</v>
      </c>
      <c r="D191" s="38"/>
      <c r="E191" s="38"/>
      <c r="F191" s="38"/>
      <c r="G191" s="38"/>
      <c r="H191" s="38"/>
      <c r="I191" s="547">
        <v>1000</v>
      </c>
      <c r="J191" s="547">
        <v>1000</v>
      </c>
      <c r="K191" s="766">
        <v>9.9999999999999995E-21</v>
      </c>
      <c r="L191" s="766">
        <v>9.9999999999999995E-21</v>
      </c>
      <c r="M191" s="38" t="s">
        <v>297</v>
      </c>
      <c r="N191" s="17"/>
      <c r="O191" s="215"/>
      <c r="P191" s="215"/>
      <c r="Q191" s="11"/>
      <c r="R191" s="11"/>
      <c r="Z191" s="11"/>
      <c r="AA191" s="11"/>
      <c r="AB191" s="11"/>
      <c r="AC191" s="11"/>
      <c r="AD191" s="11"/>
      <c r="AE191" s="11"/>
      <c r="AF191" s="11"/>
      <c r="AG191" s="11"/>
      <c r="AH191" s="11"/>
    </row>
    <row r="192" spans="1:34" ht="12.75" customHeight="1" x14ac:dyDescent="0.2">
      <c r="A192" s="17"/>
      <c r="B192" s="17"/>
      <c r="C192" s="38" t="s">
        <v>602</v>
      </c>
      <c r="D192" s="38"/>
      <c r="E192" s="38"/>
      <c r="F192" s="38"/>
      <c r="G192" s="38"/>
      <c r="H192" s="38"/>
      <c r="I192" s="547">
        <v>1000</v>
      </c>
      <c r="J192" s="547">
        <v>1000</v>
      </c>
      <c r="K192" s="766">
        <v>9.9999999999999995E-21</v>
      </c>
      <c r="L192" s="766">
        <v>9.9999999999999995E-21</v>
      </c>
      <c r="M192" s="38" t="s">
        <v>297</v>
      </c>
      <c r="N192" s="17"/>
      <c r="O192" s="215"/>
      <c r="P192" s="215"/>
      <c r="Q192" s="11"/>
      <c r="R192" s="11"/>
      <c r="Z192" s="11"/>
      <c r="AA192" s="11"/>
      <c r="AB192" s="11"/>
      <c r="AC192" s="11"/>
      <c r="AD192" s="11"/>
      <c r="AE192" s="11"/>
      <c r="AF192" s="11"/>
      <c r="AG192" s="11"/>
      <c r="AH192" s="11"/>
    </row>
    <row r="193" spans="1:18" ht="12.75" customHeight="1" x14ac:dyDescent="0.2">
      <c r="A193" s="17"/>
      <c r="B193" s="17"/>
      <c r="C193" s="38" t="s">
        <v>603</v>
      </c>
      <c r="D193" s="38"/>
      <c r="E193" s="38"/>
      <c r="F193" s="38"/>
      <c r="G193" s="38"/>
      <c r="H193" s="38"/>
      <c r="I193" s="547">
        <f>1.26*Kow^0.81</f>
        <v>769.53792352546407</v>
      </c>
      <c r="J193" s="547">
        <f>1.26*Kow^0.81</f>
        <v>769.53792352546407</v>
      </c>
      <c r="K193" s="766">
        <f t="shared" ref="K193:L211" si="14">MAX(IF(Pvap25&gt;100000,(100000/_Sol25)/(8.314*298),(Pvap25/_Sol25)/(8.314*298)),1E-20)</f>
        <v>9.9999999999999995E-21</v>
      </c>
      <c r="L193" s="766">
        <f t="shared" si="14"/>
        <v>9.9999999999999995E-21</v>
      </c>
      <c r="M193" s="38" t="s">
        <v>297</v>
      </c>
      <c r="N193" s="17"/>
      <c r="O193" s="215"/>
      <c r="P193" s="215"/>
      <c r="Q193" s="11"/>
      <c r="R193" s="11"/>
    </row>
    <row r="194" spans="1:18" ht="12.75" customHeight="1" x14ac:dyDescent="0.2">
      <c r="A194" s="17"/>
      <c r="B194" s="17"/>
      <c r="C194" s="38" t="s">
        <v>604</v>
      </c>
      <c r="D194" s="38"/>
      <c r="E194" s="38"/>
      <c r="F194" s="38"/>
      <c r="G194" s="38"/>
      <c r="H194" s="38"/>
      <c r="I194" s="547">
        <f>10.47*Kow^0.52</f>
        <v>643.2794569342941</v>
      </c>
      <c r="J194" s="547">
        <f>10.47*Kow^0.52</f>
        <v>643.2794569342941</v>
      </c>
      <c r="K194" s="766">
        <f t="shared" si="14"/>
        <v>9.9999999999999995E-21</v>
      </c>
      <c r="L194" s="766">
        <f t="shared" si="14"/>
        <v>9.9999999999999995E-21</v>
      </c>
      <c r="M194" s="38" t="s">
        <v>297</v>
      </c>
      <c r="N194" s="17"/>
      <c r="O194" s="215"/>
      <c r="P194" s="215"/>
      <c r="Q194" s="11"/>
      <c r="R194" s="11"/>
    </row>
    <row r="195" spans="1:18" ht="12.75" customHeight="1" x14ac:dyDescent="0.2">
      <c r="A195" s="17"/>
      <c r="B195" s="17"/>
      <c r="C195" s="38" t="s">
        <v>605</v>
      </c>
      <c r="D195" s="38"/>
      <c r="E195" s="38"/>
      <c r="F195" s="38"/>
      <c r="G195" s="38"/>
      <c r="H195" s="38"/>
      <c r="I195" s="547">
        <f>7.94*Kow^0.63</f>
        <v>1165.735707627505</v>
      </c>
      <c r="J195" s="547">
        <f>7.94*Kow^0.63</f>
        <v>1165.735707627505</v>
      </c>
      <c r="K195" s="766">
        <f t="shared" si="14"/>
        <v>9.9999999999999995E-21</v>
      </c>
      <c r="L195" s="766">
        <f t="shared" si="14"/>
        <v>9.9999999999999995E-21</v>
      </c>
      <c r="M195" s="38" t="s">
        <v>297</v>
      </c>
      <c r="N195" s="17"/>
      <c r="O195" s="215"/>
      <c r="P195" s="215"/>
      <c r="Q195" s="11"/>
      <c r="R195" s="11"/>
    </row>
    <row r="196" spans="1:18" ht="12.75" customHeight="1" x14ac:dyDescent="0.2">
      <c r="A196" s="17"/>
      <c r="B196" s="17"/>
      <c r="C196" s="38" t="s">
        <v>606</v>
      </c>
      <c r="D196" s="38"/>
      <c r="E196" s="38"/>
      <c r="F196" s="38"/>
      <c r="G196" s="38"/>
      <c r="H196" s="38"/>
      <c r="I196" s="547">
        <f>12.3*Kow^0.47</f>
        <v>508.61770925213585</v>
      </c>
      <c r="J196" s="547">
        <f>12.3*Kow^0.47</f>
        <v>508.61770925213585</v>
      </c>
      <c r="K196" s="766">
        <f t="shared" si="14"/>
        <v>9.9999999999999995E-21</v>
      </c>
      <c r="L196" s="766">
        <f t="shared" si="14"/>
        <v>9.9999999999999995E-21</v>
      </c>
      <c r="M196" s="38" t="s">
        <v>297</v>
      </c>
      <c r="N196" s="17"/>
      <c r="O196" s="215"/>
      <c r="P196" s="215"/>
      <c r="Q196" s="11"/>
      <c r="R196" s="11"/>
    </row>
    <row r="197" spans="1:18" ht="12.75" customHeight="1" x14ac:dyDescent="0.2">
      <c r="A197" s="17"/>
      <c r="B197" s="17"/>
      <c r="C197" s="38" t="s">
        <v>607</v>
      </c>
      <c r="D197" s="38"/>
      <c r="E197" s="38"/>
      <c r="F197" s="38"/>
      <c r="G197" s="38"/>
      <c r="H197" s="38"/>
      <c r="I197" s="547">
        <f>3.16*Kow^0.47</f>
        <v>130.66926514119913</v>
      </c>
      <c r="J197" s="547">
        <f>3.16*Kow^0.47</f>
        <v>130.66926514119913</v>
      </c>
      <c r="K197" s="766">
        <f t="shared" si="14"/>
        <v>9.9999999999999995E-21</v>
      </c>
      <c r="L197" s="766">
        <f t="shared" si="14"/>
        <v>9.9999999999999995E-21</v>
      </c>
      <c r="M197" s="38" t="s">
        <v>297</v>
      </c>
      <c r="N197" s="17"/>
      <c r="O197" s="215"/>
      <c r="P197" s="215"/>
      <c r="Q197" s="11"/>
      <c r="R197" s="11"/>
    </row>
    <row r="198" spans="1:18" ht="12.75" customHeight="1" x14ac:dyDescent="0.2">
      <c r="A198" s="17"/>
      <c r="B198" s="17"/>
      <c r="C198" s="38" t="s">
        <v>608</v>
      </c>
      <c r="D198" s="38"/>
      <c r="E198" s="38"/>
      <c r="F198" s="38"/>
      <c r="G198" s="38"/>
      <c r="H198" s="38"/>
      <c r="I198" s="547">
        <f>13.18*Kow^0.4</f>
        <v>313.07507103312889</v>
      </c>
      <c r="J198" s="547">
        <f>13.18*Kow^0.4</f>
        <v>313.07507103312889</v>
      </c>
      <c r="K198" s="766">
        <f t="shared" si="14"/>
        <v>9.9999999999999995E-21</v>
      </c>
      <c r="L198" s="766">
        <f t="shared" si="14"/>
        <v>9.9999999999999995E-21</v>
      </c>
      <c r="M198" s="38" t="s">
        <v>297</v>
      </c>
      <c r="N198" s="17"/>
      <c r="O198" s="215"/>
      <c r="P198" s="215"/>
      <c r="Q198" s="11"/>
      <c r="R198" s="11"/>
    </row>
    <row r="199" spans="1:18" ht="12.75" customHeight="1" x14ac:dyDescent="0.2">
      <c r="A199" s="17"/>
      <c r="B199" s="17"/>
      <c r="C199" s="38" t="s">
        <v>609</v>
      </c>
      <c r="D199" s="38"/>
      <c r="E199" s="38"/>
      <c r="F199" s="38"/>
      <c r="G199" s="38"/>
      <c r="H199" s="38"/>
      <c r="I199" s="547">
        <f>3.16*Kow^0.39</f>
        <v>69.346865117672706</v>
      </c>
      <c r="J199" s="547">
        <f>3.16*Kow^0.39</f>
        <v>69.346865117672706</v>
      </c>
      <c r="K199" s="766">
        <f t="shared" si="14"/>
        <v>9.9999999999999995E-21</v>
      </c>
      <c r="L199" s="766">
        <f t="shared" si="14"/>
        <v>9.9999999999999995E-21</v>
      </c>
      <c r="M199" s="38" t="s">
        <v>297</v>
      </c>
      <c r="N199" s="17"/>
      <c r="O199" s="215"/>
      <c r="P199" s="215"/>
      <c r="Q199" s="11"/>
      <c r="R199" s="11"/>
    </row>
    <row r="200" spans="1:18" ht="12.75" customHeight="1" x14ac:dyDescent="0.2">
      <c r="A200" s="17"/>
      <c r="B200" s="17"/>
      <c r="C200" s="38" t="s">
        <v>610</v>
      </c>
      <c r="D200" s="38"/>
      <c r="E200" s="38"/>
      <c r="F200" s="38"/>
      <c r="G200" s="38"/>
      <c r="H200" s="38"/>
      <c r="I200" s="547">
        <f>17.78*Kow^0.33</f>
        <v>242.61159085428193</v>
      </c>
      <c r="J200" s="547">
        <f>17.78*Kow^0.33</f>
        <v>242.61159085428193</v>
      </c>
      <c r="K200" s="766">
        <f t="shared" si="14"/>
        <v>9.9999999999999995E-21</v>
      </c>
      <c r="L200" s="766">
        <f t="shared" si="14"/>
        <v>9.9999999999999995E-21</v>
      </c>
      <c r="M200" s="38" t="s">
        <v>297</v>
      </c>
      <c r="N200" s="17"/>
      <c r="O200" s="215"/>
      <c r="P200" s="215"/>
      <c r="Q200" s="11"/>
      <c r="R200" s="11"/>
    </row>
    <row r="201" spans="1:18" ht="12.75" customHeight="1" x14ac:dyDescent="0.2">
      <c r="A201" s="17"/>
      <c r="B201" s="17"/>
      <c r="C201" s="38" t="s">
        <v>611</v>
      </c>
      <c r="D201" s="38"/>
      <c r="E201" s="38"/>
      <c r="F201" s="38"/>
      <c r="G201" s="38"/>
      <c r="H201" s="38"/>
      <c r="I201" s="547">
        <f>7.08*Kow^0.62</f>
        <v>960.32785896760947</v>
      </c>
      <c r="J201" s="547">
        <f>7.08*Kow^0.62</f>
        <v>960.32785896760947</v>
      </c>
      <c r="K201" s="766">
        <f t="shared" si="14"/>
        <v>9.9999999999999995E-21</v>
      </c>
      <c r="L201" s="766">
        <f t="shared" si="14"/>
        <v>9.9999999999999995E-21</v>
      </c>
      <c r="M201" s="38" t="s">
        <v>297</v>
      </c>
      <c r="N201" s="17"/>
      <c r="O201" s="215"/>
      <c r="P201" s="215"/>
      <c r="Q201" s="11"/>
      <c r="R201" s="11"/>
    </row>
    <row r="202" spans="1:18" ht="12.75" customHeight="1" x14ac:dyDescent="0.2">
      <c r="A202" s="17"/>
      <c r="B202" s="17"/>
      <c r="C202" s="38" t="s">
        <v>612</v>
      </c>
      <c r="D202" s="38"/>
      <c r="E202" s="38"/>
      <c r="F202" s="38"/>
      <c r="G202" s="38"/>
      <c r="H202" s="38"/>
      <c r="I202" s="547">
        <f>13.8*Kow^0.37</f>
        <v>258.48311759553962</v>
      </c>
      <c r="J202" s="547">
        <f>13.8*Kow^0.37</f>
        <v>258.48311759553962</v>
      </c>
      <c r="K202" s="766">
        <f t="shared" si="14"/>
        <v>9.9999999999999995E-21</v>
      </c>
      <c r="L202" s="766">
        <f t="shared" si="14"/>
        <v>9.9999999999999995E-21</v>
      </c>
      <c r="M202" s="38" t="s">
        <v>297</v>
      </c>
      <c r="N202" s="17"/>
      <c r="O202" s="215"/>
      <c r="P202" s="215"/>
      <c r="Q202" s="11"/>
      <c r="R202" s="11"/>
    </row>
    <row r="203" spans="1:18" ht="12.75" customHeight="1" x14ac:dyDescent="0.2">
      <c r="A203" s="17"/>
      <c r="B203" s="17"/>
      <c r="C203" s="38" t="s">
        <v>613</v>
      </c>
      <c r="D203" s="38"/>
      <c r="E203" s="38"/>
      <c r="F203" s="38"/>
      <c r="G203" s="38"/>
      <c r="H203" s="38"/>
      <c r="I203" s="547">
        <f>83.18*Kow^0.38</f>
        <v>1686.4184297860957</v>
      </c>
      <c r="J203" s="547">
        <f>83.18*Kow^0.38</f>
        <v>1686.4184297860957</v>
      </c>
      <c r="K203" s="766">
        <f t="shared" si="14"/>
        <v>9.9999999999999995E-21</v>
      </c>
      <c r="L203" s="766">
        <f t="shared" si="14"/>
        <v>9.9999999999999995E-21</v>
      </c>
      <c r="M203" s="38" t="s">
        <v>297</v>
      </c>
      <c r="N203" s="17"/>
      <c r="O203" s="215"/>
      <c r="P203" s="215"/>
      <c r="Q203" s="11"/>
      <c r="R203" s="11"/>
    </row>
    <row r="204" spans="1:18" ht="12.75" customHeight="1" x14ac:dyDescent="0.2">
      <c r="A204" s="17"/>
      <c r="B204" s="17"/>
      <c r="C204" s="38" t="s">
        <v>614</v>
      </c>
      <c r="D204" s="38"/>
      <c r="E204" s="38"/>
      <c r="F204" s="38"/>
      <c r="G204" s="38"/>
      <c r="H204" s="38"/>
      <c r="I204" s="547">
        <f>11.22*Kow^0.49</f>
        <v>543.58301344015683</v>
      </c>
      <c r="J204" s="547">
        <f>11.22*Kow^0.49</f>
        <v>543.58301344015683</v>
      </c>
      <c r="K204" s="766">
        <f t="shared" si="14"/>
        <v>9.9999999999999995E-21</v>
      </c>
      <c r="L204" s="766">
        <f t="shared" si="14"/>
        <v>9.9999999999999995E-21</v>
      </c>
      <c r="M204" s="38" t="s">
        <v>297</v>
      </c>
      <c r="N204" s="17"/>
      <c r="O204" s="215"/>
      <c r="P204" s="215"/>
      <c r="Q204" s="11"/>
      <c r="R204" s="11"/>
    </row>
    <row r="205" spans="1:18" ht="12.75" customHeight="1" x14ac:dyDescent="0.2">
      <c r="A205" s="17"/>
      <c r="B205" s="17"/>
      <c r="C205" s="38" t="s">
        <v>615</v>
      </c>
      <c r="D205" s="38"/>
      <c r="E205" s="38"/>
      <c r="F205" s="38"/>
      <c r="G205" s="38"/>
      <c r="H205" s="38"/>
      <c r="I205" s="547">
        <f>3.55*Kow^0.77</f>
        <v>1579.4814410691051</v>
      </c>
      <c r="J205" s="547">
        <f>3.55*Kow^0.77</f>
        <v>1579.4814410691051</v>
      </c>
      <c r="K205" s="766">
        <f t="shared" si="14"/>
        <v>9.9999999999999995E-21</v>
      </c>
      <c r="L205" s="766">
        <f t="shared" si="14"/>
        <v>9.9999999999999995E-21</v>
      </c>
      <c r="M205" s="38" t="s">
        <v>297</v>
      </c>
      <c r="N205" s="17"/>
      <c r="O205" s="215"/>
      <c r="P205" s="215"/>
      <c r="Q205" s="11"/>
      <c r="R205" s="11"/>
    </row>
    <row r="206" spans="1:18" ht="12.75" customHeight="1" x14ac:dyDescent="0.2">
      <c r="A206" s="17"/>
      <c r="B206" s="17"/>
      <c r="C206" s="38" t="s">
        <v>616</v>
      </c>
      <c r="D206" s="38"/>
      <c r="E206" s="38"/>
      <c r="F206" s="38"/>
      <c r="G206" s="38"/>
      <c r="H206" s="38"/>
      <c r="I206" s="547">
        <f>2.09*Kow^0.6</f>
        <v>241.96129621570552</v>
      </c>
      <c r="J206" s="547">
        <f>2.09*Kow^0.6</f>
        <v>241.96129621570552</v>
      </c>
      <c r="K206" s="766">
        <f t="shared" si="14"/>
        <v>9.9999999999999995E-21</v>
      </c>
      <c r="L206" s="766">
        <f t="shared" si="14"/>
        <v>9.9999999999999995E-21</v>
      </c>
      <c r="M206" s="38" t="s">
        <v>297</v>
      </c>
      <c r="N206" s="17"/>
      <c r="O206" s="215"/>
      <c r="P206" s="215"/>
      <c r="Q206" s="11"/>
      <c r="R206" s="11"/>
    </row>
    <row r="207" spans="1:18" ht="12.75" customHeight="1" x14ac:dyDescent="0.2">
      <c r="A207" s="17"/>
      <c r="B207" s="17"/>
      <c r="C207" s="38" t="s">
        <v>617</v>
      </c>
      <c r="D207" s="38"/>
      <c r="E207" s="38"/>
      <c r="F207" s="38"/>
      <c r="G207" s="38"/>
      <c r="H207" s="38"/>
      <c r="I207" s="547">
        <f>12.02*Kow^0.57</f>
        <v>1097.2967759034573</v>
      </c>
      <c r="J207" s="547">
        <f>12.02*Kow^0.57</f>
        <v>1097.2967759034573</v>
      </c>
      <c r="K207" s="766">
        <f t="shared" si="14"/>
        <v>9.9999999999999995E-21</v>
      </c>
      <c r="L207" s="766">
        <f t="shared" si="14"/>
        <v>9.9999999999999995E-21</v>
      </c>
      <c r="M207" s="38" t="s">
        <v>297</v>
      </c>
      <c r="N207" s="17"/>
      <c r="O207" s="215"/>
      <c r="P207" s="215"/>
      <c r="Q207" s="11"/>
      <c r="R207" s="11"/>
    </row>
    <row r="208" spans="1:18" ht="12.75" customHeight="1" x14ac:dyDescent="0.2">
      <c r="A208" s="17"/>
      <c r="B208" s="17"/>
      <c r="C208" s="38" t="s">
        <v>618</v>
      </c>
      <c r="D208" s="38"/>
      <c r="E208" s="38"/>
      <c r="F208" s="38"/>
      <c r="G208" s="38"/>
      <c r="H208" s="38"/>
      <c r="I208" s="547">
        <f>11.22*Kow^0.49</f>
        <v>543.58301344015683</v>
      </c>
      <c r="J208" s="547">
        <f>11.22*Kow^0.49</f>
        <v>543.58301344015683</v>
      </c>
      <c r="K208" s="766">
        <f t="shared" si="14"/>
        <v>9.9999999999999995E-21</v>
      </c>
      <c r="L208" s="766">
        <f t="shared" si="14"/>
        <v>9.9999999999999995E-21</v>
      </c>
      <c r="M208" s="38" t="s">
        <v>297</v>
      </c>
      <c r="N208" s="17"/>
      <c r="O208" s="215"/>
      <c r="P208" s="215"/>
      <c r="Q208" s="11"/>
      <c r="R208" s="11"/>
    </row>
    <row r="209" spans="1:34" ht="12.75" customHeight="1" x14ac:dyDescent="0.2">
      <c r="A209" s="17"/>
      <c r="B209" s="17"/>
      <c r="C209" s="38" t="s">
        <v>619</v>
      </c>
      <c r="D209" s="38"/>
      <c r="E209" s="38"/>
      <c r="F209" s="38"/>
      <c r="G209" s="38"/>
      <c r="H209" s="38"/>
      <c r="I209" s="547">
        <f>14.79*Kow^0.49</f>
        <v>716.54124498929764</v>
      </c>
      <c r="J209" s="547">
        <f>14.79*Kow^0.49</f>
        <v>716.54124498929764</v>
      </c>
      <c r="K209" s="766">
        <f t="shared" si="14"/>
        <v>9.9999999999999995E-21</v>
      </c>
      <c r="L209" s="766">
        <f t="shared" si="14"/>
        <v>9.9999999999999995E-21</v>
      </c>
      <c r="M209" s="38" t="s">
        <v>297</v>
      </c>
      <c r="N209" s="17"/>
      <c r="O209" s="215"/>
      <c r="P209" s="215"/>
      <c r="Q209" s="11"/>
      <c r="R209" s="11"/>
      <c r="Z209" s="11"/>
      <c r="AA209" s="11"/>
      <c r="AB209" s="11"/>
      <c r="AC209" s="11"/>
      <c r="AD209" s="11"/>
      <c r="AE209" s="11"/>
      <c r="AF209" s="11"/>
      <c r="AG209" s="11"/>
      <c r="AH209" s="11"/>
    </row>
    <row r="210" spans="1:34" ht="12.75" customHeight="1" x14ac:dyDescent="0.2">
      <c r="A210" s="17"/>
      <c r="B210" s="17"/>
      <c r="C210" s="38" t="s">
        <v>620</v>
      </c>
      <c r="D210" s="38"/>
      <c r="E210" s="38"/>
      <c r="F210" s="38"/>
      <c r="G210" s="38"/>
      <c r="H210" s="38"/>
      <c r="I210" s="547">
        <f>31.62*Kow^0.3</f>
        <v>340.22143634317268</v>
      </c>
      <c r="J210" s="547">
        <f>31.62*Kow^0.3</f>
        <v>340.22143634317268</v>
      </c>
      <c r="K210" s="766">
        <f t="shared" si="14"/>
        <v>9.9999999999999995E-21</v>
      </c>
      <c r="L210" s="766">
        <f t="shared" si="14"/>
        <v>9.9999999999999995E-21</v>
      </c>
      <c r="M210" s="38" t="s">
        <v>297</v>
      </c>
      <c r="N210" s="17"/>
      <c r="O210" s="215"/>
      <c r="P210" s="215"/>
      <c r="Q210" s="11"/>
      <c r="R210" s="11"/>
      <c r="Z210" s="11"/>
      <c r="AA210" s="11"/>
      <c r="AB210" s="11"/>
      <c r="AC210" s="11"/>
      <c r="AD210" s="11"/>
      <c r="AE210" s="11"/>
      <c r="AF210" s="11"/>
      <c r="AG210" s="11"/>
      <c r="AH210" s="11"/>
    </row>
    <row r="211" spans="1:34" ht="12.75" customHeight="1" x14ac:dyDescent="0.2">
      <c r="A211" s="17"/>
      <c r="B211" s="17"/>
      <c r="C211" s="591" t="s">
        <v>621</v>
      </c>
      <c r="D211" s="591"/>
      <c r="E211" s="591"/>
      <c r="F211" s="591"/>
      <c r="G211" s="591"/>
      <c r="H211" s="591"/>
      <c r="I211" s="549">
        <f>25.7*Kow^0.47</f>
        <v>1062.7215551040561</v>
      </c>
      <c r="J211" s="549">
        <f>25.7*Kow^0.47</f>
        <v>1062.7215551040561</v>
      </c>
      <c r="K211" s="767">
        <f t="shared" si="14"/>
        <v>9.9999999999999995E-21</v>
      </c>
      <c r="L211" s="767">
        <f t="shared" si="14"/>
        <v>9.9999999999999995E-21</v>
      </c>
      <c r="M211" s="591" t="s">
        <v>297</v>
      </c>
      <c r="N211" s="17"/>
      <c r="O211" s="215"/>
      <c r="P211" s="215"/>
      <c r="Q211" s="11"/>
      <c r="R211" s="11"/>
      <c r="Z211" s="11"/>
      <c r="AA211" s="11"/>
      <c r="AB211" s="11"/>
      <c r="AC211" s="11"/>
      <c r="AD211" s="11"/>
      <c r="AE211" s="11"/>
      <c r="AF211" s="11"/>
      <c r="AG211" s="11"/>
      <c r="AH211" s="11"/>
    </row>
    <row r="212" spans="1:34" ht="12.75" customHeight="1" x14ac:dyDescent="0.2">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2">
      <c r="A213" s="17"/>
      <c r="B213" s="38" t="s">
        <v>622</v>
      </c>
      <c r="C213" s="17"/>
      <c r="D213" s="146"/>
      <c r="E213" s="17"/>
      <c r="F213" s="17"/>
      <c r="G213" s="146" t="s">
        <v>623</v>
      </c>
      <c r="H213" s="38" t="s">
        <v>624</v>
      </c>
      <c r="I213" s="420"/>
      <c r="J213" s="569">
        <f>IF(HLOOKUP(CaseName,CaseData,MATCH($G213,cases!$G$3:$G$1232,0)-1,FALSE)="",IF(ISBLANK(VLOOKUP(ChemName,ChemData,MATCH(G213,substances!$3:$3,FALSE)-1,FALSE)),"",VLOOKUP(ChemName,ChemData,MATCH(G213,substances!$3:$3,FALSE)-1,FALSE)),HLOOKUP(CaseName,CaseData,MATCH($G213,cases!$G$3:$G$1232,0)-1,FALSE))</f>
        <v>9.9999999999999995E-21</v>
      </c>
      <c r="K213" s="405">
        <f>C.OHrad*k0.OHrad*EXP(-Ea.OHrad/(8.314*298))</f>
        <v>3.5063474584268925E-6</v>
      </c>
      <c r="L213" s="155">
        <f>IF(ISBLANK(I213), IF(ISNUMBER(J213)=FALSE, K213, J213), I213)</f>
        <v>9.9999999999999995E-21</v>
      </c>
      <c r="M213" s="38" t="s">
        <v>341</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2">
      <c r="A214" s="38"/>
      <c r="B214" s="17"/>
      <c r="C214" s="38" t="s">
        <v>625</v>
      </c>
      <c r="D214" s="17"/>
      <c r="E214" s="17"/>
      <c r="F214" s="17"/>
      <c r="G214" s="38" t="s">
        <v>626</v>
      </c>
      <c r="H214" s="38" t="s">
        <v>627</v>
      </c>
      <c r="I214" s="420"/>
      <c r="J214" s="569" t="str">
        <f>IF(HLOOKUP(CaseName,CaseData,MATCH($G214,cases!$G$3:$G$1232,0)-1,FALSE)="","",HLOOKUP(CaseName,CaseData,MATCH($G214,cases!$G$3:$G$1232,0)-1,FALSE))</f>
        <v/>
      </c>
      <c r="K214" s="405">
        <v>500000</v>
      </c>
      <c r="L214" s="155">
        <f>IF(ISBLANK(I214), IF(ISNUMBER(J214)=FALSE, K214, J214), I214)</f>
        <v>500000</v>
      </c>
      <c r="M214" s="38" t="s">
        <v>628</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2">
      <c r="A215" s="38"/>
      <c r="B215" s="17"/>
      <c r="C215" s="38" t="s">
        <v>629</v>
      </c>
      <c r="D215" s="17"/>
      <c r="E215" s="17"/>
      <c r="F215" s="17"/>
      <c r="G215" s="38" t="s">
        <v>630</v>
      </c>
      <c r="H215" s="38" t="s">
        <v>631</v>
      </c>
      <c r="I215" s="420"/>
      <c r="J215" s="569" t="str">
        <f>IF(HLOOKUP(CaseName,CaseData,MATCH($G215,cases!$G$3:$G$1232,0)-1,FALSE)="","",HLOOKUP(CaseName,CaseData,MATCH($G215,cases!$G$3:$G$1232,0)-1,FALSE))</f>
        <v/>
      </c>
      <c r="K215" s="405">
        <v>7.8999999999999999E-11</v>
      </c>
      <c r="L215" s="155">
        <f>IF(ISBLANK(I215), IF(ISNUMBER(J215)=FALSE, K215, J215), I215)</f>
        <v>7.8999999999999999E-11</v>
      </c>
      <c r="M215" s="38" t="s">
        <v>632</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2">
      <c r="A216" s="38"/>
      <c r="B216" s="17"/>
      <c r="C216" s="38" t="s">
        <v>633</v>
      </c>
      <c r="D216" s="17"/>
      <c r="E216" s="17"/>
      <c r="F216" s="17"/>
      <c r="G216" s="38" t="s">
        <v>634</v>
      </c>
      <c r="H216" s="38" t="s">
        <v>635</v>
      </c>
      <c r="I216" s="420"/>
      <c r="J216" s="569" t="str">
        <f>IF(HLOOKUP(CaseName,CaseData,MATCH($G216,cases!$G$3:$G$1232,0)-1,FALSE)="","",HLOOKUP(CaseName,CaseData,MATCH($G216,cases!$G$3:$G$1232,0)-1,FALSE))</f>
        <v/>
      </c>
      <c r="K216" s="405">
        <v>6</v>
      </c>
      <c r="L216" s="155">
        <f>IF(ISBLANK(I216),IF(ISNUMBER(J216)=FALSE,K216*1000,J216*1000),I216*1000)</f>
        <v>6000</v>
      </c>
      <c r="M216" s="38" t="s">
        <v>583</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2">
      <c r="A217" s="17"/>
      <c r="B217" s="38" t="s">
        <v>636</v>
      </c>
      <c r="C217" s="17"/>
      <c r="D217" s="146"/>
      <c r="E217" s="17"/>
      <c r="F217" s="17"/>
      <c r="G217" s="146" t="s">
        <v>637</v>
      </c>
      <c r="H217" s="38" t="s">
        <v>624</v>
      </c>
      <c r="I217" s="420"/>
      <c r="J217" s="569">
        <f>IF(HLOOKUP(CaseName,CaseData,MATCH($G217,cases!$G$3:$G$1232,0)-1,FALSE)="",IF(ISBLANK(VLOOKUP(ChemName,ChemData,MATCH(G217,substances!$3:$3,FALSE)-1,FALSE)),"",VLOOKUP(ChemName,ChemData,MATCH(G217,substances!$3:$3,FALSE)-1,FALSE)),HLOOKUP(CaseName,CaseData,MATCH($G217,cases!$G$3:$G$1232,0)-1,FALSE))</f>
        <v>9.9999999999999995E-21</v>
      </c>
      <c r="K217" s="405">
        <f>IF(biodeg="r",LN(2)/15*Q.10^(13/10),IF(biodeg="r-",LN(2)/50*Q.10^(13/10),IF(biodeg="i",LN(2)/150*Q.10^(13/10),1E-20)))/(3600*24)</f>
        <v>1.316920183599007E-7</v>
      </c>
      <c r="L217" s="155">
        <f t="shared" ref="L217:L222" si="15">IF(ISBLANK(I217), IF(ISNUMBER(J217)=FALSE, K217, J217), I217)</f>
        <v>9.9999999999999995E-21</v>
      </c>
      <c r="M217" s="38" t="s">
        <v>341</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2">
      <c r="A218" s="17"/>
      <c r="B218" s="17"/>
      <c r="C218" s="38" t="s">
        <v>638</v>
      </c>
      <c r="D218" s="17"/>
      <c r="E218" s="17"/>
      <c r="F218" s="17"/>
      <c r="G218" s="38" t="s">
        <v>639</v>
      </c>
      <c r="H218" s="38" t="s">
        <v>640</v>
      </c>
      <c r="I218" s="420"/>
      <c r="J218" s="569" t="str">
        <f>IF(HLOOKUP(CaseName,CaseData,MATCH($G218,cases!$G$3:$G$1232,0)-1,FALSE)="","",HLOOKUP(CaseName,CaseData,MATCH($G218,cases!$G$3:$G$1232,0)-1,FALSE))</f>
        <v/>
      </c>
      <c r="K218" s="428" t="s">
        <v>641</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2">
      <c r="A219" s="17"/>
      <c r="B219" s="17"/>
      <c r="C219" s="38" t="s">
        <v>642</v>
      </c>
      <c r="D219" s="146"/>
      <c r="E219" s="17"/>
      <c r="F219" s="17"/>
      <c r="G219" s="38" t="s">
        <v>643</v>
      </c>
      <c r="H219" s="38" t="s">
        <v>644</v>
      </c>
      <c r="I219" s="420"/>
      <c r="J219" s="569" t="str">
        <f>IF(HLOOKUP(CaseName,CaseData,MATCH($G219,cases!$G$3:$G$1232,0)-1,FALSE)="","",HLOOKUP(CaseName,CaseData,MATCH($G219,cases!$G$3:$G$1232,0)-1,FALSE))</f>
        <v/>
      </c>
      <c r="K219" s="405">
        <v>40000</v>
      </c>
      <c r="L219" s="155">
        <f t="shared" si="15"/>
        <v>40000</v>
      </c>
      <c r="M219" s="38" t="s">
        <v>645</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2">
      <c r="A220" s="17"/>
      <c r="B220" s="17"/>
      <c r="C220" s="17" t="s">
        <v>646</v>
      </c>
      <c r="D220" s="17"/>
      <c r="E220" s="17"/>
      <c r="F220" s="17"/>
      <c r="G220" s="38" t="s">
        <v>647</v>
      </c>
      <c r="H220" s="38" t="s">
        <v>296</v>
      </c>
      <c r="I220" s="420"/>
      <c r="J220" s="569" t="str">
        <f>IF(HLOOKUP(CaseName,CaseData,MATCH($G220,cases!$G$3:$G$1232,0)-1,FALSE)="","",HLOOKUP(CaseName,CaseData,MATCH($G220,cases!$G$3:$G$1232,0)-1,FALSE))</f>
        <v/>
      </c>
      <c r="K220" s="405">
        <v>2</v>
      </c>
      <c r="L220" s="155">
        <f t="shared" si="15"/>
        <v>2</v>
      </c>
      <c r="M220" s="38" t="s">
        <v>297</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2">
      <c r="A221" s="17"/>
      <c r="B221" s="38" t="s">
        <v>648</v>
      </c>
      <c r="C221" s="146"/>
      <c r="D221" s="146"/>
      <c r="E221" s="17"/>
      <c r="F221" s="17"/>
      <c r="G221" s="146" t="s">
        <v>649</v>
      </c>
      <c r="H221" s="38" t="s">
        <v>624</v>
      </c>
      <c r="I221" s="420"/>
      <c r="J221" s="569">
        <f>IF(HLOOKUP(CaseName,CaseData,MATCH($G221,cases!$G$3:$G$1232,0)-1,FALSE)="",IF(ISBLANK(VLOOKUP(ChemName,ChemData,MATCH(G221,substances!$3:$3,FALSE)-1,FALSE)),"",VLOOKUP(ChemName,ChemData,MATCH(G221,substances!$3:$3,FALSE)-1,FALSE)),HLOOKUP(CaseName,CaseData,MATCH($G221,cases!$G$3:$G$1232,0)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9.9999999999999995E-21</v>
      </c>
      <c r="M221" s="38" t="s">
        <v>341</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2">
      <c r="A222" s="17"/>
      <c r="B222" s="38" t="s">
        <v>650</v>
      </c>
      <c r="C222" s="146"/>
      <c r="D222" s="146"/>
      <c r="E222" s="17"/>
      <c r="F222" s="17"/>
      <c r="G222" s="146" t="s">
        <v>651</v>
      </c>
      <c r="H222" s="38" t="s">
        <v>624</v>
      </c>
      <c r="I222" s="420"/>
      <c r="J222" s="569">
        <f>IF(HLOOKUP(CaseName,CaseData,MATCH($G222,cases!$G$3:$G$1232,0)-1,FALSE)="",IF(ISBLANK(VLOOKUP(ChemName,ChemData,MATCH(G222,substances!$3:$3,FALSE)-1,FALSE)),"",VLOOKUP(ChemName,ChemData,MATCH(G222,substances!$3:$3,FALSE)-1,FALSE)),HLOOKUP(CaseName,CaseData,MATCH($G222,cases!$G$3:$G$1232,0)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9.9999999999999995E-21</v>
      </c>
      <c r="M222" s="38" t="s">
        <v>341</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2">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2">
      <c r="A224" s="147" t="s">
        <v>491</v>
      </c>
      <c r="B224" s="147"/>
      <c r="C224" s="147"/>
      <c r="D224" s="147"/>
      <c r="E224" s="147"/>
      <c r="F224" s="147"/>
      <c r="G224" s="148" t="s">
        <v>263</v>
      </c>
      <c r="H224" s="148" t="s">
        <v>279</v>
      </c>
      <c r="I224" s="331" t="s">
        <v>264</v>
      </c>
      <c r="J224" s="331" t="s">
        <v>280</v>
      </c>
      <c r="K224" s="331" t="s">
        <v>265</v>
      </c>
      <c r="L224" s="331" t="s">
        <v>266</v>
      </c>
      <c r="M224" s="147"/>
      <c r="N224" s="148" t="s">
        <v>267</v>
      </c>
      <c r="O224" s="215"/>
      <c r="P224" s="215"/>
      <c r="Q224" s="11"/>
      <c r="R224" s="11"/>
    </row>
    <row r="225" spans="1:34" s="26" customFormat="1" ht="12.75" customHeight="1" x14ac:dyDescent="0.2">
      <c r="A225" s="762"/>
      <c r="B225" s="38"/>
      <c r="C225" s="38"/>
      <c r="D225" s="17"/>
      <c r="E225" s="17"/>
      <c r="F225" s="17"/>
      <c r="G225" s="38"/>
      <c r="H225" s="38"/>
      <c r="I225" s="813"/>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2">
      <c r="A226" s="17"/>
      <c r="B226" s="761" t="s">
        <v>652</v>
      </c>
      <c r="C226" s="168"/>
      <c r="D226" s="168"/>
      <c r="E226" s="168"/>
      <c r="F226" s="168"/>
      <c r="G226" s="357"/>
      <c r="H226" s="357"/>
      <c r="I226" s="429"/>
      <c r="J226" s="896"/>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2">
      <c r="A227" s="762"/>
      <c r="B227" s="74" t="s">
        <v>63</v>
      </c>
      <c r="C227" s="17"/>
      <c r="D227" s="17"/>
      <c r="E227" s="17"/>
      <c r="F227" s="17"/>
      <c r="G227" s="38"/>
      <c r="H227" s="38"/>
      <c r="I227" s="299"/>
      <c r="J227" s="895"/>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2">
      <c r="A228" s="762"/>
      <c r="B228" s="38"/>
      <c r="C228" s="38" t="s">
        <v>492</v>
      </c>
      <c r="D228" s="17"/>
      <c r="E228" s="17"/>
      <c r="F228" s="17"/>
      <c r="G228" s="38" t="s">
        <v>653</v>
      </c>
      <c r="H228" s="38" t="s">
        <v>494</v>
      </c>
      <c r="I228" s="571"/>
      <c r="J228" s="425">
        <f>IF(HLOOKUP(CaseName,CaseData,MATCH($G228,cases!$G$3:$G$1232,0)-1,FALSE)="",IF(HLOOKUP(ScenarioName,ScenarioData,MATCH($G228,scenarios!$G$3:$G$144,0),FALSE)="","",HLOOKUP(ScenarioName,ScenarioData,MATCH($G228,scenarios!$G$3:$G$153,0),FALSE)),HLOOKUP(CaseName,CaseData,MATCH($G228,cases!$G$3:$G$1232,0)-1,FALSE))</f>
        <v>10000</v>
      </c>
      <c r="K228" s="165">
        <v>10000</v>
      </c>
      <c r="L228" s="155">
        <f t="shared" ref="L228:L234" si="16">IF(ISBLANK(I228),IF(ISNUMBER(J228)=FALSE,K228*1000/(Molweight*3600*24*365),J228*1000/(Molweight*3600*24*365)),I228*1000/(Molweight*3600*24*365))</f>
        <v>6.6944902535023516</v>
      </c>
      <c r="M228" s="38" t="s">
        <v>495</v>
      </c>
      <c r="N228" s="897"/>
      <c r="O228" s="215"/>
      <c r="P228" s="215"/>
      <c r="Q228" s="11">
        <f>HLOOKUP(ScenarioName,ScenarioData,MATCH($G228,scenarios!$G$3:$G$153,0),FALSE)</f>
        <v>10000</v>
      </c>
      <c r="R228" s="11"/>
      <c r="S228"/>
      <c r="T228"/>
      <c r="U228"/>
      <c r="V228"/>
      <c r="W228"/>
      <c r="X228"/>
      <c r="Y228"/>
      <c r="Z228" s="11"/>
      <c r="AA228" s="11"/>
      <c r="AB228" s="11"/>
      <c r="AC228" s="11"/>
      <c r="AD228" s="11"/>
      <c r="AE228" s="11"/>
      <c r="AF228" s="11"/>
      <c r="AG228" s="11"/>
      <c r="AH228" s="11"/>
    </row>
    <row r="229" spans="1:34" s="26" customFormat="1" ht="12.75" customHeight="1" x14ac:dyDescent="0.2">
      <c r="A229" s="762"/>
      <c r="B229" s="38"/>
      <c r="C229" s="38" t="s">
        <v>496</v>
      </c>
      <c r="D229" s="17"/>
      <c r="E229" s="17"/>
      <c r="F229" s="17"/>
      <c r="G229" s="38" t="s">
        <v>654</v>
      </c>
      <c r="H229" s="38" t="s">
        <v>494</v>
      </c>
      <c r="I229" s="571"/>
      <c r="J229" s="425">
        <f>IF(HLOOKUP(CaseName,CaseData,MATCH($G229,cases!$G$3:$G$1232,0)-1,FALSE)="",IF(HLOOKUP(ScenarioName,ScenarioData,MATCH($G229,scenarios!$G$3:$G$144,0),FALSE)="","",HLOOKUP(ScenarioName,ScenarioData,MATCH($G229,scenarios!$G$3:$G$153,0),FALSE)),HLOOKUP(CaseName,CaseData,MATCH($G229,cases!$G$3:$G$1232,0)-1,FALSE))</f>
        <v>0</v>
      </c>
      <c r="K229" s="165">
        <v>0</v>
      </c>
      <c r="L229" s="155">
        <f t="shared" si="16"/>
        <v>0</v>
      </c>
      <c r="M229" s="38" t="s">
        <v>495</v>
      </c>
      <c r="N229" s="897"/>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2">
      <c r="A230" s="762"/>
      <c r="B230" s="38"/>
      <c r="C230" s="38" t="s">
        <v>498</v>
      </c>
      <c r="D230" s="17"/>
      <c r="E230" s="17"/>
      <c r="F230" s="17"/>
      <c r="G230" s="38" t="s">
        <v>655</v>
      </c>
      <c r="H230" s="38" t="s">
        <v>494</v>
      </c>
      <c r="I230" s="571"/>
      <c r="J230" s="425">
        <f>IF(HLOOKUP(CaseName,CaseData,MATCH($G230,cases!$G$3:$G$1232,0)-1,FALSE)="",IF(HLOOKUP(ScenarioName,ScenarioData,MATCH($G230,scenarios!$G$3:$G$144,0),FALSE)="","",HLOOKUP(ScenarioName,ScenarioData,MATCH($G230,scenarios!$G$3:$G$153,0),FALSE)),HLOOKUP(CaseName,CaseData,MATCH($G230,cases!$G$3:$G$1232,0)-1,FALSE))</f>
        <v>10000</v>
      </c>
      <c r="K230" s="165">
        <v>10000</v>
      </c>
      <c r="L230" s="155">
        <f t="shared" si="16"/>
        <v>6.6944902535023516</v>
      </c>
      <c r="M230" s="38" t="s">
        <v>495</v>
      </c>
      <c r="N230" s="897"/>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2">
      <c r="A231" s="762"/>
      <c r="B231" s="38"/>
      <c r="C231" s="38" t="s">
        <v>500</v>
      </c>
      <c r="D231" s="17"/>
      <c r="E231" s="17"/>
      <c r="F231" s="17"/>
      <c r="G231" s="38" t="s">
        <v>656</v>
      </c>
      <c r="H231" s="38" t="s">
        <v>494</v>
      </c>
      <c r="I231" s="571"/>
      <c r="J231" s="425">
        <f>IF(HLOOKUP(CaseName,CaseData,MATCH($G231,cases!$G$3:$G$1232,0)-1,FALSE)="",IF(HLOOKUP(ScenarioName,ScenarioData,MATCH($G231,scenarios!$G$3:$G$144,0),FALSE)="","",HLOOKUP(ScenarioName,ScenarioData,MATCH($G231,scenarios!$G$3:$G$153,0),FALSE)),HLOOKUP(CaseName,CaseData,MATCH($G231,cases!$G$3:$G$1232,0)-1,FALSE))</f>
        <v>0</v>
      </c>
      <c r="K231" s="165">
        <v>0</v>
      </c>
      <c r="L231" s="155">
        <f t="shared" si="16"/>
        <v>0</v>
      </c>
      <c r="M231" s="38" t="s">
        <v>495</v>
      </c>
      <c r="N231" s="897"/>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2">
      <c r="A232" s="762"/>
      <c r="B232" s="38"/>
      <c r="C232" s="38" t="s">
        <v>502</v>
      </c>
      <c r="D232" s="17"/>
      <c r="E232" s="17"/>
      <c r="F232" s="17"/>
      <c r="G232" s="38" t="s">
        <v>657</v>
      </c>
      <c r="H232" s="38" t="s">
        <v>494</v>
      </c>
      <c r="I232" s="571"/>
      <c r="J232" s="425">
        <f>IF(HLOOKUP(CaseName,CaseData,MATCH($G232,cases!$G$3:$G$1232,0)-1,FALSE)="",IF(HLOOKUP(ScenarioName,ScenarioData,MATCH($G232,scenarios!$G$3:$G$144,0),FALSE)="","",HLOOKUP(ScenarioName,ScenarioData,MATCH($G232,scenarios!$G$3:$G$153,0),FALSE)),HLOOKUP(CaseName,CaseData,MATCH($G232,cases!$G$3:$G$1232,0)-1,FALSE))</f>
        <v>0</v>
      </c>
      <c r="K232" s="165">
        <v>0</v>
      </c>
      <c r="L232" s="155">
        <f t="shared" si="16"/>
        <v>0</v>
      </c>
      <c r="M232" s="38" t="s">
        <v>495</v>
      </c>
      <c r="N232" s="897"/>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2">
      <c r="A233" s="762"/>
      <c r="B233" s="38"/>
      <c r="C233" s="38" t="s">
        <v>504</v>
      </c>
      <c r="D233" s="17"/>
      <c r="E233" s="17"/>
      <c r="F233" s="17"/>
      <c r="G233" s="38" t="s">
        <v>658</v>
      </c>
      <c r="H233" s="38" t="s">
        <v>494</v>
      </c>
      <c r="I233" s="571"/>
      <c r="J233" s="425">
        <f>IF(HLOOKUP(CaseName,CaseData,MATCH($G233,cases!$G$3:$G$1232,0)-1,FALSE)="",IF(HLOOKUP(ScenarioName,ScenarioData,MATCH($G233,scenarios!$G$3:$G$144,0),FALSE)="","",HLOOKUP(ScenarioName,ScenarioData,MATCH($G233,scenarios!$G$3:$G$153,0),FALSE)),HLOOKUP(CaseName,CaseData,MATCH($G233,cases!$G$3:$G$1232,0)-1,FALSE))</f>
        <v>10000</v>
      </c>
      <c r="K233" s="165">
        <v>10000</v>
      </c>
      <c r="L233" s="155">
        <f t="shared" si="16"/>
        <v>6.6944902535023516</v>
      </c>
      <c r="M233" s="38" t="s">
        <v>495</v>
      </c>
      <c r="N233" s="897"/>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2">
      <c r="A234" s="762"/>
      <c r="B234" s="38"/>
      <c r="C234" s="38" t="s">
        <v>507</v>
      </c>
      <c r="D234" s="17"/>
      <c r="E234" s="17"/>
      <c r="F234" s="17"/>
      <c r="G234" s="38" t="s">
        <v>659</v>
      </c>
      <c r="H234" s="38" t="s">
        <v>494</v>
      </c>
      <c r="I234" s="571"/>
      <c r="J234" s="425">
        <f>IF(HLOOKUP(CaseName,CaseData,MATCH($G234,cases!$G$3:$G$1232,0)-1,FALSE)="",IF(HLOOKUP(ScenarioName,ScenarioData,MATCH($G234,scenarios!$G$3:$G$144,0),FALSE)="","",HLOOKUP(ScenarioName,ScenarioData,MATCH($G234,scenarios!$G$3:$G$153,0),FALSE)),HLOOKUP(CaseName,CaseData,MATCH($G234,cases!$G$3:$G$1232,0)-1,FALSE))</f>
        <v>0</v>
      </c>
      <c r="K234" s="165">
        <v>0</v>
      </c>
      <c r="L234" s="155">
        <f t="shared" si="16"/>
        <v>0</v>
      </c>
      <c r="M234" s="38" t="s">
        <v>495</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2">
      <c r="A235" s="762"/>
      <c r="B235" s="74" t="s">
        <v>216</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2">
      <c r="A236" s="762"/>
      <c r="B236" s="38"/>
      <c r="C236" s="38" t="s">
        <v>492</v>
      </c>
      <c r="D236" s="17"/>
      <c r="E236" s="17"/>
      <c r="F236" s="17"/>
      <c r="G236" s="38" t="s">
        <v>660</v>
      </c>
      <c r="H236" s="38" t="s">
        <v>494</v>
      </c>
      <c r="I236" s="571"/>
      <c r="J236" s="425">
        <f>IF(HLOOKUP(CaseName,CaseData,MATCH($G236,cases!$G$3:$G$1232,0)-1,FALSE)="",IF(HLOOKUP(ScenarioName,ScenarioData,MATCH($G236,scenarios!$G$3:$G$144,0),FALSE)="","",HLOOKUP(ScenarioName,ScenarioData,MATCH($G236,scenarios!$G$3:$G$153,0),FALSE)),HLOOKUP(CaseName,CaseData,MATCH($G236,cases!$G$3:$G$1232,0)-1,FALSE))</f>
        <v>0</v>
      </c>
      <c r="K236" s="165">
        <v>0</v>
      </c>
      <c r="L236" s="155">
        <f t="shared" ref="L236:L242" si="17">IF(ISBLANK(I236),IF(ISNUMBER(J236)=FALSE,K236*1000/(Molweight*3600*24*365),J236*1000/(Molweight*3600*24*365)),I236*1000/(Molweight*3600*24*365))</f>
        <v>0</v>
      </c>
      <c r="M236" s="38" t="s">
        <v>495</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2">
      <c r="A237" s="762"/>
      <c r="B237" s="38"/>
      <c r="C237" s="38" t="s">
        <v>496</v>
      </c>
      <c r="D237" s="17"/>
      <c r="E237" s="17"/>
      <c r="F237" s="17"/>
      <c r="G237" s="38" t="s">
        <v>661</v>
      </c>
      <c r="H237" s="38" t="s">
        <v>494</v>
      </c>
      <c r="I237" s="571"/>
      <c r="J237" s="425">
        <f>IF(HLOOKUP(CaseName,CaseData,MATCH($G237,cases!$G$3:$G$1232,0)-1,FALSE)="",IF(HLOOKUP(ScenarioName,ScenarioData,MATCH($G237,scenarios!$G$3:$G$144,0),FALSE)="","",HLOOKUP(ScenarioName,ScenarioData,MATCH($G237,scenarios!$G$3:$G$153,0),FALSE)),HLOOKUP(CaseName,CaseData,MATCH($G237,cases!$G$3:$G$1232,0)-1,FALSE))</f>
        <v>0</v>
      </c>
      <c r="K237" s="165">
        <v>0</v>
      </c>
      <c r="L237" s="155">
        <f t="shared" si="17"/>
        <v>0</v>
      </c>
      <c r="M237" s="38" t="s">
        <v>506</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2">
      <c r="A238" s="762"/>
      <c r="B238" s="38"/>
      <c r="C238" s="38" t="s">
        <v>498</v>
      </c>
      <c r="D238" s="17"/>
      <c r="E238" s="17"/>
      <c r="F238" s="17"/>
      <c r="G238" s="38" t="s">
        <v>662</v>
      </c>
      <c r="H238" s="38" t="s">
        <v>494</v>
      </c>
      <c r="I238" s="571"/>
      <c r="J238" s="425">
        <f>IF(HLOOKUP(CaseName,CaseData,MATCH($G238,cases!$G$3:$G$1232,0)-1,FALSE)="",IF(HLOOKUP(ScenarioName,ScenarioData,MATCH($G238,scenarios!$G$3:$G$144,0),FALSE)="","",HLOOKUP(ScenarioName,ScenarioData,MATCH($G238,scenarios!$G$3:$G$153,0),FALSE)),HLOOKUP(CaseName,CaseData,MATCH($G238,cases!$G$3:$G$1232,0)-1,FALSE))</f>
        <v>0</v>
      </c>
      <c r="K238" s="165">
        <v>0</v>
      </c>
      <c r="L238" s="155">
        <f t="shared" si="17"/>
        <v>0</v>
      </c>
      <c r="M238" s="38" t="s">
        <v>495</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2">
      <c r="A239" s="762"/>
      <c r="B239" s="38"/>
      <c r="C239" s="38" t="s">
        <v>500</v>
      </c>
      <c r="D239" s="17"/>
      <c r="E239" s="17"/>
      <c r="F239" s="17"/>
      <c r="G239" s="38" t="s">
        <v>663</v>
      </c>
      <c r="H239" s="38" t="s">
        <v>494</v>
      </c>
      <c r="I239" s="571"/>
      <c r="J239" s="425">
        <f>IF(HLOOKUP(CaseName,CaseData,MATCH($G239,cases!$G$3:$G$1232,0)-1,FALSE)="",IF(HLOOKUP(ScenarioName,ScenarioData,MATCH($G239,scenarios!$G$3:$G$144,0),FALSE)="","",HLOOKUP(ScenarioName,ScenarioData,MATCH($G239,scenarios!$G$3:$G$153,0),FALSE)),HLOOKUP(CaseName,CaseData,MATCH($G239,cases!$G$3:$G$1232,0)-1,FALSE))</f>
        <v>0</v>
      </c>
      <c r="K239" s="165">
        <v>0</v>
      </c>
      <c r="L239" s="155">
        <f t="shared" si="17"/>
        <v>0</v>
      </c>
      <c r="M239" s="38" t="s">
        <v>495</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2">
      <c r="A240" s="762"/>
      <c r="B240" s="38"/>
      <c r="C240" s="38" t="s">
        <v>502</v>
      </c>
      <c r="D240" s="17"/>
      <c r="E240" s="17"/>
      <c r="F240" s="17"/>
      <c r="G240" s="38" t="s">
        <v>664</v>
      </c>
      <c r="H240" s="38" t="s">
        <v>494</v>
      </c>
      <c r="I240" s="571"/>
      <c r="J240" s="425">
        <f>IF(HLOOKUP(CaseName,CaseData,MATCH($G240,cases!$G$3:$G$1232,0)-1,FALSE)="",IF(HLOOKUP(ScenarioName,ScenarioData,MATCH($G240,scenarios!$G$3:$G$144,0),FALSE)="","",HLOOKUP(ScenarioName,ScenarioData,MATCH($G240,scenarios!$G$3:$G$153,0),FALSE)),HLOOKUP(CaseName,CaseData,MATCH($G240,cases!$G$3:$G$1232,0)-1,FALSE))</f>
        <v>0</v>
      </c>
      <c r="K240" s="165">
        <v>0</v>
      </c>
      <c r="L240" s="155">
        <f t="shared" si="17"/>
        <v>0</v>
      </c>
      <c r="M240" s="38" t="s">
        <v>495</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2">
      <c r="A241" s="762"/>
      <c r="B241" s="38"/>
      <c r="C241" s="38" t="s">
        <v>504</v>
      </c>
      <c r="D241" s="17"/>
      <c r="E241" s="17"/>
      <c r="F241" s="17"/>
      <c r="G241" s="38" t="s">
        <v>665</v>
      </c>
      <c r="H241" s="38" t="s">
        <v>494</v>
      </c>
      <c r="I241" s="571"/>
      <c r="J241" s="425">
        <f>IF(HLOOKUP(CaseName,CaseData,MATCH($G241,cases!$G$3:$G$1232,0)-1,FALSE)="",IF(HLOOKUP(ScenarioName,ScenarioData,MATCH($G241,scenarios!$G$3:$G$144,0),FALSE)="","",HLOOKUP(ScenarioName,ScenarioData,MATCH($G241,scenarios!$G$3:$G$153,0),FALSE)),HLOOKUP(CaseName,CaseData,MATCH($G241,cases!$G$3:$G$1232,0)-1,FALSE))</f>
        <v>0</v>
      </c>
      <c r="K241" s="165">
        <v>0</v>
      </c>
      <c r="L241" s="155">
        <f t="shared" si="17"/>
        <v>0</v>
      </c>
      <c r="M241" s="38" t="s">
        <v>495</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2">
      <c r="A242" s="762"/>
      <c r="B242" s="38"/>
      <c r="C242" s="38" t="s">
        <v>507</v>
      </c>
      <c r="D242" s="17"/>
      <c r="E242" s="17"/>
      <c r="F242" s="17"/>
      <c r="G242" s="38" t="s">
        <v>666</v>
      </c>
      <c r="H242" s="38" t="s">
        <v>494</v>
      </c>
      <c r="I242" s="571"/>
      <c r="J242" s="425">
        <f>IF(HLOOKUP(CaseName,CaseData,MATCH($G242,cases!$G$3:$G$1232,0)-1,FALSE)="",IF(HLOOKUP(ScenarioName,ScenarioData,MATCH($G242,scenarios!$G$3:$G$144,0),FALSE)="","",HLOOKUP(ScenarioName,ScenarioData,MATCH($G242,scenarios!$G$3:$G$153,0),FALSE)),HLOOKUP(CaseName,CaseData,MATCH($G242,cases!$G$3:$G$1232,0)-1,FALSE))</f>
        <v>0</v>
      </c>
      <c r="K242" s="165">
        <v>0</v>
      </c>
      <c r="L242" s="155">
        <f t="shared" si="17"/>
        <v>0</v>
      </c>
      <c r="M242" s="38" t="s">
        <v>495</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2">
      <c r="A243" s="762"/>
      <c r="B243" s="74" t="s">
        <v>232</v>
      </c>
      <c r="C243" s="17"/>
      <c r="D243" s="17"/>
      <c r="E243" s="17"/>
      <c r="F243" s="17"/>
      <c r="G243" s="149"/>
      <c r="H243" s="38"/>
      <c r="I243" s="575"/>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2">
      <c r="A244" s="762"/>
      <c r="B244" s="38"/>
      <c r="C244" s="38" t="s">
        <v>492</v>
      </c>
      <c r="D244" s="17"/>
      <c r="E244" s="17"/>
      <c r="F244" s="17"/>
      <c r="G244" s="38" t="s">
        <v>667</v>
      </c>
      <c r="H244" s="38" t="s">
        <v>494</v>
      </c>
      <c r="I244" s="571"/>
      <c r="J244" s="425">
        <f>IF(HLOOKUP(CaseName,CaseData,MATCH($G244,cases!$G$3:$G$1232,0)-1,FALSE)="",IF(HLOOKUP(ScenarioName,ScenarioData,MATCH($G244,scenarios!$G$3:$G$144,0),FALSE)="","",HLOOKUP(ScenarioName,ScenarioData,MATCH($G244,scenarios!$G$3:$G$153,0),FALSE)),HLOOKUP(CaseName,CaseData,MATCH($G244,cases!$G$3:$G$1232,0)-1,FALSE))</f>
        <v>0</v>
      </c>
      <c r="K244" s="165">
        <v>0</v>
      </c>
      <c r="L244" s="155">
        <f>IF(ISBLANK(I244),IF(ISNUMBER(J244)=FALSE,K244*1000/(Molweight*3600*24*365),J244*1000/(Molweight*3600*24*365)),I244*1000/(Molweight*3600*24*365))</f>
        <v>0</v>
      </c>
      <c r="M244" s="38" t="s">
        <v>495</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2">
      <c r="A245" s="762"/>
      <c r="B245" s="38"/>
      <c r="C245" s="38" t="s">
        <v>517</v>
      </c>
      <c r="D245" s="17"/>
      <c r="E245" s="17"/>
      <c r="F245" s="17"/>
      <c r="G245" s="38" t="s">
        <v>668</v>
      </c>
      <c r="H245" s="38" t="s">
        <v>494</v>
      </c>
      <c r="I245" s="571"/>
      <c r="J245" s="425">
        <f>IF(HLOOKUP(CaseName,CaseData,MATCH($G245,cases!$G$3:$G$1232,0)-1,FALSE)="",IF(HLOOKUP(ScenarioName,ScenarioData,MATCH($G245,scenarios!$G$3:$G$144,0),FALSE)="","",HLOOKUP(ScenarioName,ScenarioData,MATCH($G245,scenarios!$G$3:$G$153,0),FALSE)),HLOOKUP(CaseName,CaseData,MATCH($G245,cases!$G$3:$G$1232,0)-1,FALSE))</f>
        <v>0</v>
      </c>
      <c r="K245" s="165">
        <v>0</v>
      </c>
      <c r="L245" s="155">
        <f>IF(ISBLANK(I245),IF(ISNUMBER(J245)=FALSE,K245*1000/(Molweight*3600*24*365),J245*1000/(Molweight*3600*24*365)),I245*1000/(Molweight*3600*24*365))</f>
        <v>0</v>
      </c>
      <c r="M245" s="38" t="s">
        <v>495</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2">
      <c r="A246" s="762"/>
      <c r="B246" s="38"/>
      <c r="C246" s="38" t="s">
        <v>519</v>
      </c>
      <c r="D246" s="17"/>
      <c r="E246" s="17"/>
      <c r="F246" s="17"/>
      <c r="G246" s="38" t="s">
        <v>669</v>
      </c>
      <c r="H246" s="38" t="s">
        <v>494</v>
      </c>
      <c r="I246" s="571"/>
      <c r="J246" s="425">
        <f>IF(HLOOKUP(CaseName,CaseData,MATCH($G246,cases!$G$3:$G$1232,0)-1,FALSE)="",IF(HLOOKUP(ScenarioName,ScenarioData,MATCH($G246,scenarios!$G$3:$G$144,0),FALSE)="","",HLOOKUP(ScenarioName,ScenarioData,MATCH($G246,scenarios!$G$3:$G$153,0),FALSE)),HLOOKUP(CaseName,CaseData,MATCH($G246,cases!$G$3:$G$1232,0)-1,FALSE))</f>
        <v>0</v>
      </c>
      <c r="K246" s="165">
        <v>0</v>
      </c>
      <c r="L246" s="155">
        <f>IF(ISBLANK(I246),IF(ISNUMBER(J246)=FALSE,K246*1000/(Molweight*3600*24*365),J246*1000/(Molweight*3600*24*365)),I246*1000/(Molweight*3600*24*365))</f>
        <v>0</v>
      </c>
      <c r="M246" s="17" t="s">
        <v>495</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2">
      <c r="A247" s="762"/>
      <c r="B247" s="3" t="s">
        <v>233</v>
      </c>
      <c r="C247" s="38"/>
      <c r="D247" s="17"/>
      <c r="E247" s="17"/>
      <c r="F247" s="17"/>
      <c r="G247" s="149"/>
      <c r="H247" s="38"/>
      <c r="I247" s="575"/>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2">
      <c r="A248" s="762"/>
      <c r="B248" s="38"/>
      <c r="C248" s="38" t="s">
        <v>492</v>
      </c>
      <c r="D248" s="17"/>
      <c r="E248" s="17"/>
      <c r="F248" s="17"/>
      <c r="G248" s="38" t="s">
        <v>670</v>
      </c>
      <c r="H248" s="38" t="s">
        <v>494</v>
      </c>
      <c r="I248" s="571"/>
      <c r="J248" s="425">
        <f>IF(HLOOKUP(CaseName,CaseData,MATCH($G248,cases!$G$3:$G$1232,0)-1,FALSE)="",IF(HLOOKUP(ScenarioName,ScenarioData,MATCH($G248,scenarios!$G$3:$G$144,0),FALSE)="","",HLOOKUP(ScenarioName,ScenarioData,MATCH($G248,scenarios!$G$3:$G$153,0),FALSE)),HLOOKUP(CaseName,CaseData,MATCH($G248,cases!$G$3:$G$1232,0)-1,FALSE))</f>
        <v>0</v>
      </c>
      <c r="K248" s="165">
        <v>0</v>
      </c>
      <c r="L248" s="155">
        <f>IF(ISBLANK(I248),IF(ISNUMBER(J248)=FALSE,K248*1000/(Molweight*3600*24*365),J248*1000/(Molweight*3600*24*365)),I248*1000/(Molweight*3600*24*365))</f>
        <v>0</v>
      </c>
      <c r="M248" s="38" t="s">
        <v>495</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2">
      <c r="A249" s="762"/>
      <c r="B249" s="38"/>
      <c r="C249" s="38" t="s">
        <v>517</v>
      </c>
      <c r="D249" s="17"/>
      <c r="E249" s="17"/>
      <c r="F249" s="17"/>
      <c r="G249" s="38" t="s">
        <v>671</v>
      </c>
      <c r="H249" s="38" t="s">
        <v>494</v>
      </c>
      <c r="I249" s="571"/>
      <c r="J249" s="425">
        <f>IF(HLOOKUP(CaseName,CaseData,MATCH($G249,cases!$G$3:$G$1232,0)-1,FALSE)="",IF(HLOOKUP(ScenarioName,ScenarioData,MATCH($G249,scenarios!$G$3:$G$144,0),FALSE)="","",HLOOKUP(ScenarioName,ScenarioData,MATCH($G249,scenarios!$G$3:$G$153,0),FALSE)),HLOOKUP(CaseName,CaseData,MATCH($G249,cases!$G$3:$G$1232,0)-1,FALSE))</f>
        <v>0</v>
      </c>
      <c r="K249" s="165">
        <v>0</v>
      </c>
      <c r="L249" s="155">
        <f>IF(ISBLANK(I249),IF(ISNUMBER(J249)=FALSE,K249*1000/(Molweight*3600*24*365),J249*1000/(Molweight*3600*24*365)),I249*1000/(Molweight*3600*24*365))</f>
        <v>0</v>
      </c>
      <c r="M249" s="38" t="s">
        <v>495</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2">
      <c r="A250" s="762"/>
      <c r="B250" s="38"/>
      <c r="C250" s="38" t="s">
        <v>519</v>
      </c>
      <c r="D250" s="17"/>
      <c r="E250" s="17"/>
      <c r="F250" s="17"/>
      <c r="G250" s="38" t="s">
        <v>672</v>
      </c>
      <c r="H250" s="38" t="s">
        <v>494</v>
      </c>
      <c r="I250" s="571"/>
      <c r="J250" s="425">
        <f>IF(HLOOKUP(CaseName,CaseData,MATCH($G250,cases!$G$3:$G$1232,0)-1,FALSE)="",IF(HLOOKUP(ScenarioName,ScenarioData,MATCH($G250,scenarios!$G$3:$G$144,0),FALSE)="","",HLOOKUP(ScenarioName,ScenarioData,MATCH($G250,scenarios!$G$3:$G$153,0),FALSE)),HLOOKUP(CaseName,CaseData,MATCH($G250,cases!$G$3:$G$1232,0)-1,FALSE))</f>
        <v>0</v>
      </c>
      <c r="K250" s="165">
        <v>0</v>
      </c>
      <c r="L250" s="155">
        <f>IF(ISBLANK(I250),IF(ISNUMBER(J250)=FALSE,K250*1000/(Molweight*3600*24*365),J250*1000/(Molweight*3600*24*365)),I250*1000/(Molweight*3600*24*365))</f>
        <v>0</v>
      </c>
      <c r="M250" s="17" t="s">
        <v>495</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2">
      <c r="A251" s="762"/>
      <c r="B251" s="74" t="s">
        <v>524</v>
      </c>
      <c r="C251" s="17"/>
      <c r="D251" s="17"/>
      <c r="E251" s="17"/>
      <c r="F251" s="17"/>
      <c r="G251" s="149"/>
      <c r="H251" s="38"/>
      <c r="I251" s="575"/>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2">
      <c r="A252" s="762"/>
      <c r="B252" s="38"/>
      <c r="C252" s="38" t="s">
        <v>492</v>
      </c>
      <c r="D252" s="17"/>
      <c r="E252" s="17"/>
      <c r="F252" s="17"/>
      <c r="G252" s="38" t="s">
        <v>673</v>
      </c>
      <c r="H252" s="38" t="s">
        <v>494</v>
      </c>
      <c r="I252" s="571"/>
      <c r="J252" s="425">
        <f>IF(HLOOKUP(CaseName,CaseData,MATCH($G252,cases!$G$3:$G$1232,0)-1,FALSE)="",IF(HLOOKUP(ScenarioName,ScenarioData,MATCH($G252,scenarios!$G$3:$G$144,0),FALSE)="","",HLOOKUP(ScenarioName,ScenarioData,MATCH($G252,scenarios!$G$3:$G$153,0),FALSE)),HLOOKUP(CaseName,CaseData,MATCH($G252,cases!$G$3:$G$1232,0)-1,FALSE))</f>
        <v>0</v>
      </c>
      <c r="K252" s="165">
        <v>0</v>
      </c>
      <c r="L252" s="155">
        <f>IF(ISBLANK(I252),IF(ISNUMBER(J252)=FALSE,K252*1000/(Molweight*3600*24*365),J252*1000/(Molweight*3600*24*365)),I252*1000/(Molweight*3600*24*365))</f>
        <v>0</v>
      </c>
      <c r="M252" s="38" t="s">
        <v>495</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2">
      <c r="A253" s="762"/>
      <c r="B253" s="38"/>
      <c r="C253" s="38" t="s">
        <v>517</v>
      </c>
      <c r="D253" s="17"/>
      <c r="E253" s="17"/>
      <c r="F253" s="17"/>
      <c r="G253" s="38" t="s">
        <v>674</v>
      </c>
      <c r="H253" s="38" t="s">
        <v>494</v>
      </c>
      <c r="I253" s="571"/>
      <c r="J253" s="425">
        <f>IF(HLOOKUP(CaseName,CaseData,MATCH($G253,cases!$G$3:$G$1232,0)-1,FALSE)="",IF(HLOOKUP(ScenarioName,ScenarioData,MATCH($G253,scenarios!$G$3:$G$144,0),FALSE)="","",HLOOKUP(ScenarioName,ScenarioData,MATCH($G253,scenarios!$G$3:$G$153,0),FALSE)),HLOOKUP(CaseName,CaseData,MATCH($G253,cases!$G$3:$G$1232,0)-1,FALSE))</f>
        <v>0</v>
      </c>
      <c r="K253" s="165">
        <v>0</v>
      </c>
      <c r="L253" s="155">
        <f>IF(ISBLANK(I253),IF(ISNUMBER(J253)=FALSE,K253*1000/(Molweight*3600*24*365),J253*1000/(Molweight*3600*24*365)),I253*1000/(Molweight*3600*24*365))</f>
        <v>0</v>
      </c>
      <c r="M253" s="38" t="s">
        <v>495</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2">
      <c r="A254" s="762"/>
      <c r="B254" s="38"/>
      <c r="C254" s="38" t="s">
        <v>519</v>
      </c>
      <c r="D254" s="17"/>
      <c r="E254" s="17"/>
      <c r="F254" s="17"/>
      <c r="G254" s="38" t="s">
        <v>675</v>
      </c>
      <c r="H254" s="38" t="s">
        <v>494</v>
      </c>
      <c r="I254" s="571"/>
      <c r="J254" s="425">
        <f>IF(HLOOKUP(CaseName,CaseData,MATCH($G254,cases!$G$3:$G$1232,0)-1,FALSE)="",IF(HLOOKUP(ScenarioName,ScenarioData,MATCH($G254,scenarios!$G$3:$G$144,0),FALSE)="","",HLOOKUP(ScenarioName,ScenarioData,MATCH($G254,scenarios!$G$3:$G$153,0),FALSE)),HLOOKUP(CaseName,CaseData,MATCH($G254,cases!$G$3:$G$1232,0)-1,FALSE))</f>
        <v>0</v>
      </c>
      <c r="K254" s="165">
        <v>0</v>
      </c>
      <c r="L254" s="155">
        <f>IF(ISBLANK(I254),IF(ISNUMBER(J254)=FALSE,K254*1000/(Molweight*3600*24*365),J254*1000/(Molweight*3600*24*365)),I254*1000/(Molweight*3600*24*365))</f>
        <v>0</v>
      </c>
      <c r="M254" s="17" t="s">
        <v>495</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2">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2">
      <c r="A256" s="148" t="s">
        <v>676</v>
      </c>
      <c r="B256" s="147"/>
      <c r="C256" s="147"/>
      <c r="D256" s="147"/>
      <c r="E256" s="147"/>
      <c r="F256" s="147"/>
      <c r="G256" s="148" t="s">
        <v>263</v>
      </c>
      <c r="H256" s="148" t="s">
        <v>279</v>
      </c>
      <c r="I256" s="331" t="s">
        <v>264</v>
      </c>
      <c r="J256" s="331" t="s">
        <v>280</v>
      </c>
      <c r="K256" s="331" t="s">
        <v>265</v>
      </c>
      <c r="L256" s="331" t="s">
        <v>266</v>
      </c>
      <c r="M256" s="147"/>
      <c r="N256" s="148" t="s">
        <v>267</v>
      </c>
      <c r="O256" s="271" t="s">
        <v>268</v>
      </c>
      <c r="P256" s="411" t="s">
        <v>269</v>
      </c>
      <c r="Q256" s="11"/>
      <c r="R256" s="11"/>
    </row>
    <row r="257" spans="1:34" s="26" customFormat="1" ht="12.75" customHeight="1" x14ac:dyDescent="0.2">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2">
      <c r="A258" s="3" t="s">
        <v>63</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2">
      <c r="A259" s="17"/>
      <c r="B259" s="17" t="s">
        <v>677</v>
      </c>
      <c r="C259" s="17"/>
      <c r="D259" s="17"/>
      <c r="E259" s="17"/>
      <c r="F259" s="17"/>
      <c r="G259" s="17" t="s">
        <v>678</v>
      </c>
      <c r="H259" s="146" t="s">
        <v>679</v>
      </c>
      <c r="I259" s="570"/>
      <c r="J259" s="425">
        <f>IF(HLOOKUP(CaseName,CaseData,MATCH($G259,cases!$G$3:$G$1232,0)-1,FALSE)="",IF(HLOOKUP(ScenarioName,ScenarioData,MATCH($G259,scenarios!$G$3:$G$144,0),FALSE)="","",HLOOKUP(ScenarioName,ScenarioData,MATCH($G259,scenarios!$G$3:$G$153,0),FALSE)),HLOOKUP(CaseName,CaseData,MATCH($G259,cases!$G$3:$G$1232,0)-1,FALSE))</f>
        <v>228570</v>
      </c>
      <c r="K259" s="405">
        <v>228570</v>
      </c>
      <c r="L259" s="155">
        <f>IF(ISBLANK(I259), IF(ISNUMBER(J259)=FALSE,K259*1000000,J259*1000000),I259*1000000)</f>
        <v>228570000000</v>
      </c>
      <c r="M259" s="38" t="s">
        <v>680</v>
      </c>
      <c r="N259" s="287">
        <f>ROW()-180</f>
        <v>79</v>
      </c>
      <c r="O259" s="215"/>
      <c r="P259" s="215"/>
      <c r="Q259" s="11">
        <f>MATCH($G259,scenarios!$G$3:$G$144,0)</f>
        <v>67</v>
      </c>
      <c r="R259" s="11"/>
      <c r="S259"/>
      <c r="T259"/>
      <c r="U259"/>
      <c r="V259"/>
      <c r="W259"/>
      <c r="X259"/>
      <c r="Y259"/>
      <c r="Z259" s="11"/>
      <c r="AA259" s="11"/>
      <c r="AB259" s="11"/>
      <c r="AC259" s="11"/>
      <c r="AD259" s="11"/>
      <c r="AE259" s="11"/>
      <c r="AF259" s="11"/>
      <c r="AG259" s="11"/>
      <c r="AH259" s="11"/>
    </row>
    <row r="260" spans="1:34" s="26" customFormat="1" ht="12.75" customHeight="1" x14ac:dyDescent="0.2">
      <c r="A260" s="17"/>
      <c r="B260" s="17" t="s">
        <v>681</v>
      </c>
      <c r="C260" s="17"/>
      <c r="D260" s="17"/>
      <c r="E260" s="17"/>
      <c r="F260" s="17"/>
      <c r="G260" s="17" t="s">
        <v>682</v>
      </c>
      <c r="H260" s="146" t="s">
        <v>679</v>
      </c>
      <c r="I260" s="570"/>
      <c r="J260" s="425">
        <f>IF(HLOOKUP(CaseName,CaseData,MATCH($G260,cases!$G$3:$G$1232,0)-1,FALSE)="",IF(HLOOKUP(ScenarioName,ScenarioData,MATCH($G260,scenarios!$G$3:$G$144,0),FALSE)="","",HLOOKUP(ScenarioName,ScenarioData,MATCH($G260,scenarios!$G$3:$G$153,0),FALSE)),HLOOKUP(CaseName,CaseData,MATCH($G260,cases!$G$3:$G$1232,0)-1,FALSE))</f>
        <v>1000</v>
      </c>
      <c r="K260" s="405">
        <v>1000</v>
      </c>
      <c r="L260" s="155">
        <f>IF(ISBLANK(I260), IF(ISNUMBER(J260)=FALSE,K260*1000000,J260*1000000),I260*1000000)</f>
        <v>1000000000</v>
      </c>
      <c r="M260" s="38" t="s">
        <v>680</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2">
      <c r="A261" s="17"/>
      <c r="B261" s="17" t="s">
        <v>683</v>
      </c>
      <c r="C261" s="17"/>
      <c r="D261" s="17"/>
      <c r="E261" s="17"/>
      <c r="F261" s="17"/>
      <c r="G261" s="17" t="s">
        <v>684</v>
      </c>
      <c r="H261" s="17" t="s">
        <v>297</v>
      </c>
      <c r="I261" s="571"/>
      <c r="J261" s="425">
        <f>IF(HLOOKUP(CaseName,CaseData,MATCH($G261,cases!$G$3:$G$1232,0)-1,FALSE)="",IF(HLOOKUP(ScenarioName,ScenarioData,MATCH($G261,scenarios!$G$3:$G$144,0),FALSE)="","",HLOOKUP(ScenarioName,ScenarioData,MATCH($G261,scenarios!$G$3:$G$153,0),FALSE)),HLOOKUP(CaseName,CaseData,MATCH($G261,cases!$G$3:$G$1232,0)-1,FALSE))</f>
        <v>2.5000000000000001E-3</v>
      </c>
      <c r="K261" s="405">
        <v>2.5000000000000001E-3</v>
      </c>
      <c r="L261" s="155">
        <f>IF(ISBLANK(I261), IF(ISNUMBER(J261)=FALSE,K261,J261),I261)</f>
        <v>2.5000000000000001E-3</v>
      </c>
      <c r="M261" s="38" t="s">
        <v>297</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2">
      <c r="A262" s="17"/>
      <c r="B262" s="17" t="s">
        <v>685</v>
      </c>
      <c r="C262" s="17"/>
      <c r="D262" s="17"/>
      <c r="E262" s="17"/>
      <c r="F262" s="17"/>
      <c r="G262" s="17" t="s">
        <v>686</v>
      </c>
      <c r="H262" s="17" t="s">
        <v>297</v>
      </c>
      <c r="I262" s="570"/>
      <c r="J262" s="425">
        <f>IF(HLOOKUP(CaseName,CaseData,MATCH($G262,cases!$G$3:$G$1232,0)-1,FALSE)="",IF(HLOOKUP(ScenarioName,ScenarioData,MATCH($G262,scenarios!$G$3:$G$144,0),FALSE)="","",HLOOKUP(ScenarioName,ScenarioData,MATCH($G262,scenarios!$G$3:$G$153,0),FALSE)),HLOOKUP(CaseName,CaseData,MATCH($G262,cases!$G$3:$G$1232,0)-1,FALSE))</f>
        <v>2.75E-2</v>
      </c>
      <c r="K262" s="405">
        <v>2.75E-2</v>
      </c>
      <c r="L262" s="155">
        <f>IF(ISBLANK(I262), IF(ISNUMBER(J262)=FALSE,K262,J262),I262)</f>
        <v>2.75E-2</v>
      </c>
      <c r="M262" s="38" t="s">
        <v>297</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2">
      <c r="A263" s="17"/>
      <c r="B263" s="17" t="s">
        <v>687</v>
      </c>
      <c r="C263" s="17"/>
      <c r="D263" s="17"/>
      <c r="E263" s="17"/>
      <c r="F263" s="17"/>
      <c r="G263" s="17" t="s">
        <v>688</v>
      </c>
      <c r="H263" s="17" t="s">
        <v>297</v>
      </c>
      <c r="I263" s="570"/>
      <c r="J263" s="425">
        <f>IF(HLOOKUP(CaseName,CaseData,MATCH($G263,cases!$G$3:$G$1232,0)-1,FALSE)="",IF(HLOOKUP(ScenarioName,ScenarioData,MATCH($G263,scenarios!$G$3:$G$144,0),FALSE)="","",HLOOKUP(ScenarioName,ScenarioData,MATCH($G263,scenarios!$G$3:$G$153,0),FALSE)),HLOOKUP(CaseName,CaseData,MATCH($G263,cases!$G$3:$G$1232,0)-1,FALSE))</f>
        <v>0.27</v>
      </c>
      <c r="K263" s="405">
        <v>0.27</v>
      </c>
      <c r="L263" s="155">
        <f>IF(ISBLANK(I263), IF(ISNUMBER(J263)=FALSE,K263,J263),I263)</f>
        <v>0.27</v>
      </c>
      <c r="M263" s="38" t="s">
        <v>297</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2">
      <c r="A264" s="17"/>
      <c r="B264" s="17" t="s">
        <v>689</v>
      </c>
      <c r="C264" s="17"/>
      <c r="D264" s="17"/>
      <c r="E264" s="17"/>
      <c r="F264" s="17"/>
      <c r="G264" s="17" t="s">
        <v>690</v>
      </c>
      <c r="H264" s="17" t="s">
        <v>297</v>
      </c>
      <c r="I264" s="571"/>
      <c r="J264" s="425">
        <f>IF(HLOOKUP(CaseName,CaseData,MATCH($G264,cases!$G$3:$G$1232,0)-1,FALSE)="",IF(HLOOKUP(ScenarioName,ScenarioData,MATCH($G264,scenarios!$G$3:$G$144,0),FALSE)="","",HLOOKUP(ScenarioName,ScenarioData,MATCH($G264,scenarios!$G$3:$G$153,0),FALSE)),HLOOKUP(CaseName,CaseData,MATCH($G264,cases!$G$3:$G$1232,0)-1,FALSE))</f>
        <v>0.6</v>
      </c>
      <c r="K264" s="405">
        <v>0.6</v>
      </c>
      <c r="L264" s="155">
        <f>IF(ISBLANK(I264), IF(ISNUMBER(J264)=FALSE,K264,J264),I264)</f>
        <v>0.6</v>
      </c>
      <c r="M264" s="38" t="s">
        <v>297</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2">
      <c r="A265" s="17"/>
      <c r="B265" s="17" t="s">
        <v>691</v>
      </c>
      <c r="C265" s="17"/>
      <c r="D265" s="17"/>
      <c r="E265" s="17"/>
      <c r="F265" s="17"/>
      <c r="G265" s="17" t="s">
        <v>692</v>
      </c>
      <c r="H265" s="17" t="s">
        <v>297</v>
      </c>
      <c r="I265" s="571"/>
      <c r="J265" s="425">
        <f>IF(HLOOKUP(CaseName,CaseData,MATCH($G265,cases!$G$3:$G$1232,0)-1,FALSE)="",IF(HLOOKUP(ScenarioName,ScenarioData,MATCH($G265,scenarios!$G$3:$G$144,0),FALSE)="","",HLOOKUP(ScenarioName,ScenarioData,MATCH($G265,scenarios!$G$3:$G$153,0),FALSE)),HLOOKUP(CaseName,CaseData,MATCH($G265,cases!$G$3:$G$1232,0)-1,FALSE))</f>
        <v>0.1</v>
      </c>
      <c r="K265" s="405">
        <v>0.1</v>
      </c>
      <c r="L265" s="155">
        <f>IF(ISBLANK(I265), IF(ISNUMBER(J265)=FALSE,K265,J265),I265)</f>
        <v>0.1</v>
      </c>
      <c r="M265" s="38" t="s">
        <v>297</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2">
      <c r="A266" s="17"/>
      <c r="B266" s="17" t="s">
        <v>693</v>
      </c>
      <c r="C266" s="17"/>
      <c r="D266" s="17"/>
      <c r="E266" s="17"/>
      <c r="F266" s="17"/>
      <c r="G266" s="17" t="s">
        <v>694</v>
      </c>
      <c r="H266" s="17" t="s">
        <v>592</v>
      </c>
      <c r="I266" s="570"/>
      <c r="J266" s="425">
        <f>IF(HLOOKUP(CaseName,CaseData,MATCH($G266,cases!$G$3:$G$1232,0)-1,FALSE)="",IF(HLOOKUP(ScenarioName,ScenarioData,MATCH($G266,scenarios!$G$3:$G$144,0),FALSE)="","",HLOOKUP(ScenarioName,ScenarioData,MATCH($G266,scenarios!$G$3:$G$153,0),FALSE)),HLOOKUP(CaseName,CaseData,MATCH($G266,cases!$G$3:$G$1232,0)-1,FALSE))</f>
        <v>12</v>
      </c>
      <c r="K266" s="405">
        <v>12</v>
      </c>
      <c r="L266" s="155">
        <f>IF(ISBLANK(I266), IF(ISNUMBER(J266)=FALSE,K266+273,J266+273),I266+273)</f>
        <v>285</v>
      </c>
      <c r="M266" s="38" t="s">
        <v>593</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2">
      <c r="A267" s="228"/>
      <c r="B267" s="228" t="s">
        <v>695</v>
      </c>
      <c r="C267" s="228"/>
      <c r="D267" s="228"/>
      <c r="E267" s="228"/>
      <c r="F267" s="228"/>
      <c r="G267" s="228" t="s">
        <v>696</v>
      </c>
      <c r="H267" s="228" t="s">
        <v>697</v>
      </c>
      <c r="I267" s="570"/>
      <c r="J267" s="425">
        <f>IF(HLOOKUP(CaseName,CaseData,MATCH($G267,cases!$G$3:$G$1232,0)-1,FALSE)="",IF(HLOOKUP(ScenarioName,ScenarioData,MATCH($G267,scenarios!$G$3:$G$144,0),FALSE)="","",HLOOKUP(ScenarioName,ScenarioData,MATCH($G267,scenarios!$G$3:$G$153,0),FALSE)),HLOOKUP(CaseName,CaseData,MATCH($G267,cases!$G$3:$G$1232,0)-1,FALSE))</f>
        <v>3</v>
      </c>
      <c r="K267" s="407">
        <v>3</v>
      </c>
      <c r="L267" s="423">
        <f>IF(ISBLANK(I267), IF(ISNUMBER(J267)=FALSE,K267,J267),I267)</f>
        <v>3</v>
      </c>
      <c r="M267" s="216" t="s">
        <v>697</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2">
      <c r="A268" s="17"/>
      <c r="B268" s="17" t="s">
        <v>698</v>
      </c>
      <c r="C268" s="17"/>
      <c r="D268" s="17"/>
      <c r="E268" s="17"/>
      <c r="F268" s="17"/>
      <c r="G268" s="17" t="s">
        <v>699</v>
      </c>
      <c r="H268" s="17" t="s">
        <v>700</v>
      </c>
      <c r="I268" s="570"/>
      <c r="J268" s="425">
        <f>IF(HLOOKUP(CaseName,CaseData,MATCH($G268,cases!$G$3:$G$1232,0)-1,FALSE)="",IF(HLOOKUP(ScenarioName,ScenarioData,MATCH($G268,scenarios!$G$3:$G$144,0),FALSE)="","",HLOOKUP(ScenarioName,ScenarioData,MATCH($G268,scenarios!$G$3:$G$153,0),FALSE)),HLOOKUP(CaseName,CaseData,MATCH($G268,cases!$G$3:$G$1232,0)-1,FALSE))</f>
        <v>700</v>
      </c>
      <c r="K268" s="405">
        <v>700</v>
      </c>
      <c r="L268" s="155">
        <f>IF(ISBLANK(I268),IF(ISNUMBER(J268)=FALSE,K268/1000/(3600*24*365),J268/1000/(3600*24*365)),I268/1000/(3600*24*365))</f>
        <v>2.219685438863521E-8</v>
      </c>
      <c r="M268" s="38" t="s">
        <v>697</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2">
      <c r="A269" s="17"/>
      <c r="B269" s="17" t="s">
        <v>701</v>
      </c>
      <c r="C269" s="17"/>
      <c r="D269" s="17"/>
      <c r="E269" s="17"/>
      <c r="F269" s="17"/>
      <c r="G269" s="17" t="s">
        <v>702</v>
      </c>
      <c r="H269" s="17" t="s">
        <v>284</v>
      </c>
      <c r="I269" s="571"/>
      <c r="J269" s="425">
        <f>IF(HLOOKUP(CaseName,CaseData,MATCH($G269,cases!$G$3:$G$1232,0)-1,FALSE)="",IF(HLOOKUP(ScenarioName,ScenarioData,MATCH($G269,scenarios!$G$3:$G$144,0),FALSE)="","",HLOOKUP(ScenarioName,ScenarioData,MATCH($G269,scenarios!$G$3:$G$153,0),FALSE)),HLOOKUP(CaseName,CaseData,MATCH($G269,cases!$G$3:$G$1232,0)-1,FALSE))</f>
        <v>100</v>
      </c>
      <c r="K269" s="405">
        <v>100</v>
      </c>
      <c r="L269" s="155">
        <f>IF(ISBLANK(I269), IF(ISNUMBER(J269)=FALSE,K269,J269),I269)</f>
        <v>100</v>
      </c>
      <c r="M269" s="38" t="s">
        <v>284</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2">
      <c r="A270" s="17"/>
      <c r="B270" s="17" t="s">
        <v>703</v>
      </c>
      <c r="C270" s="17"/>
      <c r="D270" s="17"/>
      <c r="E270" s="17"/>
      <c r="F270" s="17"/>
      <c r="G270" s="17" t="s">
        <v>704</v>
      </c>
      <c r="H270" s="17" t="s">
        <v>284</v>
      </c>
      <c r="I270" s="570"/>
      <c r="J270" s="425">
        <f>IF(HLOOKUP(CaseName,CaseData,MATCH($G270,cases!$G$3:$G$1232,0)-1,FALSE)="",IF(HLOOKUP(ScenarioName,ScenarioData,MATCH($G270,scenarios!$G$3:$G$144,0),FALSE)="","",HLOOKUP(ScenarioName,ScenarioData,MATCH($G270,scenarios!$G$3:$G$153,0),FALSE)),HLOOKUP(CaseName,CaseData,MATCH($G270,cases!$G$3:$G$1232,0)-1,FALSE))</f>
        <v>3</v>
      </c>
      <c r="K270" s="405">
        <v>3</v>
      </c>
      <c r="L270" s="155">
        <f>IF(ISBLANK(I270), IF(ISNUMBER(J270)=FALSE,K270,J270),I270)</f>
        <v>3</v>
      </c>
      <c r="M270" s="38" t="s">
        <v>284</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2">
      <c r="A271" s="17"/>
      <c r="B271" s="17" t="s">
        <v>705</v>
      </c>
      <c r="C271" s="17"/>
      <c r="D271" s="17"/>
      <c r="E271" s="17"/>
      <c r="F271" s="17"/>
      <c r="G271" s="17" t="s">
        <v>706</v>
      </c>
      <c r="H271" s="17" t="s">
        <v>297</v>
      </c>
      <c r="I271" s="571"/>
      <c r="J271" s="425">
        <f>IF(HLOOKUP(CaseName,CaseData,MATCH($G271,cases!$G$3:$G$1232,0)-1,FALSE)="",IF(HLOOKUP(ScenarioName,ScenarioData,MATCH($G271,scenarios!$G$3:$G$144,0),FALSE)="","",HLOOKUP(ScenarioName,ScenarioData,MATCH($G271,scenarios!$G$3:$G$153,0),FALSE)),HLOOKUP(CaseName,CaseData,MATCH($G271,cases!$G$3:$G$1232,0)-1,FALSE))</f>
        <v>0</v>
      </c>
      <c r="K271" s="405">
        <v>0</v>
      </c>
      <c r="L271" s="155">
        <f>IF(ISBLANK(I271), IF(ISNUMBER(J271)=FALSE,K271,J271),I271)</f>
        <v>0</v>
      </c>
      <c r="M271" s="38" t="s">
        <v>297</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2">
      <c r="A272" s="17"/>
      <c r="B272" s="17" t="s">
        <v>707</v>
      </c>
      <c r="C272" s="17"/>
      <c r="D272" s="17"/>
      <c r="E272" s="17"/>
      <c r="F272" s="17"/>
      <c r="G272" s="17" t="s">
        <v>708</v>
      </c>
      <c r="H272" s="17" t="s">
        <v>297</v>
      </c>
      <c r="I272" s="570"/>
      <c r="J272" s="425">
        <f>IF(HLOOKUP(CaseName,CaseData,MATCH($G272,cases!$G$3:$G$1232,0)-1,FALSE)="",IF(HLOOKUP(ScenarioName,ScenarioData,MATCH($G272,scenarios!$G$3:$G$144,0),FALSE)="","",HLOOKUP(ScenarioName,ScenarioData,MATCH($G272,scenarios!$G$3:$G$153,0),FALSE)),HLOOKUP(CaseName,CaseData,MATCH($G272,cases!$G$3:$G$1232,0)-1,FALSE))</f>
        <v>0.25</v>
      </c>
      <c r="K272" s="405">
        <v>0.25</v>
      </c>
      <c r="L272" s="155">
        <f>IF(ISBLANK(I272), IF(ISNUMBER(J272)=FALSE,K272,J272),I272)</f>
        <v>0.25</v>
      </c>
      <c r="M272" s="38" t="s">
        <v>297</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2">
      <c r="A273" s="17"/>
      <c r="B273" s="17" t="s">
        <v>709</v>
      </c>
      <c r="C273" s="17"/>
      <c r="D273" s="17"/>
      <c r="E273" s="17"/>
      <c r="F273" s="17"/>
      <c r="G273" s="17" t="s">
        <v>710</v>
      </c>
      <c r="H273" s="17" t="s">
        <v>297</v>
      </c>
      <c r="I273" s="570"/>
      <c r="J273" s="425">
        <f>IF(HLOOKUP(CaseName,CaseData,MATCH($G273,cases!$G$3:$G$1232,0)-1,FALSE)="",IF(HLOOKUP(ScenarioName,ScenarioData,MATCH($G273,scenarios!$G$3:$G$144,0),FALSE)="","",HLOOKUP(ScenarioName,ScenarioData,MATCH($G273,scenarios!$G$3:$G$153,0),FALSE)),HLOOKUP(CaseName,CaseData,MATCH($G273,cases!$G$3:$G$1232,0)-1,FALSE))</f>
        <v>0.25</v>
      </c>
      <c r="K273" s="405">
        <v>0.25</v>
      </c>
      <c r="L273" s="155">
        <f>IF(ISBLANK(I273), IF(ISNUMBER(J273)=FALSE,K273,J273),I273)</f>
        <v>0.25</v>
      </c>
      <c r="M273" s="38" t="s">
        <v>297</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2">
      <c r="A274" s="17"/>
      <c r="B274" s="17" t="s">
        <v>711</v>
      </c>
      <c r="C274" s="17"/>
      <c r="D274" s="17"/>
      <c r="E274" s="17"/>
      <c r="F274" s="17"/>
      <c r="G274" s="17" t="s">
        <v>712</v>
      </c>
      <c r="H274" s="17" t="s">
        <v>700</v>
      </c>
      <c r="I274" s="570"/>
      <c r="J274" s="425">
        <f>IF(HLOOKUP(CaseName,CaseData,MATCH($G274,cases!$G$3:$G$1232,0)-1,FALSE)="",IF(HLOOKUP(ScenarioName,ScenarioData,MATCH($G274,scenarios!$G$3:$G$144,0),FALSE)="","",HLOOKUP(ScenarioName,ScenarioData,MATCH($G274,scenarios!$G$3:$G$153,0),FALSE)),HLOOKUP(CaseName,CaseData,MATCH($G274,cases!$G$3:$G$1232,0)-1,FALSE))</f>
        <v>0.03</v>
      </c>
      <c r="K274" s="405">
        <v>0.03</v>
      </c>
      <c r="L274" s="155">
        <f>IF(ISBLANK(I274),IF(ISNUMBER(J274)=FALSE,K274/1000/(3600*24*365),J274/1000/(3600*24*365)),I274/1000/(3600*24*365))</f>
        <v>9.5129375951293754E-13</v>
      </c>
      <c r="M274" s="38" t="s">
        <v>697</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2">
      <c r="A275" s="228"/>
      <c r="B275" s="228" t="s">
        <v>713</v>
      </c>
      <c r="C275" s="228"/>
      <c r="D275" s="228"/>
      <c r="E275" s="228"/>
      <c r="F275" s="228"/>
      <c r="G275" s="228" t="s">
        <v>714</v>
      </c>
      <c r="H275" s="216" t="s">
        <v>715</v>
      </c>
      <c r="I275" s="573"/>
      <c r="J275" s="425" t="str">
        <f>IF(HLOOKUP(CaseName,CaseData,MATCH($G275,cases!$G$3:$G$1232,0)-1,FALSE)="",IF(HLOOKUP(ScenarioName,ScenarioData,MATCH($G275,scenarios!$G$3:$G$144,0),FALSE)="","",HLOOKUP(ScenarioName,ScenarioData,MATCH($G275,scenarios!$G$3:$G$153,0),FALSE)),HLOOKUP(CaseName,CaseData,MATCH($G275,cases!$G$3:$G$1232,0)-1,FALSE))</f>
        <v/>
      </c>
      <c r="K275" s="407">
        <f>3.2*10^9</f>
        <v>3200000000</v>
      </c>
      <c r="L275" s="298">
        <f>IF(ISBLANK(I275),IF(ISNUMBER(J275)=FALSE,K275,J275),I275)</f>
        <v>3200000000</v>
      </c>
      <c r="M275" s="216" t="s">
        <v>715</v>
      </c>
      <c r="N275" s="384"/>
      <c r="O275" s="737"/>
      <c r="P275" s="215" t="s">
        <v>716</v>
      </c>
      <c r="Q275"/>
    </row>
    <row r="276" spans="1:34" s="26" customFormat="1" ht="12.75" customHeight="1" x14ac:dyDescent="0.2">
      <c r="A276" s="228"/>
      <c r="B276" s="228" t="s">
        <v>717</v>
      </c>
      <c r="C276" s="228"/>
      <c r="D276" s="228"/>
      <c r="E276" s="228"/>
      <c r="F276" s="228"/>
      <c r="G276" s="228" t="s">
        <v>718</v>
      </c>
      <c r="H276" s="216" t="s">
        <v>715</v>
      </c>
      <c r="I276" s="573"/>
      <c r="J276" s="425" t="str">
        <f>IF(HLOOKUP(CaseName,CaseData,MATCH($G276,cases!$G$3:$G$1232,0)-1,FALSE)="",IF(HLOOKUP(ScenarioName,ScenarioData,MATCH($G276,scenarios!$G$3:$G$144,0),FALSE)="","",HLOOKUP(ScenarioName,ScenarioData,MATCH($G276,scenarios!$G$3:$G$153,0),FALSE)),HLOOKUP(CaseName,CaseData,MATCH($G276,cases!$G$3:$G$1232,0)-1,FALSE))</f>
        <v/>
      </c>
      <c r="K276" s="407">
        <f>2.9*10^9</f>
        <v>2900000000</v>
      </c>
      <c r="L276" s="298">
        <f>IF(ISBLANK(I276),IF(ISNUMBER(J276)=FALSE,K276,J276),I276)</f>
        <v>2900000000</v>
      </c>
      <c r="M276" s="216" t="s">
        <v>715</v>
      </c>
      <c r="N276" s="384"/>
      <c r="O276" s="737"/>
      <c r="P276" s="228" t="s">
        <v>716</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2">
      <c r="A277" s="228"/>
      <c r="B277" s="228" t="s">
        <v>719</v>
      </c>
      <c r="C277" s="228"/>
      <c r="D277" s="228"/>
      <c r="E277" s="228"/>
      <c r="F277" s="228"/>
      <c r="G277" s="228" t="s">
        <v>720</v>
      </c>
      <c r="H277" s="216" t="s">
        <v>715</v>
      </c>
      <c r="I277" s="573"/>
      <c r="J277" s="425" t="str">
        <f>IF(HLOOKUP(CaseName,CaseData,MATCH($G277,cases!$G$3:$G$1232,0)-1,FALSE)="",IF(HLOOKUP(ScenarioName,ScenarioData,MATCH($G277,scenarios!$G$3:$G$144,0),FALSE)="","",HLOOKUP(ScenarioName,ScenarioData,MATCH($G277,scenarios!$G$3:$G$153,0),FALSE)),HLOOKUP(CaseName,CaseData,MATCH($G277,cases!$G$3:$G$1232,0)-1,FALSE))</f>
        <v/>
      </c>
      <c r="K277" s="407">
        <f>3*10^5</f>
        <v>300000</v>
      </c>
      <c r="L277" s="298">
        <f>IF(ISBLANK(I277),IF(ISNUMBER(J277)=FALSE,K277,J277),I277)</f>
        <v>300000</v>
      </c>
      <c r="M277" s="216" t="s">
        <v>715</v>
      </c>
      <c r="N277" s="384"/>
      <c r="O277" s="737"/>
      <c r="P277" s="228" t="s">
        <v>716</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2">
      <c r="A278" s="216"/>
      <c r="B278" s="216" t="s">
        <v>721</v>
      </c>
      <c r="C278" s="228"/>
      <c r="D278" s="228"/>
      <c r="E278" s="228"/>
      <c r="F278" s="228"/>
      <c r="G278" s="579" t="s">
        <v>722</v>
      </c>
      <c r="H278" s="216" t="s">
        <v>723</v>
      </c>
      <c r="I278" s="574"/>
      <c r="J278" s="425" t="str">
        <f>IF(HLOOKUP(CaseName,CaseData,MATCH($G278,cases!$G$3:$G$1232,0)-1,FALSE)="",IF(HLOOKUP(ScenarioName,ScenarioData,MATCH($G278,scenarios!$G$3:$G$144,0),FALSE)="","",HLOOKUP(ScenarioName,ScenarioData,MATCH($G278,scenarios!$G$3:$G$153,0),FALSE)),HLOOKUP(CaseName,CaseData,MATCH($G278,cases!$G$3:$G$1232,0)-1,FALSE))</f>
        <v/>
      </c>
      <c r="K278" s="406">
        <v>1</v>
      </c>
      <c r="L278" s="298">
        <f t="shared" ref="L278:L284" si="18">IF(ISBLANK(I278),IF(ISNUMBER(J278)=FALSE,K278/1000,J278/1000),I278/1000)</f>
        <v>1E-3</v>
      </c>
      <c r="M278" s="216" t="s">
        <v>724</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2">
      <c r="A279" s="216"/>
      <c r="B279" s="216" t="s">
        <v>721</v>
      </c>
      <c r="C279" s="228"/>
      <c r="D279" s="228"/>
      <c r="E279" s="228"/>
      <c r="F279" s="228"/>
      <c r="G279" s="579" t="s">
        <v>725</v>
      </c>
      <c r="H279" s="216" t="s">
        <v>723</v>
      </c>
      <c r="I279" s="574"/>
      <c r="J279" s="425" t="str">
        <f>IF(HLOOKUP(CaseName,CaseData,MATCH($G279,cases!$G$3:$G$1232,0)-1,FALSE)="",IF(HLOOKUP(ScenarioName,ScenarioData,MATCH($G279,scenarios!$G$3:$G$144,0),FALSE)="","",HLOOKUP(ScenarioName,ScenarioData,MATCH($G279,scenarios!$G$3:$G$153,0),FALSE)),HLOOKUP(CaseName,CaseData,MATCH($G279,cases!$G$3:$G$1232,0)-1,FALSE))</f>
        <v/>
      </c>
      <c r="K279" s="406">
        <v>1</v>
      </c>
      <c r="L279" s="298">
        <f t="shared" si="18"/>
        <v>1E-3</v>
      </c>
      <c r="M279" s="216" t="s">
        <v>724</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2">
      <c r="A280" s="216"/>
      <c r="B280" s="216" t="s">
        <v>721</v>
      </c>
      <c r="C280" s="228"/>
      <c r="D280" s="228"/>
      <c r="E280" s="228"/>
      <c r="F280" s="228"/>
      <c r="G280" s="579" t="s">
        <v>726</v>
      </c>
      <c r="H280" s="216" t="s">
        <v>723</v>
      </c>
      <c r="I280" s="574"/>
      <c r="J280" s="425" t="str">
        <f>IF(HLOOKUP(CaseName,CaseData,MATCH($G280,cases!$G$3:$G$1232,0)-1,FALSE)="",IF(HLOOKUP(ScenarioName,ScenarioData,MATCH($G280,scenarios!$G$3:$G$144,0),FALSE)="","",HLOOKUP(ScenarioName,ScenarioData,MATCH($G280,scenarios!$G$3:$G$153,0),FALSE)),HLOOKUP(CaseName,CaseData,MATCH($G280,cases!$G$3:$G$1232,0)-1,FALSE))</f>
        <v/>
      </c>
      <c r="K280" s="406">
        <v>1</v>
      </c>
      <c r="L280" s="298">
        <f t="shared" si="18"/>
        <v>1E-3</v>
      </c>
      <c r="M280" s="216" t="s">
        <v>724</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2">
      <c r="A281" s="216"/>
      <c r="B281" s="216" t="s">
        <v>727</v>
      </c>
      <c r="C281" s="228"/>
      <c r="D281" s="228"/>
      <c r="E281" s="228"/>
      <c r="F281" s="228"/>
      <c r="G281" s="579" t="s">
        <v>728</v>
      </c>
      <c r="H281" s="216" t="s">
        <v>586</v>
      </c>
      <c r="I281" s="574"/>
      <c r="J281" s="425" t="str">
        <f>IF(HLOOKUP(CaseName,CaseData,MATCH($G281,cases!$G$3:$G$1232,0)-1,FALSE)="",IF(HLOOKUP(ScenarioName,ScenarioData,MATCH($G281,scenarios!$G$3:$G$144,0),FALSE)="","",HLOOKUP(ScenarioName,ScenarioData,MATCH($G281,scenarios!$G$3:$G$153,0),FALSE)),HLOOKUP(CaseName,CaseData,MATCH($G281,cases!$G$3:$G$1232,0)-1,FALSE))</f>
        <v/>
      </c>
      <c r="K281" s="406">
        <v>0.5</v>
      </c>
      <c r="L281" s="298">
        <f t="shared" si="18"/>
        <v>5.0000000000000001E-4</v>
      </c>
      <c r="M281" s="216" t="s">
        <v>724</v>
      </c>
      <c r="N281" s="228" t="s">
        <v>729</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2">
      <c r="A282" s="216"/>
      <c r="B282" s="216" t="s">
        <v>730</v>
      </c>
      <c r="C282" s="228"/>
      <c r="D282" s="228"/>
      <c r="E282" s="228"/>
      <c r="F282" s="228"/>
      <c r="G282" s="579" t="s">
        <v>731</v>
      </c>
      <c r="H282" s="216" t="s">
        <v>586</v>
      </c>
      <c r="I282" s="574"/>
      <c r="J282" s="425" t="str">
        <f>IF(HLOOKUP(CaseName,CaseData,MATCH($G282,cases!$G$3:$G$1232,0)-1,FALSE)="",IF(HLOOKUP(ScenarioName,ScenarioData,MATCH($G282,scenarios!$G$3:$G$144,0),FALSE)="","",HLOOKUP(ScenarioName,ScenarioData,MATCH($G282,scenarios!$G$3:$G$153,0),FALSE)),HLOOKUP(CaseName,CaseData,MATCH($G282,cases!$G$3:$G$1232,0)-1,FALSE))</f>
        <v/>
      </c>
      <c r="K282" s="406">
        <v>15</v>
      </c>
      <c r="L282" s="298">
        <f t="shared" si="18"/>
        <v>1.4999999999999999E-2</v>
      </c>
      <c r="M282" s="216" t="s">
        <v>724</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2">
      <c r="A283" s="216"/>
      <c r="B283" s="216" t="s">
        <v>732</v>
      </c>
      <c r="C283" s="228"/>
      <c r="D283" s="228"/>
      <c r="E283" s="228"/>
      <c r="F283" s="228"/>
      <c r="G283" s="579" t="s">
        <v>733</v>
      </c>
      <c r="H283" s="216" t="s">
        <v>586</v>
      </c>
      <c r="I283" s="574"/>
      <c r="J283" s="425" t="str">
        <f>IF(HLOOKUP(CaseName,CaseData,MATCH($G283,cases!$G$3:$G$1232,0)-1,FALSE)="",IF(HLOOKUP(ScenarioName,ScenarioData,MATCH($G283,scenarios!$G$3:$G$144,0),FALSE)="","",HLOOKUP(ScenarioName,ScenarioData,MATCH($G283,scenarios!$G$3:$G$153,0),FALSE)),HLOOKUP(CaseName,CaseData,MATCH($G283,cases!$G$3:$G$1232,0)-1,FALSE))</f>
        <v/>
      </c>
      <c r="K283" s="406">
        <v>5</v>
      </c>
      <c r="L283" s="298">
        <f>IF(ISBLANK(I283),IF(ISNUMBER(J283)=FALSE,K283/1000,J283/1000),I283/1000)</f>
        <v>5.0000000000000001E-3</v>
      </c>
      <c r="M283" s="216" t="s">
        <v>724</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2">
      <c r="A284" s="228"/>
      <c r="B284" s="228" t="s">
        <v>734</v>
      </c>
      <c r="C284" s="228"/>
      <c r="D284" s="228"/>
      <c r="E284" s="228"/>
      <c r="F284" s="228"/>
      <c r="G284" s="862" t="s">
        <v>735</v>
      </c>
      <c r="H284" s="216" t="s">
        <v>736</v>
      </c>
      <c r="I284" s="573"/>
      <c r="J284" s="425" t="str">
        <f>IF(HLOOKUP(CaseName,CaseData,MATCH($G284,cases!$G$3:$G$1232,0)-1,FALSE)="",IF(HLOOKUP(ScenarioName,ScenarioData,MATCH($G284,scenarios!$G$3:$G$144,0),FALSE)="","",HLOOKUP(ScenarioName,ScenarioData,MATCH($G284,scenarios!$G$3:$G$153,0),FALSE)),HLOOKUP(CaseName,CaseData,MATCH($G284,cases!$G$3:$G$1232,0)-1,FALSE))</f>
        <v/>
      </c>
      <c r="K284" s="621">
        <v>100</v>
      </c>
      <c r="L284" s="298">
        <f t="shared" si="18"/>
        <v>0.1</v>
      </c>
      <c r="M284" s="216" t="s">
        <v>737</v>
      </c>
      <c r="N284" s="228" t="s">
        <v>738</v>
      </c>
      <c r="O284" s="415"/>
      <c r="P284" s="384"/>
    </row>
    <row r="285" spans="1:34" s="26" customFormat="1" ht="12.75" customHeight="1" x14ac:dyDescent="0.2">
      <c r="A285" s="216"/>
      <c r="B285" s="228"/>
      <c r="C285" s="216"/>
      <c r="D285" s="228"/>
      <c r="E285" s="228"/>
      <c r="F285" s="228"/>
      <c r="G285" s="579"/>
      <c r="H285" s="216"/>
      <c r="I285" s="819"/>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2">
      <c r="A286" s="821" t="s">
        <v>216</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2">
      <c r="A287" s="228"/>
      <c r="B287" s="228" t="s">
        <v>677</v>
      </c>
      <c r="C287" s="228"/>
      <c r="D287" s="228"/>
      <c r="E287" s="228"/>
      <c r="F287" s="228"/>
      <c r="G287" s="228" t="s">
        <v>739</v>
      </c>
      <c r="H287" s="579" t="s">
        <v>679</v>
      </c>
      <c r="I287" s="571"/>
      <c r="J287" s="425"/>
      <c r="K287" s="405">
        <f>TOTAREAland.C-AREAland.R*0.000001</f>
        <v>3485840</v>
      </c>
      <c r="L287" s="155">
        <f>IF(ISBLANK(I287), IF(ISNUMBER(J287)=FALSE,K287*1000000,J287*1000000),I287*1000000)</f>
        <v>3485840000000</v>
      </c>
      <c r="M287" s="216" t="s">
        <v>680</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2">
      <c r="A288" s="228"/>
      <c r="B288" s="228" t="s">
        <v>681</v>
      </c>
      <c r="C288" s="228"/>
      <c r="D288" s="228"/>
      <c r="E288" s="228"/>
      <c r="F288" s="228"/>
      <c r="G288" s="228" t="s">
        <v>740</v>
      </c>
      <c r="H288" s="579" t="s">
        <v>679</v>
      </c>
      <c r="I288" s="571"/>
      <c r="J288" s="425"/>
      <c r="K288" s="405">
        <f>TOTAREAsea.C-AREAsea.R*0.000001</f>
        <v>3713410</v>
      </c>
      <c r="L288" s="155">
        <f>IF(ISBLANK(I288), IF(ISNUMBER(J288)=FALSE,K288*1000000,J288*1000000),I288*1000000)</f>
        <v>3713410000000</v>
      </c>
      <c r="M288" s="216" t="s">
        <v>680</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2">
      <c r="A289" s="384"/>
      <c r="B289" s="384"/>
      <c r="C289" s="384" t="s">
        <v>4719</v>
      </c>
      <c r="D289" s="384"/>
      <c r="E289" s="384"/>
      <c r="F289" s="384"/>
      <c r="G289" s="384" t="s">
        <v>4721</v>
      </c>
      <c r="H289" s="999" t="s">
        <v>4723</v>
      </c>
      <c r="I289" s="1000"/>
      <c r="J289" s="1001"/>
      <c r="K289" s="1002">
        <v>3714410</v>
      </c>
      <c r="L289" s="1003">
        <f t="shared" ref="L289:L295" si="19">IF(ISBLANK(I289), IF(ISNUMBER(J289)=FALSE,K289,J289),I289)</f>
        <v>3714410</v>
      </c>
      <c r="M289" s="999" t="s">
        <v>4724</v>
      </c>
      <c r="N289" s="384"/>
      <c r="O289" s="384"/>
      <c r="P289" s="384"/>
    </row>
    <row r="290" spans="1:34" s="386" customFormat="1" ht="12.75" customHeight="1" x14ac:dyDescent="0.2">
      <c r="A290" s="384"/>
      <c r="B290" s="384"/>
      <c r="C290" s="384" t="s">
        <v>4720</v>
      </c>
      <c r="D290" s="384"/>
      <c r="E290" s="384"/>
      <c r="F290" s="384"/>
      <c r="G290" s="384" t="s">
        <v>4722</v>
      </c>
      <c r="H290" s="999" t="s">
        <v>4723</v>
      </c>
      <c r="I290" s="1000"/>
      <c r="J290" s="1001"/>
      <c r="K290" s="1002">
        <v>3714410</v>
      </c>
      <c r="L290" s="1003">
        <f t="shared" si="19"/>
        <v>3714410</v>
      </c>
      <c r="M290" s="999" t="s">
        <v>4724</v>
      </c>
      <c r="N290" s="384"/>
      <c r="O290" s="384"/>
      <c r="P290" s="384"/>
    </row>
    <row r="291" spans="1:34" s="26" customFormat="1" ht="12.75" customHeight="1" x14ac:dyDescent="0.2">
      <c r="A291" s="228"/>
      <c r="B291" s="228" t="s">
        <v>685</v>
      </c>
      <c r="C291" s="228"/>
      <c r="D291" s="228"/>
      <c r="E291" s="228"/>
      <c r="F291" s="228"/>
      <c r="G291" s="228" t="s">
        <v>741</v>
      </c>
      <c r="H291" s="228" t="s">
        <v>297</v>
      </c>
      <c r="I291" s="571"/>
      <c r="J291" s="425">
        <f>IF(HLOOKUP(CaseName,CaseData,MATCH($G291,cases!$G$3:$G$1232,0)-1,FALSE)="",IF(HLOOKUP(ScenarioName,ScenarioData,MATCH($G291,scenarios!$G$3:$G$144,0),FALSE)="","",HLOOKUP(ScenarioName,ScenarioData,MATCH($G291,scenarios!$G$3:$G$153,0),FALSE)),HLOOKUP(CaseName,CaseData,MATCH($G291,cases!$G$3:$G$1232,0)-1,FALSE))</f>
        <v>2.5000000000000001E-3</v>
      </c>
      <c r="K291" s="405">
        <v>2.5000000000000001E-3</v>
      </c>
      <c r="L291" s="155">
        <f t="shared" si="19"/>
        <v>2.5000000000000001E-3</v>
      </c>
      <c r="M291" s="216" t="s">
        <v>297</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2">
      <c r="A292" s="228"/>
      <c r="B292" s="228" t="s">
        <v>685</v>
      </c>
      <c r="C292" s="228"/>
      <c r="D292" s="228"/>
      <c r="E292" s="228"/>
      <c r="F292" s="228"/>
      <c r="G292" s="228" t="s">
        <v>742</v>
      </c>
      <c r="H292" s="228" t="s">
        <v>297</v>
      </c>
      <c r="I292" s="571"/>
      <c r="J292" s="425">
        <f>IF(HLOOKUP(CaseName,CaseData,MATCH($G292,cases!$G$3:$G$1232,0)-1,FALSE)="",IF(HLOOKUP(ScenarioName,ScenarioData,MATCH($G292,scenarios!$G$3:$G$144,0),FALSE)="","",HLOOKUP(ScenarioName,ScenarioData,MATCH($G292,scenarios!$G$3:$G$153,0),FALSE)),HLOOKUP(CaseName,CaseData,MATCH($G292,cases!$G$3:$G$1232,0)-1,FALSE))</f>
        <v>2.75E-2</v>
      </c>
      <c r="K292" s="405">
        <v>2.75E-2</v>
      </c>
      <c r="L292" s="155">
        <f t="shared" si="19"/>
        <v>2.75E-2</v>
      </c>
      <c r="M292" s="216" t="s">
        <v>297</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2">
      <c r="A293" s="228"/>
      <c r="B293" s="228" t="s">
        <v>687</v>
      </c>
      <c r="C293" s="228"/>
      <c r="D293" s="228"/>
      <c r="E293" s="228"/>
      <c r="F293" s="228"/>
      <c r="G293" s="228" t="s">
        <v>743</v>
      </c>
      <c r="H293" s="228" t="s">
        <v>297</v>
      </c>
      <c r="I293" s="571"/>
      <c r="J293" s="425">
        <f>IF(HLOOKUP(CaseName,CaseData,MATCH($G293,cases!$G$3:$G$1232,0)-1,FALSE)="",IF(HLOOKUP(ScenarioName,ScenarioData,MATCH($G293,scenarios!$G$3:$G$144,0),FALSE)="","",HLOOKUP(ScenarioName,ScenarioData,MATCH($G293,scenarios!$G$3:$G$153,0),FALSE)),HLOOKUP(CaseName,CaseData,MATCH($G293,cases!$G$3:$G$1232,0)-1,FALSE))</f>
        <v>0.27</v>
      </c>
      <c r="K293" s="405">
        <v>0.27</v>
      </c>
      <c r="L293" s="155">
        <f t="shared" si="19"/>
        <v>0.27</v>
      </c>
      <c r="M293" s="216" t="s">
        <v>297</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2">
      <c r="A294" s="228"/>
      <c r="B294" s="228" t="s">
        <v>689</v>
      </c>
      <c r="C294" s="228"/>
      <c r="D294" s="228"/>
      <c r="E294" s="228"/>
      <c r="F294" s="228"/>
      <c r="G294" s="228" t="s">
        <v>744</v>
      </c>
      <c r="H294" s="228" t="s">
        <v>297</v>
      </c>
      <c r="I294" s="571"/>
      <c r="J294" s="425">
        <f>IF(HLOOKUP(CaseName,CaseData,MATCH($G294,cases!$G$3:$G$1232,0)-1,FALSE)="",IF(HLOOKUP(ScenarioName,ScenarioData,MATCH($G294,scenarios!$G$3:$G$144,0),FALSE)="","",HLOOKUP(ScenarioName,ScenarioData,MATCH($G294,scenarios!$G$3:$G$153,0),FALSE)),HLOOKUP(CaseName,CaseData,MATCH($G294,cases!$G$3:$G$1232,0)-1,FALSE))</f>
        <v>0.6</v>
      </c>
      <c r="K294" s="405">
        <v>0.6</v>
      </c>
      <c r="L294" s="155">
        <f t="shared" si="19"/>
        <v>0.6</v>
      </c>
      <c r="M294" s="216" t="s">
        <v>297</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2">
      <c r="A295" s="228"/>
      <c r="B295" s="228" t="s">
        <v>691</v>
      </c>
      <c r="C295" s="228"/>
      <c r="D295" s="228"/>
      <c r="E295" s="228"/>
      <c r="F295" s="228"/>
      <c r="G295" s="228" t="s">
        <v>745</v>
      </c>
      <c r="H295" s="228" t="s">
        <v>297</v>
      </c>
      <c r="I295" s="571"/>
      <c r="J295" s="425">
        <f>IF(HLOOKUP(CaseName,CaseData,MATCH($G295,cases!$G$3:$G$1232,0)-1,FALSE)="",IF(HLOOKUP(ScenarioName,ScenarioData,MATCH($G295,scenarios!$G$3:$G$144,0),FALSE)="","",HLOOKUP(ScenarioName,ScenarioData,MATCH($G295,scenarios!$G$3:$G$153,0),FALSE)),HLOOKUP(CaseName,CaseData,MATCH($G295,cases!$G$3:$G$1232,0)-1,FALSE))</f>
        <v>0.1</v>
      </c>
      <c r="K295" s="405">
        <v>0.1</v>
      </c>
      <c r="L295" s="155">
        <f t="shared" si="19"/>
        <v>0.1</v>
      </c>
      <c r="M295" s="216" t="s">
        <v>297</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2">
      <c r="A296" s="228"/>
      <c r="B296" s="228" t="s">
        <v>693</v>
      </c>
      <c r="C296" s="228"/>
      <c r="D296" s="228"/>
      <c r="E296" s="228"/>
      <c r="F296" s="228"/>
      <c r="G296" s="228" t="s">
        <v>746</v>
      </c>
      <c r="H296" s="228" t="s">
        <v>592</v>
      </c>
      <c r="I296" s="571"/>
      <c r="J296" s="425">
        <f>IF(HLOOKUP(CaseName,CaseData,MATCH($G296,cases!$G$3:$G$1232,0)-1,FALSE)="",IF(HLOOKUP(ScenarioName,ScenarioData,MATCH($G296,scenarios!$G$3:$G$144,0),FALSE)="","",HLOOKUP(ScenarioName,ScenarioData,MATCH($G296,scenarios!$G$3:$G$153,0),FALSE)),HLOOKUP(CaseName,CaseData,MATCH($G296,cases!$G$3:$G$1232,0)-1,FALSE))</f>
        <v>12</v>
      </c>
      <c r="K296" s="405">
        <v>12</v>
      </c>
      <c r="L296" s="155">
        <f>IF(ISBLANK(I296), IF(ISNUMBER(J296)=FALSE,K296+273,J296+273),I296+273)</f>
        <v>285</v>
      </c>
      <c r="M296" s="216" t="s">
        <v>593</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2">
      <c r="A297" s="228"/>
      <c r="B297" s="228" t="s">
        <v>695</v>
      </c>
      <c r="C297" s="228"/>
      <c r="D297" s="228"/>
      <c r="E297" s="228"/>
      <c r="F297" s="228"/>
      <c r="G297" s="228" t="s">
        <v>747</v>
      </c>
      <c r="H297" s="228" t="s">
        <v>697</v>
      </c>
      <c r="I297" s="571"/>
      <c r="J297" s="425">
        <f>IF(HLOOKUP(CaseName,CaseData,MATCH($G297,cases!$G$3:$G$1232,0)-1,FALSE)="",IF(HLOOKUP(ScenarioName,ScenarioData,MATCH($G297,scenarios!$G$3:$G$144,0),FALSE)="","",HLOOKUP(ScenarioName,ScenarioData,MATCH($G297,scenarios!$G$3:$G$153,0),FALSE)),HLOOKUP(CaseName,CaseData,MATCH($G297,cases!$G$3:$G$1232,0)-1,FALSE))</f>
        <v>3</v>
      </c>
      <c r="K297" s="405">
        <v>3</v>
      </c>
      <c r="L297" s="155">
        <f>IF(ISBLANK(I297), IF(ISNUMBER(J297)=FALSE,K297,J297),I297)</f>
        <v>3</v>
      </c>
      <c r="M297" s="216" t="s">
        <v>697</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2">
      <c r="A298" s="228"/>
      <c r="B298" s="228" t="s">
        <v>698</v>
      </c>
      <c r="C298" s="228"/>
      <c r="D298" s="228"/>
      <c r="E298" s="228"/>
      <c r="F298" s="228"/>
      <c r="G298" s="228" t="s">
        <v>748</v>
      </c>
      <c r="H298" s="228" t="s">
        <v>700</v>
      </c>
      <c r="I298" s="570"/>
      <c r="J298" s="425">
        <f>IF(HLOOKUP(CaseName,CaseData,MATCH($G298,cases!$G$3:$G$1232,0)-1,FALSE)="",IF(HLOOKUP(ScenarioName,ScenarioData,MATCH($G298,scenarios!$G$3:$G$144,0),FALSE)="","",HLOOKUP(ScenarioName,ScenarioData,MATCH($G298,scenarios!$G$3:$G$153,0),FALSE)),HLOOKUP(CaseName,CaseData,MATCH($G298,cases!$G$3:$G$1232,0)-1,FALSE))</f>
        <v>700</v>
      </c>
      <c r="K298" s="405">
        <v>700</v>
      </c>
      <c r="L298" s="155">
        <f>IF(ISBLANK(I298),IF(ISNUMBER(J298)=FALSE,K298/1000/(3600*24*365),J298/1000/(3600*24*365)),I298/1000/(3600*24*365))</f>
        <v>2.219685438863521E-8</v>
      </c>
      <c r="M298" s="216" t="s">
        <v>697</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2">
      <c r="A299" s="228"/>
      <c r="B299" s="228" t="s">
        <v>703</v>
      </c>
      <c r="C299" s="228"/>
      <c r="D299" s="228"/>
      <c r="E299" s="228"/>
      <c r="F299" s="228"/>
      <c r="G299" s="228" t="s">
        <v>749</v>
      </c>
      <c r="H299" s="228" t="s">
        <v>284</v>
      </c>
      <c r="I299" s="571"/>
      <c r="J299" s="425">
        <f>IF(HLOOKUP(CaseName,CaseData,MATCH($G299,cases!$G$3:$G$1232,0)-1,FALSE)="",IF(HLOOKUP(ScenarioName,ScenarioData,MATCH($G299,scenarios!$G$3:$G$144,0),FALSE)="","",HLOOKUP(ScenarioName,ScenarioData,MATCH($G299,scenarios!$G$3:$G$153,0),FALSE)),HLOOKUP(CaseName,CaseData,MATCH($G299,cases!$G$3:$G$1232,0)-1,FALSE))</f>
        <v>100</v>
      </c>
      <c r="K299" s="405">
        <v>100</v>
      </c>
      <c r="L299" s="155">
        <f>IF(ISBLANK(I299), IF(ISNUMBER(J299)=FALSE,K299,J299),I299)</f>
        <v>100</v>
      </c>
      <c r="M299" s="216" t="s">
        <v>284</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2">
      <c r="A300" s="228"/>
      <c r="B300" s="228" t="s">
        <v>703</v>
      </c>
      <c r="C300" s="228"/>
      <c r="D300" s="228"/>
      <c r="E300" s="228"/>
      <c r="F300" s="228"/>
      <c r="G300" s="228" t="s">
        <v>750</v>
      </c>
      <c r="H300" s="228" t="s">
        <v>284</v>
      </c>
      <c r="I300" s="571"/>
      <c r="J300" s="425">
        <f>IF(HLOOKUP(CaseName,CaseData,MATCH($G300,cases!$G$3:$G$1232,0)-1,FALSE)="",IF(HLOOKUP(ScenarioName,ScenarioData,MATCH($G300,scenarios!$G$3:$G$144,0),FALSE)="","",HLOOKUP(ScenarioName,ScenarioData,MATCH($G300,scenarios!$G$3:$G$153,0),FALSE)),HLOOKUP(CaseName,CaseData,MATCH($G300,cases!$G$3:$G$1232,0)-1,FALSE))</f>
        <v>3</v>
      </c>
      <c r="K300" s="405">
        <v>3</v>
      </c>
      <c r="L300" s="155">
        <f>IF(ISBLANK(I300), IF(ISNUMBER(J300)=FALSE,K300,J300),I300)</f>
        <v>3</v>
      </c>
      <c r="M300" s="216" t="s">
        <v>284</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2">
      <c r="A301" s="228"/>
      <c r="B301" s="228" t="s">
        <v>751</v>
      </c>
      <c r="C301" s="228"/>
      <c r="D301" s="228"/>
      <c r="E301" s="228"/>
      <c r="F301" s="228"/>
      <c r="G301" s="228" t="s">
        <v>752</v>
      </c>
      <c r="H301" s="228" t="s">
        <v>297</v>
      </c>
      <c r="I301" s="571"/>
      <c r="J301" s="425">
        <f>IF(HLOOKUP(CaseName,CaseData,MATCH($G301,cases!$G$3:$G$1232,0)-1,FALSE)="",IF(HLOOKUP(ScenarioName,ScenarioData,MATCH($G301,scenarios!$G$3:$G$144,0),FALSE)="","",HLOOKUP(ScenarioName,ScenarioData,MATCH($G301,scenarios!$G$3:$G$153,0),FALSE)),HLOOKUP(CaseName,CaseData,MATCH($G301,cases!$G$3:$G$1232,0)-1,FALSE))</f>
        <v>0</v>
      </c>
      <c r="K301" s="405">
        <v>0</v>
      </c>
      <c r="L301" s="155">
        <f>IF(ISBLANK(I301), IF(ISNUMBER(J301)=FALSE,K301,J301),I301)</f>
        <v>0</v>
      </c>
      <c r="M301" s="216" t="s">
        <v>297</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2">
      <c r="A302" s="228"/>
      <c r="B302" s="228" t="s">
        <v>709</v>
      </c>
      <c r="C302" s="228"/>
      <c r="D302" s="228"/>
      <c r="E302" s="228"/>
      <c r="F302" s="228"/>
      <c r="G302" s="228" t="s">
        <v>753</v>
      </c>
      <c r="H302" s="228" t="s">
        <v>297</v>
      </c>
      <c r="I302" s="571"/>
      <c r="J302" s="425">
        <f>IF(HLOOKUP(CaseName,CaseData,MATCH($G302,cases!$G$3:$G$1232,0)-1,FALSE)="",IF(HLOOKUP(ScenarioName,ScenarioData,MATCH($G302,scenarios!$G$3:$G$144,0),FALSE)="","",HLOOKUP(ScenarioName,ScenarioData,MATCH($G302,scenarios!$G$3:$G$153,0),FALSE)),HLOOKUP(CaseName,CaseData,MATCH($G302,cases!$G$3:$G$1232,0)-1,FALSE))</f>
        <v>0.25</v>
      </c>
      <c r="K302" s="405">
        <v>0.25</v>
      </c>
      <c r="L302" s="155">
        <f>IF(ISBLANK(I302), IF(ISNUMBER(J302)=FALSE,K302,J302),I302)</f>
        <v>0.25</v>
      </c>
      <c r="M302" s="216" t="s">
        <v>297</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2">
      <c r="A303" s="228"/>
      <c r="B303" s="228" t="s">
        <v>707</v>
      </c>
      <c r="C303" s="228"/>
      <c r="D303" s="228"/>
      <c r="E303" s="228"/>
      <c r="F303" s="228"/>
      <c r="G303" s="228" t="s">
        <v>754</v>
      </c>
      <c r="H303" s="228" t="s">
        <v>297</v>
      </c>
      <c r="I303" s="571"/>
      <c r="J303" s="425">
        <f>IF(HLOOKUP(CaseName,CaseData,MATCH($G303,cases!$G$3:$G$1232,0)-1,FALSE)="",IF(HLOOKUP(ScenarioName,ScenarioData,MATCH($G303,scenarios!$G$3:$G$144,0),FALSE)="","",HLOOKUP(ScenarioName,ScenarioData,MATCH($G303,scenarios!$G$3:$G$153,0),FALSE)),HLOOKUP(CaseName,CaseData,MATCH($G303,cases!$G$3:$G$1232,0)-1,FALSE))</f>
        <v>0.25</v>
      </c>
      <c r="K303" s="405">
        <v>0.25</v>
      </c>
      <c r="L303" s="155">
        <f>IF(ISBLANK(I303), IF(ISNUMBER(J303)=FALSE,K303,J303),I303)</f>
        <v>0.25</v>
      </c>
      <c r="M303" s="216" t="s">
        <v>297</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2">
      <c r="A304" s="228"/>
      <c r="B304" s="228" t="s">
        <v>711</v>
      </c>
      <c r="C304" s="228"/>
      <c r="D304" s="228"/>
      <c r="E304" s="228"/>
      <c r="F304" s="228"/>
      <c r="G304" s="228" t="s">
        <v>755</v>
      </c>
      <c r="H304" s="228" t="s">
        <v>700</v>
      </c>
      <c r="I304" s="571"/>
      <c r="J304" s="425">
        <f>IF(HLOOKUP(CaseName,CaseData,MATCH($G304,cases!$G$3:$G$1232,0)-1,FALSE)="",IF(HLOOKUP(ScenarioName,ScenarioData,MATCH($G304,scenarios!$G$3:$G$144,0),FALSE)="","",HLOOKUP(ScenarioName,ScenarioData,MATCH($G304,scenarios!$G$3:$G$153,0),FALSE)),HLOOKUP(CaseName,CaseData,MATCH($G304,cases!$G$3:$G$1232,0)-1,FALSE))</f>
        <v>0.03</v>
      </c>
      <c r="K304" s="405">
        <v>0.03</v>
      </c>
      <c r="L304" s="155">
        <f>IF(ISBLANK(I304),IF(ISNUMBER(J304)=FALSE,K304/1000/(3600*24*365),J304/1000/(3600*24*365)),I304/1000/(3600*24*365))</f>
        <v>9.5129375951293754E-13</v>
      </c>
      <c r="M304" s="216" t="s">
        <v>697</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2">
      <c r="A305" s="228"/>
      <c r="B305" s="228" t="s">
        <v>713</v>
      </c>
      <c r="C305" s="228"/>
      <c r="D305" s="228"/>
      <c r="E305" s="228"/>
      <c r="F305" s="228"/>
      <c r="G305" s="228" t="s">
        <v>756</v>
      </c>
      <c r="H305" s="216" t="s">
        <v>715</v>
      </c>
      <c r="I305" s="710"/>
      <c r="J305" s="425" t="str">
        <f>IF(HLOOKUP(CaseName,CaseData,MATCH($G305,cases!$G$3:$G$1232,0)-1,FALSE)="",IF(HLOOKUP(ScenarioName,ScenarioData,MATCH($G305,scenarios!$G$3:$G$144,0),FALSE)="","",HLOOKUP(ScenarioName,ScenarioData,MATCH($G305,scenarios!$G$3:$G$153,0),FALSE)),HLOOKUP(CaseName,CaseData,MATCH($G305,cases!$G$3:$G$1232,0)-1,FALSE))</f>
        <v/>
      </c>
      <c r="K305" s="577">
        <f>3.2*10^9</f>
        <v>3200000000</v>
      </c>
      <c r="L305" s="298">
        <f>IF(ISBLANK(I305),IF(ISNUMBER(J305)=FALSE,K305,J305),I305)</f>
        <v>3200000000</v>
      </c>
      <c r="M305" s="216" t="s">
        <v>715</v>
      </c>
      <c r="N305" s="228"/>
      <c r="O305" s="822"/>
      <c r="P305" s="228" t="s">
        <v>716</v>
      </c>
    </row>
    <row r="306" spans="1:34" customFormat="1" ht="12.75" customHeight="1" x14ac:dyDescent="0.2">
      <c r="A306" s="228"/>
      <c r="B306" s="228" t="s">
        <v>717</v>
      </c>
      <c r="C306" s="228"/>
      <c r="D306" s="228"/>
      <c r="E306" s="228"/>
      <c r="F306" s="228"/>
      <c r="G306" s="228" t="s">
        <v>757</v>
      </c>
      <c r="H306" s="216" t="s">
        <v>715</v>
      </c>
      <c r="I306" s="710"/>
      <c r="J306" s="425" t="str">
        <f>IF(HLOOKUP(CaseName,CaseData,MATCH($G306,cases!$G$3:$G$1232,0)-1,FALSE)="",IF(HLOOKUP(ScenarioName,ScenarioData,MATCH($G306,scenarios!$G$3:$G$144,0),FALSE)="","",HLOOKUP(ScenarioName,ScenarioData,MATCH($G306,scenarios!$G$3:$G$153,0),FALSE)),HLOOKUP(CaseName,CaseData,MATCH($G306,cases!$G$3:$G$1232,0)-1,FALSE))</f>
        <v/>
      </c>
      <c r="K306" s="577">
        <f>2.9*10^9</f>
        <v>2900000000</v>
      </c>
      <c r="L306" s="298">
        <f>IF(ISBLANK(I306),IF(ISNUMBER(J306)=FALSE,K306,J306),I306)</f>
        <v>2900000000</v>
      </c>
      <c r="M306" s="216" t="s">
        <v>715</v>
      </c>
      <c r="N306" s="228"/>
      <c r="O306" s="822"/>
      <c r="P306" s="228" t="s">
        <v>716</v>
      </c>
    </row>
    <row r="307" spans="1:34" customFormat="1" ht="12.75" customHeight="1" x14ac:dyDescent="0.2">
      <c r="A307" s="228"/>
      <c r="B307" s="228" t="s">
        <v>719</v>
      </c>
      <c r="C307" s="228"/>
      <c r="D307" s="228"/>
      <c r="E307" s="228"/>
      <c r="F307" s="228"/>
      <c r="G307" s="228" t="s">
        <v>758</v>
      </c>
      <c r="H307" s="216" t="s">
        <v>715</v>
      </c>
      <c r="I307" s="710"/>
      <c r="J307" s="425" t="str">
        <f>IF(HLOOKUP(CaseName,CaseData,MATCH($G307,cases!$G$3:$G$1232,0)-1,FALSE)="",IF(HLOOKUP(ScenarioName,ScenarioData,MATCH($G307,scenarios!$G$3:$G$144,0),FALSE)="","",HLOOKUP(ScenarioName,ScenarioData,MATCH($G307,scenarios!$G$3:$G$153,0),FALSE)),HLOOKUP(CaseName,CaseData,MATCH($G307,cases!$G$3:$G$1232,0)-1,FALSE))</f>
        <v/>
      </c>
      <c r="K307" s="577">
        <f>3*10^5</f>
        <v>300000</v>
      </c>
      <c r="L307" s="298">
        <f>IF(ISBLANK(I307),IF(ISNUMBER(J307)=FALSE,K307,J307),I307)</f>
        <v>300000</v>
      </c>
      <c r="M307" s="216" t="s">
        <v>715</v>
      </c>
      <c r="N307" s="228"/>
      <c r="O307" s="822"/>
      <c r="P307" s="228" t="s">
        <v>716</v>
      </c>
    </row>
    <row r="308" spans="1:34" s="26" customFormat="1" ht="12.75" customHeight="1" x14ac:dyDescent="0.2">
      <c r="A308" s="216"/>
      <c r="B308" s="216" t="s">
        <v>721</v>
      </c>
      <c r="C308" s="228"/>
      <c r="D308" s="228"/>
      <c r="E308" s="228"/>
      <c r="F308" s="228"/>
      <c r="G308" s="579" t="s">
        <v>759</v>
      </c>
      <c r="H308" s="216" t="s">
        <v>723</v>
      </c>
      <c r="I308" s="274"/>
      <c r="J308" s="425" t="str">
        <f>IF(HLOOKUP(CaseName,CaseData,MATCH($G308,cases!$G$3:$G$1232,0)-1,FALSE)="",IF(HLOOKUP(ScenarioName,ScenarioData,MATCH($G308,scenarios!$G$3:$G$144,0),FALSE)="","",HLOOKUP(ScenarioName,ScenarioData,MATCH($G308,scenarios!$G$3:$G$153,0),FALSE)),HLOOKUP(CaseName,CaseData,MATCH($G308,cases!$G$3:$G$1232,0)-1,FALSE))</f>
        <v/>
      </c>
      <c r="K308" s="435">
        <v>1</v>
      </c>
      <c r="L308" s="298">
        <f t="shared" ref="L308:L314" si="20">IF(ISBLANK(I308),IF(ISNUMBER(J308)=FALSE,K308/1000,J308/1000),I308/1000)</f>
        <v>1E-3</v>
      </c>
      <c r="M308" s="216" t="s">
        <v>724</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2">
      <c r="A309" s="216"/>
      <c r="B309" s="216" t="s">
        <v>721</v>
      </c>
      <c r="C309" s="228"/>
      <c r="D309" s="228"/>
      <c r="E309" s="228"/>
      <c r="F309" s="228"/>
      <c r="G309" s="579" t="s">
        <v>760</v>
      </c>
      <c r="H309" s="216" t="s">
        <v>723</v>
      </c>
      <c r="I309" s="274"/>
      <c r="J309" s="425" t="str">
        <f>IF(HLOOKUP(CaseName,CaseData,MATCH($G309,cases!$G$3:$G$1232,0)-1,FALSE)="",IF(HLOOKUP(ScenarioName,ScenarioData,MATCH($G309,scenarios!$G$3:$G$144,0),FALSE)="","",HLOOKUP(ScenarioName,ScenarioData,MATCH($G309,scenarios!$G$3:$G$153,0),FALSE)),HLOOKUP(CaseName,CaseData,MATCH($G309,cases!$G$3:$G$1232,0)-1,FALSE))</f>
        <v/>
      </c>
      <c r="K309" s="435">
        <v>1</v>
      </c>
      <c r="L309" s="298">
        <f t="shared" si="20"/>
        <v>1E-3</v>
      </c>
      <c r="M309" s="216" t="s">
        <v>724</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2">
      <c r="A310" s="216"/>
      <c r="B310" s="216" t="s">
        <v>721</v>
      </c>
      <c r="C310" s="228"/>
      <c r="D310" s="228"/>
      <c r="E310" s="228"/>
      <c r="F310" s="228"/>
      <c r="G310" s="579" t="s">
        <v>761</v>
      </c>
      <c r="H310" s="216" t="s">
        <v>723</v>
      </c>
      <c r="I310" s="274"/>
      <c r="J310" s="425" t="str">
        <f>IF(HLOOKUP(CaseName,CaseData,MATCH($G310,cases!$G$3:$G$1232,0)-1,FALSE)="",IF(HLOOKUP(ScenarioName,ScenarioData,MATCH($G310,scenarios!$G$3:$G$144,0),FALSE)="","",HLOOKUP(ScenarioName,ScenarioData,MATCH($G310,scenarios!$G$3:$G$153,0),FALSE)),HLOOKUP(CaseName,CaseData,MATCH($G310,cases!$G$3:$G$1232,0)-1,FALSE))</f>
        <v/>
      </c>
      <c r="K310" s="435">
        <v>1</v>
      </c>
      <c r="L310" s="298">
        <f t="shared" si="20"/>
        <v>1E-3</v>
      </c>
      <c r="M310" s="216" t="s">
        <v>724</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2">
      <c r="A311" s="216"/>
      <c r="B311" s="216" t="s">
        <v>730</v>
      </c>
      <c r="C311" s="228"/>
      <c r="D311" s="228"/>
      <c r="E311" s="228"/>
      <c r="F311" s="228"/>
      <c r="G311" s="579" t="s">
        <v>762</v>
      </c>
      <c r="H311" s="216" t="s">
        <v>586</v>
      </c>
      <c r="I311" s="274"/>
      <c r="J311" s="425" t="str">
        <f>IF(HLOOKUP(CaseName,CaseData,MATCH($G311,cases!$G$3:$G$1232,0)-1,FALSE)="",IF(HLOOKUP(ScenarioName,ScenarioData,MATCH($G311,scenarios!$G$3:$G$144,0),FALSE)="","",HLOOKUP(ScenarioName,ScenarioData,MATCH($G311,scenarios!$G$3:$G$153,0),FALSE)),HLOOKUP(CaseName,CaseData,MATCH($G311,cases!$G$3:$G$1232,0)-1,FALSE))</f>
        <v/>
      </c>
      <c r="K311" s="435">
        <v>0.5</v>
      </c>
      <c r="L311" s="298">
        <f t="shared" si="20"/>
        <v>5.0000000000000001E-4</v>
      </c>
      <c r="M311" s="216" t="s">
        <v>724</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2">
      <c r="A312" s="216"/>
      <c r="B312" s="216" t="s">
        <v>730</v>
      </c>
      <c r="C312" s="228"/>
      <c r="D312" s="228"/>
      <c r="E312" s="228"/>
      <c r="F312" s="228"/>
      <c r="G312" s="579" t="s">
        <v>763</v>
      </c>
      <c r="H312" s="216" t="s">
        <v>723</v>
      </c>
      <c r="I312" s="281"/>
      <c r="J312" s="425" t="str">
        <f>IF(HLOOKUP(CaseName,CaseData,MATCH($G312,cases!$G$3:$G$1232,0)-1,FALSE)="",IF(HLOOKUP(ScenarioName,ScenarioData,MATCH($G312,scenarios!$G$3:$G$144,0),FALSE)="","",HLOOKUP(ScenarioName,ScenarioData,MATCH($G312,scenarios!$G$3:$G$153,0),FALSE)),HLOOKUP(CaseName,CaseData,MATCH($G312,cases!$G$3:$G$1232,0)-1,FALSE))</f>
        <v/>
      </c>
      <c r="K312" s="435">
        <v>15</v>
      </c>
      <c r="L312" s="298">
        <f t="shared" si="20"/>
        <v>1.4999999999999999E-2</v>
      </c>
      <c r="M312" s="216" t="s">
        <v>724</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2">
      <c r="A313" s="216"/>
      <c r="B313" s="216" t="s">
        <v>732</v>
      </c>
      <c r="C313" s="228"/>
      <c r="D313" s="228"/>
      <c r="E313" s="228"/>
      <c r="F313" s="228"/>
      <c r="G313" s="579" t="s">
        <v>764</v>
      </c>
      <c r="H313" s="216" t="s">
        <v>723</v>
      </c>
      <c r="I313" s="281"/>
      <c r="J313" s="425" t="str">
        <f>IF(HLOOKUP(CaseName,CaseData,MATCH($G313,cases!$G$3:$G$1232,0)-1,FALSE)="",IF(HLOOKUP(ScenarioName,ScenarioData,MATCH($G313,scenarios!$G$3:$G$144,0),FALSE)="","",HLOOKUP(ScenarioName,ScenarioData,MATCH($G313,scenarios!$G$3:$G$153,0),FALSE)),HLOOKUP(CaseName,CaseData,MATCH($G313,cases!$G$3:$G$1232,0)-1,FALSE))</f>
        <v/>
      </c>
      <c r="K313" s="435">
        <v>5</v>
      </c>
      <c r="L313" s="298">
        <f t="shared" si="20"/>
        <v>5.0000000000000001E-3</v>
      </c>
      <c r="M313" s="216" t="s">
        <v>724</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2">
      <c r="A314" s="228"/>
      <c r="B314" s="228" t="s">
        <v>734</v>
      </c>
      <c r="C314" s="228"/>
      <c r="D314" s="228"/>
      <c r="E314" s="228"/>
      <c r="F314" s="228"/>
      <c r="G314" s="216" t="s">
        <v>765</v>
      </c>
      <c r="H314" s="216" t="s">
        <v>736</v>
      </c>
      <c r="I314" s="710"/>
      <c r="J314" s="425" t="str">
        <f>IF(HLOOKUP(CaseName,CaseData,MATCH($G314,cases!$G$3:$G$1232,0)-1,FALSE)="",IF(HLOOKUP(ScenarioName,ScenarioData,MATCH($G314,scenarios!$G$3:$G$144,0),FALSE)="","",HLOOKUP(ScenarioName,ScenarioData,MATCH($G314,scenarios!$G$3:$G$153,0),FALSE)),HLOOKUP(CaseName,CaseData,MATCH($G314,cases!$G$3:$G$1232,0)-1,FALSE))</f>
        <v/>
      </c>
      <c r="K314" s="577">
        <v>100</v>
      </c>
      <c r="L314" s="298">
        <f t="shared" si="20"/>
        <v>0.1</v>
      </c>
      <c r="M314" s="216" t="s">
        <v>737</v>
      </c>
      <c r="N314" s="228" t="s">
        <v>738</v>
      </c>
      <c r="O314" s="243"/>
      <c r="P314" s="228"/>
    </row>
    <row r="315" spans="1:34" s="26" customFormat="1" ht="12.75" customHeight="1" x14ac:dyDescent="0.2">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2">
      <c r="A316" s="821" t="s">
        <v>766</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2">
      <c r="A317" s="228"/>
      <c r="B317" s="228" t="s">
        <v>767</v>
      </c>
      <c r="C317" s="228"/>
      <c r="D317" s="228"/>
      <c r="E317" s="228"/>
      <c r="F317" s="228"/>
      <c r="G317" s="216" t="s">
        <v>768</v>
      </c>
      <c r="H317" s="216" t="s">
        <v>296</v>
      </c>
      <c r="I317" s="573"/>
      <c r="J317" s="569" t="str">
        <f>IF(HLOOKUP(CaseName,CaseData,MATCH($G317,cases!$G$3:$G$1232,0)-1,FALSE)="","",HLOOKUP(CaseName,CaseData,MATCH($G317,cases!$G$3:$G$1232,0)-1,FALSE))</f>
        <v/>
      </c>
      <c r="K317" s="614">
        <v>5.6</v>
      </c>
      <c r="L317" s="551">
        <f t="shared" ref="L317:L329" si="21">IF(ISBLANK(I317), IF(ISNUMBER(J317)=FALSE, K317, J317), I317)</f>
        <v>5.6</v>
      </c>
      <c r="M317" s="580" t="s">
        <v>297</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2">
      <c r="A318" s="228"/>
      <c r="B318" s="228" t="s">
        <v>769</v>
      </c>
      <c r="C318" s="228"/>
      <c r="D318" s="228"/>
      <c r="E318" s="228"/>
      <c r="F318" s="228"/>
      <c r="G318" s="216" t="s">
        <v>770</v>
      </c>
      <c r="H318" s="216" t="s">
        <v>296</v>
      </c>
      <c r="I318" s="573"/>
      <c r="J318" s="569" t="str">
        <f>IF(HLOOKUP(CaseName,CaseData,MATCH($G318,cases!$G$3:$G$1232,0)-1,FALSE)="","",HLOOKUP(CaseName,CaseData,MATCH($G318,cases!$G$3:$G$1232,0)-1,FALSE))</f>
        <v/>
      </c>
      <c r="K318" s="435">
        <v>3</v>
      </c>
      <c r="L318" s="551">
        <f t="shared" si="21"/>
        <v>3</v>
      </c>
      <c r="M318" s="580" t="s">
        <v>297</v>
      </c>
      <c r="N318" s="228" t="s">
        <v>771</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2">
      <c r="A319" s="228"/>
      <c r="B319" s="228" t="s">
        <v>772</v>
      </c>
      <c r="C319" s="228"/>
      <c r="D319" s="228"/>
      <c r="E319" s="228"/>
      <c r="F319" s="228"/>
      <c r="G319" s="216" t="s">
        <v>773</v>
      </c>
      <c r="H319" s="216" t="s">
        <v>296</v>
      </c>
      <c r="I319" s="573"/>
      <c r="J319" s="569" t="str">
        <f>IF(HLOOKUP(CaseName,CaseData,MATCH($G319,cases!$G$3:$G$1232,0)-1,FALSE)="","",HLOOKUP(CaseName,CaseData,MATCH($G319,cases!$G$3:$G$1232,0)-1,FALSE))</f>
        <v/>
      </c>
      <c r="K319" s="435">
        <v>7</v>
      </c>
      <c r="L319" s="551">
        <f t="shared" si="21"/>
        <v>7</v>
      </c>
      <c r="M319" s="580" t="s">
        <v>297</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2">
      <c r="A320" s="228"/>
      <c r="B320" s="228" t="s">
        <v>774</v>
      </c>
      <c r="C320" s="228"/>
      <c r="D320" s="228"/>
      <c r="E320" s="228"/>
      <c r="F320" s="228"/>
      <c r="G320" s="216" t="s">
        <v>775</v>
      </c>
      <c r="H320" s="216" t="s">
        <v>296</v>
      </c>
      <c r="I320" s="573"/>
      <c r="J320" s="569" t="str">
        <f>IF(HLOOKUP(CaseName,CaseData,MATCH($G320,cases!$G$3:$G$1232,0)-1,FALSE)="","",HLOOKUP(CaseName,CaseData,MATCH($G320,cases!$G$3:$G$1232,0)-1,FALSE))</f>
        <v/>
      </c>
      <c r="K320" s="435">
        <v>8</v>
      </c>
      <c r="L320" s="551">
        <f t="shared" si="21"/>
        <v>8</v>
      </c>
      <c r="M320" s="580" t="s">
        <v>297</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2">
      <c r="A321" s="228"/>
      <c r="B321" s="228" t="s">
        <v>776</v>
      </c>
      <c r="C321" s="228"/>
      <c r="D321" s="228"/>
      <c r="E321" s="228"/>
      <c r="F321" s="228"/>
      <c r="G321" s="216" t="s">
        <v>777</v>
      </c>
      <c r="H321" s="216" t="s">
        <v>296</v>
      </c>
      <c r="I321" s="573"/>
      <c r="J321" s="569" t="str">
        <f>IF(HLOOKUP(CaseName,CaseData,MATCH($G321,cases!$G$3:$G$1232,0)-1,FALSE)="","",HLOOKUP(CaseName,CaseData,MATCH($G321,cases!$G$3:$G$1232,0)-1,FALSE))</f>
        <v/>
      </c>
      <c r="K321" s="435">
        <v>5</v>
      </c>
      <c r="L321" s="551">
        <f t="shared" si="21"/>
        <v>5</v>
      </c>
      <c r="M321" s="580" t="s">
        <v>297</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2">
      <c r="A322" s="228"/>
      <c r="B322" s="228" t="s">
        <v>778</v>
      </c>
      <c r="C322" s="228"/>
      <c r="D322" s="228"/>
      <c r="E322" s="228"/>
      <c r="F322" s="228"/>
      <c r="G322" s="216" t="s">
        <v>779</v>
      </c>
      <c r="H322" s="216" t="s">
        <v>296</v>
      </c>
      <c r="I322" s="573"/>
      <c r="J322" s="569" t="str">
        <f>IF(HLOOKUP(CaseName,CaseData,MATCH($G322,cases!$G$3:$G$1232,0)-1,FALSE)="","",HLOOKUP(CaseName,CaseData,MATCH($G322,cases!$G$3:$G$1232,0)-1,FALSE))</f>
        <v/>
      </c>
      <c r="K322" s="435">
        <v>7</v>
      </c>
      <c r="L322" s="551">
        <f t="shared" si="21"/>
        <v>7</v>
      </c>
      <c r="M322" s="580" t="s">
        <v>297</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2">
      <c r="A323" s="228"/>
      <c r="B323" s="228" t="s">
        <v>780</v>
      </c>
      <c r="C323" s="228"/>
      <c r="D323" s="228"/>
      <c r="E323" s="228"/>
      <c r="F323" s="228"/>
      <c r="G323" s="216" t="s">
        <v>781</v>
      </c>
      <c r="H323" s="216" t="s">
        <v>296</v>
      </c>
      <c r="I323" s="573"/>
      <c r="J323" s="569" t="str">
        <f>IF(HLOOKUP(CaseName,CaseData,MATCH($G323,cases!$G$3:$G$1232,0)-1,FALSE)="","",HLOOKUP(CaseName,CaseData,MATCH($G323,cases!$G$3:$G$1232,0)-1,FALSE))</f>
        <v/>
      </c>
      <c r="K323" s="435">
        <v>7</v>
      </c>
      <c r="L323" s="551">
        <f t="shared" si="21"/>
        <v>7</v>
      </c>
      <c r="M323" s="580" t="s">
        <v>297</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2">
      <c r="A324" s="228"/>
      <c r="B324" s="228" t="s">
        <v>782</v>
      </c>
      <c r="C324" s="228"/>
      <c r="D324" s="228"/>
      <c r="E324" s="228"/>
      <c r="F324" s="228"/>
      <c r="G324" s="216" t="s">
        <v>783</v>
      </c>
      <c r="H324" s="579" t="s">
        <v>784</v>
      </c>
      <c r="I324" s="570"/>
      <c r="J324" s="569" t="str">
        <f>IF(HLOOKUP(CaseName,CaseData,MATCH($G324,cases!$G$3:$G$1232,0)-1,FALSE)="","",HLOOKUP(CaseName,CaseData,MATCH($G324,cases!$G$3:$G$1232,0)-1,FALSE))</f>
        <v/>
      </c>
      <c r="K324" s="407">
        <f>0.0000257*SQRT(18)/SQRT(Molweight*1000)</f>
        <v>1.5842781631137075E-5</v>
      </c>
      <c r="L324" s="423">
        <f t="shared" si="21"/>
        <v>1.5842781631137075E-5</v>
      </c>
      <c r="M324" s="579" t="s">
        <v>785</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2">
      <c r="A325" s="228"/>
      <c r="B325" s="228" t="s">
        <v>786</v>
      </c>
      <c r="C325" s="228"/>
      <c r="D325" s="228"/>
      <c r="E325" s="228"/>
      <c r="F325" s="228"/>
      <c r="G325" s="216" t="s">
        <v>787</v>
      </c>
      <c r="H325" s="579" t="s">
        <v>784</v>
      </c>
      <c r="I325" s="570"/>
      <c r="J325" s="569" t="str">
        <f>IF(HLOOKUP(CaseName,CaseData,MATCH($G325,cases!$G$3:$G$1232,0)-1,FALSE)="","",HLOOKUP(CaseName,CaseData,MATCH($G325,cases!$G$3:$G$1232,0)-1,FALSE))</f>
        <v/>
      </c>
      <c r="K325" s="407">
        <f>0.000000002*SQRT(32)/SQRT(Molweight*1000)</f>
        <v>1.6438683923358837E-9</v>
      </c>
      <c r="L325" s="423">
        <f t="shared" si="21"/>
        <v>1.6438683923358837E-9</v>
      </c>
      <c r="M325" s="579" t="s">
        <v>785</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2">
      <c r="A326" s="228"/>
      <c r="B326" s="228" t="s">
        <v>788</v>
      </c>
      <c r="C326" s="228"/>
      <c r="D326" s="228"/>
      <c r="E326" s="228"/>
      <c r="F326" s="228"/>
      <c r="G326" s="228" t="s">
        <v>789</v>
      </c>
      <c r="H326" s="228" t="s">
        <v>296</v>
      </c>
      <c r="I326" s="573"/>
      <c r="J326" s="569" t="str">
        <f>IF(HLOOKUP(CaseName,CaseData,MATCH($G326,cases!$G$3:$G$1232,0)-1,FALSE)="","",HLOOKUP(CaseName,CaseData,MATCH($G326,cases!$G$3:$G$1232,0)-1,FALSE))</f>
        <v/>
      </c>
      <c r="K326" s="435">
        <v>0.1</v>
      </c>
      <c r="L326" s="551">
        <f t="shared" si="21"/>
        <v>0.1</v>
      </c>
      <c r="M326" s="216" t="s">
        <v>297</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2">
      <c r="A327" s="216"/>
      <c r="B327" s="216" t="s">
        <v>790</v>
      </c>
      <c r="C327" s="228"/>
      <c r="D327" s="228"/>
      <c r="E327" s="579"/>
      <c r="F327" s="579"/>
      <c r="G327" s="228" t="s">
        <v>791</v>
      </c>
      <c r="H327" s="216" t="s">
        <v>296</v>
      </c>
      <c r="I327" s="573"/>
      <c r="J327" s="569" t="str">
        <f>IF(HLOOKUP(CaseName,CaseData,MATCH($G327,cases!$G$3:$G$1232,0)-1,FALSE)="","",HLOOKUP(CaseName,CaseData,MATCH($G327,cases!$G$3:$G$1232,0)-1,FALSE))</f>
        <v/>
      </c>
      <c r="K327" s="407">
        <v>0.02</v>
      </c>
      <c r="L327" s="423">
        <f t="shared" si="21"/>
        <v>0.02</v>
      </c>
      <c r="M327" s="216" t="s">
        <v>297</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2">
      <c r="A328" s="228"/>
      <c r="B328" s="228" t="s">
        <v>792</v>
      </c>
      <c r="C328" s="228"/>
      <c r="D328" s="228"/>
      <c r="E328" s="228"/>
      <c r="F328" s="228"/>
      <c r="G328" s="228" t="s">
        <v>793</v>
      </c>
      <c r="H328" s="216" t="s">
        <v>794</v>
      </c>
      <c r="I328" s="570"/>
      <c r="J328" s="569" t="str">
        <f>IF(HLOOKUP(CaseName,CaseData,MATCH($G328,cases!$G$3:$G$1232,0)-1,FALSE)="","",HLOOKUP(CaseName,CaseData,MATCH($G328,cases!$G$3:$G$1232,0)-1,FALSE))</f>
        <v/>
      </c>
      <c r="K328" s="435">
        <v>2000</v>
      </c>
      <c r="L328" s="551">
        <f t="shared" si="21"/>
        <v>2000</v>
      </c>
      <c r="M328" s="216" t="s">
        <v>724</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2">
      <c r="A329" s="216"/>
      <c r="B329" s="216" t="s">
        <v>795</v>
      </c>
      <c r="C329" s="579"/>
      <c r="D329" s="579"/>
      <c r="E329" s="228"/>
      <c r="F329" s="228"/>
      <c r="G329" s="228" t="s">
        <v>796</v>
      </c>
      <c r="H329" s="216" t="s">
        <v>794</v>
      </c>
      <c r="I329" s="571"/>
      <c r="J329" s="854" t="str">
        <f>IF(HLOOKUP(CaseName,CaseData,MATCH($G329,cases!$G$3:$G$1232,0)-1,FALSE)="","",HLOOKUP(CaseName,CaseData,MATCH($G329,cases!$G$3:$G$1232,0)-1,FALSE))</f>
        <v/>
      </c>
      <c r="K329" s="407">
        <v>2500</v>
      </c>
      <c r="L329" s="423">
        <f t="shared" si="21"/>
        <v>2500</v>
      </c>
      <c r="M329" s="216" t="s">
        <v>724</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2">
      <c r="A330" s="228"/>
      <c r="B330" s="228" t="s">
        <v>797</v>
      </c>
      <c r="C330" s="228"/>
      <c r="D330" s="228"/>
      <c r="E330" s="228"/>
      <c r="F330" s="228"/>
      <c r="G330" s="228" t="s">
        <v>798</v>
      </c>
      <c r="H330" s="228" t="s">
        <v>799</v>
      </c>
      <c r="I330" s="570"/>
      <c r="J330" s="854" t="str">
        <f>IF(HLOOKUP(CaseName,CaseData,MATCH($G330,cases!$G$3:$G$1232,0)-1,FALSE)="","",HLOOKUP(CaseName,CaseData,MATCH($G330,cases!$G$3:$G$1232,0)-1,FALSE))</f>
        <v/>
      </c>
      <c r="K330" s="407">
        <f>1.81*10^-5</f>
        <v>1.8100000000000003E-5</v>
      </c>
      <c r="L330" s="423">
        <f t="shared" ref="L330:L335" si="22">IF(ISBLANK(I330),IF(ISNUMBER(J330)=FALSE,K330,J330),I330)</f>
        <v>1.8100000000000003E-5</v>
      </c>
      <c r="M330" s="228" t="s">
        <v>800</v>
      </c>
      <c r="N330" s="228"/>
      <c r="O330" s="228"/>
      <c r="P330" s="228"/>
    </row>
    <row r="331" spans="1:34" s="26" customFormat="1" ht="12.75" customHeight="1" x14ac:dyDescent="0.2">
      <c r="A331" s="228"/>
      <c r="B331" s="228" t="s">
        <v>801</v>
      </c>
      <c r="C331" s="228"/>
      <c r="D331" s="228"/>
      <c r="E331" s="228"/>
      <c r="F331" s="228"/>
      <c r="G331" s="216" t="s">
        <v>802</v>
      </c>
      <c r="H331" s="216" t="s">
        <v>287</v>
      </c>
      <c r="I331" s="573"/>
      <c r="J331" s="854" t="str">
        <f>IF(HLOOKUP(CaseName,CaseData,MATCH($G331,cases!$G$3:$G$1232,0)-1,FALSE)="","",HLOOKUP(CaseName,CaseData,MATCH($G331,cases!$G$3:$G$1232,0)-1,FALSE))</f>
        <v/>
      </c>
      <c r="K331" s="432">
        <v>1.2250000000000001</v>
      </c>
      <c r="L331" s="298">
        <f t="shared" si="22"/>
        <v>1.2250000000000001</v>
      </c>
      <c r="M331" s="216" t="s">
        <v>287</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2">
      <c r="A332" s="228"/>
      <c r="B332" s="228" t="s">
        <v>803</v>
      </c>
      <c r="C332" s="228"/>
      <c r="D332" s="228"/>
      <c r="E332" s="228"/>
      <c r="F332" s="228"/>
      <c r="G332" s="216" t="s">
        <v>804</v>
      </c>
      <c r="H332" s="228" t="s">
        <v>805</v>
      </c>
      <c r="I332" s="571"/>
      <c r="J332" s="854" t="str">
        <f>IF(HLOOKUP(CaseName,CaseData,MATCH($G332,cases!$G$3:$G$1232,0)-1,FALSE)="","",HLOOKUP(CaseName,CaseData,MATCH($G332,cases!$G$3:$G$1232,0)-1,FALSE))</f>
        <v/>
      </c>
      <c r="K332" s="407">
        <f>0.001002</f>
        <v>1.0020000000000001E-3</v>
      </c>
      <c r="L332" s="423">
        <f t="shared" si="22"/>
        <v>1.0020000000000001E-3</v>
      </c>
      <c r="M332" s="228" t="s">
        <v>806</v>
      </c>
      <c r="N332" s="228"/>
      <c r="O332" s="228"/>
      <c r="P332" s="228"/>
    </row>
    <row r="333" spans="1:34" customFormat="1" ht="12.75" customHeight="1" x14ac:dyDescent="0.2">
      <c r="A333" s="228"/>
      <c r="B333" s="228" t="s">
        <v>807</v>
      </c>
      <c r="C333" s="228"/>
      <c r="D333" s="228"/>
      <c r="E333" s="228"/>
      <c r="F333" s="228"/>
      <c r="G333" s="216" t="s">
        <v>808</v>
      </c>
      <c r="H333" s="216" t="s">
        <v>794</v>
      </c>
      <c r="I333" s="571"/>
      <c r="J333" s="854" t="str">
        <f>IF(HLOOKUP(CaseName,CaseData,MATCH($G333,cases!$G$3:$G$1232,0)-1,FALSE)="","",HLOOKUP(CaseName,CaseData,MATCH($G333,cases!$G$3:$G$1232,0)-1,FALSE))</f>
        <v/>
      </c>
      <c r="K333" s="407">
        <v>998</v>
      </c>
      <c r="L333" s="423">
        <f t="shared" si="22"/>
        <v>998</v>
      </c>
      <c r="M333" s="216" t="s">
        <v>724</v>
      </c>
      <c r="N333" s="228"/>
      <c r="O333" s="228"/>
      <c r="P333" s="228"/>
    </row>
    <row r="334" spans="1:34" customFormat="1" ht="12.75" customHeight="1" x14ac:dyDescent="0.2">
      <c r="A334" s="228"/>
      <c r="B334" s="228" t="s">
        <v>809</v>
      </c>
      <c r="C334" s="228"/>
      <c r="D334" s="228"/>
      <c r="E334" s="228"/>
      <c r="F334" s="228"/>
      <c r="G334" s="228" t="s">
        <v>810</v>
      </c>
      <c r="H334" s="228" t="s">
        <v>811</v>
      </c>
      <c r="I334" s="571"/>
      <c r="J334" s="854" t="str">
        <f>IF(HLOOKUP(CaseName,CaseData,MATCH($G334,cases!$G$3:$G$1232,0)-1,FALSE)="","",HLOOKUP(CaseName,CaseData,MATCH($G334,cases!$G$3:$G$1232,0)-1,FALSE))</f>
        <v/>
      </c>
      <c r="K334" s="407">
        <v>1.3806488E-23</v>
      </c>
      <c r="L334" s="423">
        <f t="shared" si="22"/>
        <v>1.3806488E-23</v>
      </c>
      <c r="M334" s="228" t="s">
        <v>812</v>
      </c>
      <c r="N334" s="228"/>
      <c r="O334" s="228"/>
      <c r="P334" s="228"/>
    </row>
    <row r="335" spans="1:34" customFormat="1" ht="12.75" customHeight="1" x14ac:dyDescent="0.2">
      <c r="A335" s="228"/>
      <c r="B335" s="228" t="s">
        <v>813</v>
      </c>
      <c r="C335" s="228"/>
      <c r="D335" s="228"/>
      <c r="E335" s="228"/>
      <c r="F335" s="228"/>
      <c r="G335" s="228" t="s">
        <v>814</v>
      </c>
      <c r="H335" s="228" t="s">
        <v>815</v>
      </c>
      <c r="I335" s="571"/>
      <c r="J335" s="854" t="str">
        <f>IF(HLOOKUP(CaseName,CaseData,MATCH($G335,cases!$G$3:$G$1232,0)-1,FALSE)="","",HLOOKUP(CaseName,CaseData,MATCH($G335,cases!$G$3:$G$1232,0)-1,FALSE))</f>
        <v/>
      </c>
      <c r="K335" s="407">
        <v>9.81</v>
      </c>
      <c r="L335" s="423">
        <f t="shared" si="22"/>
        <v>9.81</v>
      </c>
      <c r="M335" s="228" t="s">
        <v>816</v>
      </c>
      <c r="N335" s="228"/>
      <c r="O335" s="228"/>
      <c r="P335" s="228"/>
    </row>
    <row r="336" spans="1:34" customFormat="1" ht="12.75" customHeight="1" x14ac:dyDescent="0.2">
      <c r="A336" s="228"/>
      <c r="B336" s="228"/>
      <c r="C336" s="228"/>
      <c r="D336" s="228"/>
      <c r="E336" s="228"/>
      <c r="F336" s="228"/>
      <c r="G336" s="228"/>
      <c r="H336" s="228"/>
      <c r="I336" s="894"/>
      <c r="J336" s="854"/>
      <c r="K336" s="869"/>
      <c r="L336" s="432"/>
      <c r="M336" s="228"/>
      <c r="N336" s="228"/>
      <c r="O336" s="228"/>
      <c r="P336" s="228"/>
    </row>
    <row r="337" spans="1:17" s="410" customFormat="1" ht="12.75" customHeight="1" x14ac:dyDescent="0.2">
      <c r="A337" s="639" t="s">
        <v>817</v>
      </c>
      <c r="B337" s="639"/>
      <c r="C337" s="639"/>
      <c r="D337" s="639"/>
      <c r="E337" s="639"/>
      <c r="F337" s="639"/>
      <c r="G337" s="639"/>
      <c r="H337" s="639"/>
      <c r="I337" s="883"/>
      <c r="J337" s="885"/>
      <c r="K337" s="882"/>
      <c r="L337" s="884"/>
      <c r="M337" s="639"/>
      <c r="N337" s="639"/>
      <c r="O337" s="517"/>
      <c r="P337" s="639"/>
    </row>
    <row r="338" spans="1:17" s="11" customFormat="1" ht="12.75" customHeight="1" x14ac:dyDescent="0.2">
      <c r="A338" s="228"/>
      <c r="B338" s="228" t="s">
        <v>818</v>
      </c>
      <c r="C338" s="228"/>
      <c r="D338" s="228"/>
      <c r="E338" s="228"/>
      <c r="F338" s="215"/>
      <c r="G338" s="863" t="s">
        <v>819</v>
      </c>
      <c r="H338" s="216" t="s">
        <v>283</v>
      </c>
      <c r="I338" s="573"/>
      <c r="J338" s="886" t="str">
        <f>IF(HLOOKUP(CaseName,CaseData,MATCH($G338,cases!$G$3:$G$1232,0)-1,FALSE)="",IF(HLOOKUP(ScenarioName,ScenarioData,MATCH($G338,scenarios!$G$3:$G$144,0),FALSE)="","",HLOOKUP(ScenarioName,ScenarioData,MATCH($G338,scenarios!$G$3:$G$153,0),FALSE)),HLOOKUP(CaseName,CaseData,MATCH($G338,cases!$G$3:$G$1232,0)-1,FALSE))</f>
        <v/>
      </c>
      <c r="K338" s="869">
        <v>10</v>
      </c>
      <c r="L338" s="298">
        <f>IF(ISBLANK(I338),IF(ISNUMBER(J338)=FALSE,K338*10^-9,J338*10^-9),I338*10^-9)</f>
        <v>1E-8</v>
      </c>
      <c r="M338" s="216" t="s">
        <v>820</v>
      </c>
      <c r="N338" s="228"/>
      <c r="O338" s="262"/>
      <c r="P338" s="228" t="s">
        <v>716</v>
      </c>
      <c r="Q338" s="11" t="b">
        <f>HLOOKUP(CaseName,CaseData,MATCH($G338,cases!$G$3:$G$1232,0),FALSE)=""</f>
        <v>1</v>
      </c>
    </row>
    <row r="339" spans="1:17" s="11" customFormat="1" ht="12.75" customHeight="1" x14ac:dyDescent="0.2">
      <c r="A339" s="228"/>
      <c r="B339" s="228" t="s">
        <v>821</v>
      </c>
      <c r="C339" s="228"/>
      <c r="D339" s="228"/>
      <c r="E339" s="228"/>
      <c r="F339" s="215"/>
      <c r="G339" s="863" t="s">
        <v>822</v>
      </c>
      <c r="H339" s="216" t="s">
        <v>287</v>
      </c>
      <c r="I339" s="573"/>
      <c r="J339" s="886" t="str">
        <f>IF(HLOOKUP(CaseName,CaseData,MATCH($G339,cases!$G$3:$G$1232,0)-1,FALSE)="",IF(HLOOKUP(ScenarioName,ScenarioData,MATCH($G339,scenarios!$G$3:$G$144,0),FALSE)="","",HLOOKUP(ScenarioName,ScenarioData,MATCH($G339,scenarios!$G$3:$G$153,0),FALSE)),HLOOKUP(CaseName,CaseData,MATCH($G339,cases!$G$3:$G$1232,0)-1,FALSE))</f>
        <v/>
      </c>
      <c r="K339" s="869">
        <v>1300</v>
      </c>
      <c r="L339" s="298">
        <f>IF(ISBLANK(I339),IF(ISNUMBER(J339)=FALSE,K339,J339),I339)</f>
        <v>1300</v>
      </c>
      <c r="M339" s="216" t="s">
        <v>287</v>
      </c>
      <c r="N339" s="228"/>
      <c r="O339" s="262"/>
      <c r="P339" s="228" t="s">
        <v>823</v>
      </c>
      <c r="Q339" s="11">
        <f>HLOOKUP(ScenarioName,ScenarioData,MATCH($G338,scenarios!$G$3:$G$144,0),FALSE)</f>
        <v>0</v>
      </c>
    </row>
    <row r="340" spans="1:17" s="26" customFormat="1" ht="12.75" customHeight="1" x14ac:dyDescent="0.2">
      <c r="A340" s="228"/>
      <c r="B340" s="228" t="s">
        <v>824</v>
      </c>
      <c r="C340" s="228"/>
      <c r="D340" s="228"/>
      <c r="E340" s="228"/>
      <c r="F340" s="215"/>
      <c r="G340" s="863" t="s">
        <v>825</v>
      </c>
      <c r="H340" s="216" t="s">
        <v>283</v>
      </c>
      <c r="I340" s="573"/>
      <c r="J340" s="886" t="str">
        <f>IF(HLOOKUP(CaseName,CaseData,MATCH($G340,cases!$G$3:$G$1232,0)-1,FALSE)="",IF(HLOOKUP(ScenarioName,ScenarioData,MATCH($G340,scenarios!$G$3:$G$144,0),FALSE)="","",HLOOKUP(ScenarioName,ScenarioData,MATCH($G340,scenarios!$G$3:$G$153,0),FALSE)),HLOOKUP(CaseName,CaseData,MATCH($G340,cases!$G$3:$G$1232,0)-1,FALSE))</f>
        <v/>
      </c>
      <c r="K340" s="869">
        <v>58</v>
      </c>
      <c r="L340" s="298">
        <f>IF(ISBLANK(I340),IF(ISNUMBER(J340)=FALSE,K340*10^-9,J340*10^-9),I340*10^-9)</f>
        <v>5.8000000000000003E-8</v>
      </c>
      <c r="M340" s="216" t="s">
        <v>820</v>
      </c>
      <c r="N340" s="228"/>
      <c r="O340" s="262"/>
      <c r="P340" s="215"/>
      <c r="Q340" s="11"/>
    </row>
    <row r="341" spans="1:17" s="26" customFormat="1" ht="12.75" customHeight="1" x14ac:dyDescent="0.2">
      <c r="A341" s="228"/>
      <c r="B341" s="228" t="s">
        <v>826</v>
      </c>
      <c r="C341" s="228"/>
      <c r="D341" s="228"/>
      <c r="E341" s="228"/>
      <c r="F341" s="215"/>
      <c r="G341" s="863" t="s">
        <v>827</v>
      </c>
      <c r="H341" s="216" t="s">
        <v>287</v>
      </c>
      <c r="I341" s="573"/>
      <c r="J341" s="886" t="str">
        <f>IF(HLOOKUP(CaseName,CaseData,MATCH($G341,cases!$G$3:$G$1232,0)-1,FALSE)="",IF(HLOOKUP(ScenarioName,ScenarioData,MATCH($G341,scenarios!$G$3:$G$144,0),FALSE)="","",HLOOKUP(ScenarioName,ScenarioData,MATCH($G341,scenarios!$G$3:$G$153,0),FALSE)),HLOOKUP(CaseName,CaseData,MATCH($G341,cases!$G$3:$G$1232,0)-1,FALSE))</f>
        <v/>
      </c>
      <c r="K341" s="869">
        <f>RHOaers</f>
        <v>2000</v>
      </c>
      <c r="L341" s="298">
        <f>IF(ISBLANK(I341),IF(ISNUMBER(J341)=FALSE,K341,J341),I341)</f>
        <v>2000</v>
      </c>
      <c r="M341" s="216" t="s">
        <v>287</v>
      </c>
      <c r="N341" s="228"/>
      <c r="O341" s="262"/>
      <c r="P341" s="215"/>
      <c r="Q341" s="11"/>
    </row>
    <row r="342" spans="1:17" s="26" customFormat="1" ht="12.75" customHeight="1" x14ac:dyDescent="0.2">
      <c r="A342" s="228"/>
      <c r="B342" s="228" t="s">
        <v>828</v>
      </c>
      <c r="C342" s="228"/>
      <c r="D342" s="228"/>
      <c r="E342" s="228"/>
      <c r="F342" s="215"/>
      <c r="G342" s="863" t="s">
        <v>829</v>
      </c>
      <c r="H342" s="228" t="s">
        <v>830</v>
      </c>
      <c r="I342" s="573"/>
      <c r="J342" s="886" t="str">
        <f>IF(HLOOKUP(CaseName,CaseData,MATCH($G342,cases!$G$3:$G$1232,0)-1,FALSE)="",IF(HLOOKUP(ScenarioName,ScenarioData,MATCH($G342,scenarios!$G$3:$G$144,0),FALSE)="","",HLOOKUP(ScenarioName,ScenarioData,MATCH($G342,scenarios!$G$3:$G$153,0),FALSE)),HLOOKUP(CaseName,CaseData,MATCH($G342,cases!$G$3:$G$1232,0)-1,FALSE))</f>
        <v/>
      </c>
      <c r="K342" s="869">
        <v>0.9</v>
      </c>
      <c r="L342" s="298">
        <f>IF(ISBLANK(I342),IF(ISNUMBER(J342)=FALSE,K342*10^-6,J342*10^-6),I342*10^-6)</f>
        <v>8.9999999999999996E-7</v>
      </c>
      <c r="M342" s="216" t="s">
        <v>820</v>
      </c>
      <c r="N342" s="228"/>
      <c r="O342" s="262"/>
      <c r="P342" s="215"/>
      <c r="Q342" s="11"/>
    </row>
    <row r="343" spans="1:17" s="26" customFormat="1" ht="12.75" customHeight="1" x14ac:dyDescent="0.2">
      <c r="A343" s="228"/>
      <c r="B343" s="228" t="s">
        <v>831</v>
      </c>
      <c r="C343" s="228"/>
      <c r="D343" s="228"/>
      <c r="E343" s="228"/>
      <c r="F343" s="215"/>
      <c r="G343" s="863" t="s">
        <v>832</v>
      </c>
      <c r="H343" s="216" t="s">
        <v>287</v>
      </c>
      <c r="I343" s="573"/>
      <c r="J343" s="886" t="str">
        <f>IF(HLOOKUP(CaseName,CaseData,MATCH($G343,cases!$G$3:$G$1232,0)-1,FALSE)="",IF(HLOOKUP(ScenarioName,ScenarioData,MATCH($G343,scenarios!$G$3:$G$144,0),FALSE)="","",HLOOKUP(ScenarioName,ScenarioData,MATCH($G343,scenarios!$G$3:$G$153,0),FALSE)),HLOOKUP(CaseName,CaseData,MATCH($G343,cases!$G$3:$G$1232,0)-1,FALSE))</f>
        <v/>
      </c>
      <c r="K343" s="869">
        <f>RHOaers</f>
        <v>2000</v>
      </c>
      <c r="L343" s="298">
        <f>IF(ISBLANK(I343),IF(ISNUMBER(J343)=FALSE,K343,J343),I343)</f>
        <v>2000</v>
      </c>
      <c r="M343" s="216" t="s">
        <v>287</v>
      </c>
      <c r="N343" s="228"/>
      <c r="O343" s="262"/>
      <c r="P343" s="215"/>
      <c r="Q343" s="11"/>
    </row>
    <row r="344" spans="1:17" s="386" customFormat="1" ht="12.75" customHeight="1" x14ac:dyDescent="0.2">
      <c r="A344" s="228"/>
      <c r="B344" s="228" t="s">
        <v>833</v>
      </c>
      <c r="C344" s="228"/>
      <c r="D344" s="228"/>
      <c r="E344" s="228"/>
      <c r="F344" s="384"/>
      <c r="G344" s="863" t="s">
        <v>834</v>
      </c>
      <c r="H344" s="228" t="s">
        <v>283</v>
      </c>
      <c r="I344" s="573"/>
      <c r="J344" s="886" t="str">
        <f>IF(HLOOKUP(CaseName,CaseData,MATCH($G344,cases!$G$3:$G$1232,0)-1,FALSE)="",IF(HLOOKUP(ScenarioName,ScenarioData,MATCH($G344,scenarios!$G$3:$G$144,0),FALSE)="","",HLOOKUP(ScenarioName,ScenarioData,MATCH($G344,scenarios!$G$3:$G$153,0),FALSE)),HLOOKUP(CaseName,CaseData,MATCH($G344,cases!$G$3:$G$1232,0)-1,FALSE))</f>
        <v/>
      </c>
      <c r="K344" s="869">
        <v>150</v>
      </c>
      <c r="L344" s="298">
        <f>IF(ISBLANK(I344),IF(ISNUMBER(J344)=FALSE,K344*10^-9,J344*10^-9),I344*10^-9)</f>
        <v>1.5000000000000002E-7</v>
      </c>
      <c r="M344" s="228" t="s">
        <v>820</v>
      </c>
      <c r="N344" s="228"/>
      <c r="O344" s="415"/>
      <c r="P344" s="384" t="s">
        <v>835</v>
      </c>
    </row>
    <row r="345" spans="1:17" s="386" customFormat="1" ht="12.75" customHeight="1" x14ac:dyDescent="0.2">
      <c r="A345" s="228"/>
      <c r="B345" s="228" t="s">
        <v>836</v>
      </c>
      <c r="C345" s="228"/>
      <c r="D345" s="228"/>
      <c r="E345" s="228"/>
      <c r="F345" s="384"/>
      <c r="G345" s="863" t="s">
        <v>837</v>
      </c>
      <c r="H345" s="216" t="s">
        <v>287</v>
      </c>
      <c r="I345" s="573"/>
      <c r="J345" s="886" t="str">
        <f>IF(HLOOKUP(CaseName,CaseData,MATCH($G345,cases!$G$3:$G$1232,0)-1,FALSE)="",IF(HLOOKUP(ScenarioName,ScenarioData,MATCH($G345,scenarios!$G$3:$G$144,0),FALSE)="","",HLOOKUP(ScenarioName,ScenarioData,MATCH($G345,scenarios!$G$3:$G$153,0),FALSE)),HLOOKUP(CaseName,CaseData,MATCH($G345,cases!$G$3:$G$1232,0)-1,FALSE))</f>
        <v/>
      </c>
      <c r="K345" s="869">
        <v>2000</v>
      </c>
      <c r="L345" s="298">
        <f>IF(ISBLANK(I345),IF(ISNUMBER(J345)=FALSE,K345,J345),I345)</f>
        <v>2000</v>
      </c>
      <c r="M345" s="216" t="s">
        <v>287</v>
      </c>
      <c r="N345" s="228"/>
      <c r="O345" s="415"/>
      <c r="P345" s="384"/>
    </row>
    <row r="346" spans="1:17" s="386" customFormat="1" ht="12.75" customHeight="1" x14ac:dyDescent="0.2">
      <c r="A346" s="228"/>
      <c r="B346" s="228" t="s">
        <v>838</v>
      </c>
      <c r="C346" s="228"/>
      <c r="D346" s="228"/>
      <c r="E346" s="228"/>
      <c r="F346" s="384"/>
      <c r="G346" s="863" t="s">
        <v>839</v>
      </c>
      <c r="H346" s="228" t="s">
        <v>830</v>
      </c>
      <c r="I346" s="573"/>
      <c r="J346" s="886" t="str">
        <f>IF(HLOOKUP(CaseName,CaseData,MATCH($G346,cases!$G$3:$G$1232,0)-1,FALSE)="",IF(HLOOKUP(ScenarioName,ScenarioData,MATCH($G346,scenarios!$G$3:$G$144,0),FALSE)="","",HLOOKUP(ScenarioName,ScenarioData,MATCH($G346,scenarios!$G$3:$G$153,0),FALSE)),HLOOKUP(CaseName,CaseData,MATCH($G346,cases!$G$3:$G$1232,0)-1,FALSE))</f>
        <v/>
      </c>
      <c r="K346" s="869">
        <v>3</v>
      </c>
      <c r="L346" s="298">
        <f>IF(ISBLANK(I346),IF(ISNUMBER(J346)=FALSE,K346*10^-6,J346*10^-6),I346*10^-6)</f>
        <v>3.0000000000000001E-6</v>
      </c>
      <c r="M346" s="228" t="s">
        <v>820</v>
      </c>
      <c r="N346" s="228"/>
      <c r="O346" s="415"/>
      <c r="P346" s="384"/>
    </row>
    <row r="347" spans="1:17" s="386" customFormat="1" ht="12.75" customHeight="1" x14ac:dyDescent="0.2">
      <c r="A347" s="228"/>
      <c r="B347" s="228" t="s">
        <v>840</v>
      </c>
      <c r="C347" s="228"/>
      <c r="D347" s="228"/>
      <c r="E347" s="228"/>
      <c r="F347" s="384"/>
      <c r="G347" s="863" t="s">
        <v>841</v>
      </c>
      <c r="H347" s="216" t="s">
        <v>287</v>
      </c>
      <c r="I347" s="573"/>
      <c r="J347" s="886" t="str">
        <f>IF(HLOOKUP(CaseName,CaseData,MATCH($G347,cases!$G$3:$G$1232,0)-1,FALSE)="",IF(HLOOKUP(ScenarioName,ScenarioData,MATCH($G347,scenarios!$G$3:$G$144,0),FALSE)="","",HLOOKUP(ScenarioName,ScenarioData,MATCH($G347,scenarios!$G$3:$G$153,0),FALSE)),HLOOKUP(CaseName,CaseData,MATCH($G347,cases!$G$3:$G$1232,0)-1,FALSE))</f>
        <v/>
      </c>
      <c r="K347" s="869">
        <v>2500</v>
      </c>
      <c r="L347" s="298">
        <f>IF(ISBLANK(I347),IF(ISNUMBER(J347)=FALSE,K347,J347),I347)</f>
        <v>2500</v>
      </c>
      <c r="M347" s="216" t="s">
        <v>287</v>
      </c>
      <c r="N347" s="228" t="s">
        <v>842</v>
      </c>
      <c r="O347" s="415"/>
      <c r="P347" s="384"/>
    </row>
    <row r="348" spans="1:17" s="386" customFormat="1" ht="12.75" customHeight="1" x14ac:dyDescent="0.2">
      <c r="A348" s="228"/>
      <c r="B348" s="228" t="s">
        <v>843</v>
      </c>
      <c r="C348" s="228"/>
      <c r="D348" s="228"/>
      <c r="E348" s="228"/>
      <c r="F348" s="384"/>
      <c r="G348" s="863" t="s">
        <v>844</v>
      </c>
      <c r="H348" s="228" t="s">
        <v>283</v>
      </c>
      <c r="I348" s="573"/>
      <c r="J348" s="886" t="str">
        <f>IF(HLOOKUP(CaseName,CaseData,MATCH($G348,cases!$G$3:$G$1232,0)-1,FALSE)="",IF(HLOOKUP(ScenarioName,ScenarioData,MATCH($G348,scenarios!$G$3:$G$144,0),FALSE)="","",HLOOKUP(ScenarioName,ScenarioData,MATCH($G348,scenarios!$G$3:$G$153,0),FALSE)),HLOOKUP(CaseName,CaseData,MATCH($G348,cases!$G$3:$G$1232,0)-1,FALSE))</f>
        <v/>
      </c>
      <c r="K348" s="869">
        <v>150</v>
      </c>
      <c r="L348" s="298">
        <f>IF(ISBLANK(I348),IF(ISNUMBER(J348)=FALSE,K348*10^-9,J348*10^-9),I348*10^-9)</f>
        <v>1.5000000000000002E-7</v>
      </c>
      <c r="M348" s="228" t="s">
        <v>820</v>
      </c>
      <c r="N348" s="228"/>
      <c r="O348" s="415"/>
      <c r="P348" s="384"/>
    </row>
    <row r="349" spans="1:17" s="386" customFormat="1" ht="12.75" customHeight="1" x14ac:dyDescent="0.2">
      <c r="A349" s="228"/>
      <c r="B349" s="228" t="s">
        <v>845</v>
      </c>
      <c r="C349" s="228"/>
      <c r="D349" s="228"/>
      <c r="E349" s="228"/>
      <c r="F349" s="384"/>
      <c r="G349" s="863" t="s">
        <v>846</v>
      </c>
      <c r="H349" s="216" t="s">
        <v>287</v>
      </c>
      <c r="I349" s="573"/>
      <c r="J349" s="886" t="str">
        <f>IF(HLOOKUP(CaseName,CaseData,MATCH($G349,cases!$G$3:$G$1232,0)-1,FALSE)="",IF(HLOOKUP(ScenarioName,ScenarioData,MATCH($G349,scenarios!$G$3:$G$144,0),FALSE)="","",HLOOKUP(ScenarioName,ScenarioData,MATCH($G349,scenarios!$G$3:$G$153,0),FALSE)),HLOOKUP(CaseName,CaseData,MATCH($G349,cases!$G$3:$G$1232,0)-1,FALSE))</f>
        <v/>
      </c>
      <c r="K349" s="869">
        <v>2000</v>
      </c>
      <c r="L349" s="298">
        <f>IF(ISBLANK(I349),IF(ISNUMBER(J349)=FALSE,K349,J349),I349)</f>
        <v>2000</v>
      </c>
      <c r="M349" s="216" t="s">
        <v>287</v>
      </c>
      <c r="N349" s="228"/>
      <c r="O349" s="415"/>
      <c r="P349" s="384"/>
    </row>
    <row r="350" spans="1:17" s="26" customFormat="1" ht="12.75" customHeight="1" x14ac:dyDescent="0.2">
      <c r="A350" s="228"/>
      <c r="B350" s="228" t="s">
        <v>847</v>
      </c>
      <c r="C350" s="228"/>
      <c r="D350" s="228"/>
      <c r="E350" s="228"/>
      <c r="F350" s="215"/>
      <c r="G350" s="863" t="s">
        <v>848</v>
      </c>
      <c r="H350" s="228" t="s">
        <v>830</v>
      </c>
      <c r="I350" s="573"/>
      <c r="J350" s="886" t="str">
        <f>IF(HLOOKUP(CaseName,CaseData,MATCH($G350,cases!$G$3:$G$1232,0)-1,FALSE)="",IF(HLOOKUP(ScenarioName,ScenarioData,MATCH($G350,scenarios!$G$3:$G$144,0),FALSE)="","",HLOOKUP(ScenarioName,ScenarioData,MATCH($G350,scenarios!$G$3:$G$153,0),FALSE)),HLOOKUP(CaseName,CaseData,MATCH($G350,cases!$G$3:$G$1232,0)-1,FALSE))</f>
        <v/>
      </c>
      <c r="K350" s="869">
        <f>256/2</f>
        <v>128</v>
      </c>
      <c r="L350" s="298">
        <f>IF(ISBLANK(I350),IF(ISNUMBER(J350)=FALSE,K350*10^-6,J350*10^-6),I350*10^-6)</f>
        <v>1.2799999999999999E-4</v>
      </c>
      <c r="M350" s="637" t="s">
        <v>820</v>
      </c>
      <c r="N350" s="228"/>
      <c r="O350" s="243"/>
      <c r="P350" s="228" t="s">
        <v>849</v>
      </c>
      <c r="Q350" s="11"/>
    </row>
    <row r="351" spans="1:17" s="386" customFormat="1" ht="12.75" customHeight="1" x14ac:dyDescent="0.2">
      <c r="A351" s="228"/>
      <c r="B351" s="228" t="s">
        <v>850</v>
      </c>
      <c r="C351" s="228"/>
      <c r="D351" s="228"/>
      <c r="E351" s="228"/>
      <c r="F351" s="384"/>
      <c r="G351" s="863" t="s">
        <v>851</v>
      </c>
      <c r="H351" s="228" t="s">
        <v>283</v>
      </c>
      <c r="I351" s="573"/>
      <c r="J351" s="886" t="str">
        <f>IF(HLOOKUP(CaseName,CaseData,MATCH($G351,cases!$G$3:$G$1232,0)-1,FALSE)="",IF(HLOOKUP(ScenarioName,ScenarioData,MATCH($G351,scenarios!$G$3:$G$144,0),FALSE)="","",HLOOKUP(ScenarioName,ScenarioData,MATCH($G351,scenarios!$G$3:$G$153,0),FALSE)),HLOOKUP(CaseName,CaseData,MATCH($G351,cases!$G$3:$G$1232,0)-1,FALSE))</f>
        <v/>
      </c>
      <c r="K351" s="869">
        <v>150</v>
      </c>
      <c r="L351" s="298">
        <f>IF(ISBLANK(I351),IF(ISNUMBER(J351)=FALSE,K351*10^-9,J351*10^-9),I351*10^-9)</f>
        <v>1.5000000000000002E-7</v>
      </c>
      <c r="M351" s="228" t="s">
        <v>820</v>
      </c>
      <c r="N351" s="228"/>
      <c r="O351" s="415"/>
      <c r="P351" s="384" t="s">
        <v>852</v>
      </c>
    </row>
    <row r="352" spans="1:17" s="386" customFormat="1" ht="12.75" customHeight="1" x14ac:dyDescent="0.2">
      <c r="A352" s="228"/>
      <c r="B352" s="228" t="s">
        <v>853</v>
      </c>
      <c r="C352" s="228"/>
      <c r="D352" s="228"/>
      <c r="E352" s="228"/>
      <c r="F352" s="384"/>
      <c r="G352" s="863" t="s">
        <v>854</v>
      </c>
      <c r="H352" s="216" t="s">
        <v>287</v>
      </c>
      <c r="I352" s="573"/>
      <c r="J352" s="886" t="str">
        <f>IF(HLOOKUP(CaseName,CaseData,MATCH($G352,cases!$G$3:$G$1232,0)-1,FALSE)="",IF(HLOOKUP(ScenarioName,ScenarioData,MATCH($G352,scenarios!$G$3:$G$144,0),FALSE)="","",HLOOKUP(ScenarioName,ScenarioData,MATCH($G352,scenarios!$G$3:$G$153,0),FALSE)),HLOOKUP(CaseName,CaseData,MATCH($G352,cases!$G$3:$G$1232,0)-1,FALSE))</f>
        <v/>
      </c>
      <c r="K352" s="869">
        <v>2000</v>
      </c>
      <c r="L352" s="298">
        <f>IF(ISBLANK(I352),IF(ISNUMBER(J352)=FALSE,K352,J352),I352)</f>
        <v>2000</v>
      </c>
      <c r="M352" s="216" t="s">
        <v>287</v>
      </c>
      <c r="N352" s="228"/>
      <c r="O352" s="415"/>
      <c r="P352" s="384"/>
    </row>
    <row r="353" spans="1:34" s="386" customFormat="1" ht="12.75" customHeight="1" x14ac:dyDescent="0.2">
      <c r="A353" s="228"/>
      <c r="B353" s="228" t="s">
        <v>855</v>
      </c>
      <c r="C353" s="228"/>
      <c r="D353" s="228"/>
      <c r="E353" s="228"/>
      <c r="F353" s="384"/>
      <c r="G353" s="863" t="s">
        <v>856</v>
      </c>
      <c r="H353" s="228" t="s">
        <v>830</v>
      </c>
      <c r="I353" s="573"/>
      <c r="J353" s="886" t="str">
        <f>IF(HLOOKUP(CaseName,CaseData,MATCH($G353,cases!$G$3:$G$1232,0)-1,FALSE)="",IF(HLOOKUP(ScenarioName,ScenarioData,MATCH($G353,scenarios!$G$3:$G$144,0),FALSE)="","",HLOOKUP(ScenarioName,ScenarioData,MATCH($G353,scenarios!$G$3:$G$153,0),FALSE)),HLOOKUP(CaseName,CaseData,MATCH($G353,cases!$G$3:$G$1232,0)-1,FALSE))</f>
        <v/>
      </c>
      <c r="K353" s="869">
        <v>128</v>
      </c>
      <c r="L353" s="298">
        <f>IF(ISBLANK(I353),IF(ISNUMBER(J353)=FALSE,K353*10^-6,J353*10^-6),I353*10^-6)</f>
        <v>1.2799999999999999E-4</v>
      </c>
      <c r="M353" s="228" t="s">
        <v>820</v>
      </c>
      <c r="N353" s="228"/>
      <c r="O353" s="415"/>
      <c r="P353" s="384" t="s">
        <v>857</v>
      </c>
    </row>
    <row r="354" spans="1:34" s="386" customFormat="1" ht="12.75" customHeight="1" x14ac:dyDescent="0.2">
      <c r="A354" s="228"/>
      <c r="B354" s="228" t="s">
        <v>858</v>
      </c>
      <c r="C354" s="228"/>
      <c r="D354" s="228"/>
      <c r="E354" s="228"/>
      <c r="F354" s="384"/>
      <c r="G354" s="863" t="s">
        <v>859</v>
      </c>
      <c r="H354" s="216" t="s">
        <v>287</v>
      </c>
      <c r="I354" s="573"/>
      <c r="J354" s="886" t="str">
        <f>IF(HLOOKUP(CaseName,CaseData,MATCH($G354,cases!$G$3:$G$1232,0)-1,FALSE)="",IF(HLOOKUP(ScenarioName,ScenarioData,MATCH($G354,scenarios!$G$3:$G$144,0),FALSE)="","",HLOOKUP(ScenarioName,ScenarioData,MATCH($G354,scenarios!$G$3:$G$153,0),FALSE)),HLOOKUP(CaseName,CaseData,MATCH($G354,cases!$G$3:$G$1232,0)-1,FALSE))</f>
        <v/>
      </c>
      <c r="K354" s="869">
        <f>RHOsolid</f>
        <v>2500</v>
      </c>
      <c r="L354" s="298">
        <f>IF(ISBLANK(I354),IF(ISNUMBER(J354)=FALSE,K354,J354),I354)</f>
        <v>2500</v>
      </c>
      <c r="M354" s="216" t="s">
        <v>287</v>
      </c>
      <c r="N354" s="228" t="s">
        <v>860</v>
      </c>
      <c r="O354" s="415"/>
      <c r="P354" s="384"/>
    </row>
    <row r="355" spans="1:34" s="386" customFormat="1" ht="12.75" customHeight="1" x14ac:dyDescent="0.2">
      <c r="A355" s="228"/>
      <c r="B355" s="228"/>
      <c r="C355" s="228"/>
      <c r="D355" s="228"/>
      <c r="E355" s="228"/>
      <c r="F355" s="384"/>
      <c r="G355" s="863"/>
      <c r="H355" s="216"/>
      <c r="I355" s="792"/>
      <c r="J355" s="541"/>
      <c r="K355" s="432"/>
      <c r="L355" s="298"/>
      <c r="M355" s="216"/>
      <c r="N355" s="228"/>
      <c r="O355" s="415"/>
      <c r="P355" s="384"/>
    </row>
    <row r="356" spans="1:34" s="386" customFormat="1" ht="12.75" customHeight="1" x14ac:dyDescent="0.2">
      <c r="A356" s="639" t="s">
        <v>861</v>
      </c>
      <c r="B356" s="228"/>
      <c r="C356" s="228"/>
      <c r="D356" s="228"/>
      <c r="E356" s="228"/>
      <c r="F356" s="384"/>
      <c r="G356" s="863"/>
      <c r="H356" s="216"/>
      <c r="I356" s="792"/>
      <c r="J356" s="887"/>
      <c r="K356" s="432"/>
      <c r="L356" s="298"/>
      <c r="M356" s="216"/>
      <c r="N356" s="228"/>
      <c r="O356" s="415"/>
      <c r="P356" s="384"/>
    </row>
    <row r="357" spans="1:34" s="386" customFormat="1" ht="12.75" customHeight="1" x14ac:dyDescent="0.2">
      <c r="A357" s="228"/>
      <c r="B357" s="228"/>
      <c r="C357" s="228" t="s">
        <v>862</v>
      </c>
      <c r="D357" s="228"/>
      <c r="E357" s="228"/>
      <c r="F357" s="384"/>
      <c r="G357" s="228" t="s">
        <v>863</v>
      </c>
      <c r="H357" s="216" t="s">
        <v>864</v>
      </c>
      <c r="I357" s="573"/>
      <c r="J357" s="854" t="str">
        <f>IF(HLOOKUP(CaseName,CaseData,MATCH($G357,cases!$G$3:$G$1232,0)-1,FALSE)="","",HLOOKUP(CaseName,CaseData,MATCH($G357,cases!$G$3:$G$1232,0)-1,FALSE))</f>
        <v/>
      </c>
      <c r="K357" s="869">
        <f>((4/3)*PI()*(L338)^3)</f>
        <v>4.1887902047863912E-24</v>
      </c>
      <c r="L357" s="298">
        <f t="shared" ref="L357:L367" si="23">IF(ISBLANK(I357),IF(ISNUMBER(J357)=FALSE,K357,J357),I357)</f>
        <v>4.1887902047863912E-24</v>
      </c>
      <c r="M357" s="216" t="s">
        <v>864</v>
      </c>
      <c r="N357" s="228"/>
      <c r="O357" s="415"/>
      <c r="P357" s="384"/>
    </row>
    <row r="358" spans="1:34" s="386" customFormat="1" ht="12.75" customHeight="1" x14ac:dyDescent="0.2">
      <c r="A358" s="228"/>
      <c r="B358" s="228"/>
      <c r="C358" s="228" t="s">
        <v>865</v>
      </c>
      <c r="D358" s="228"/>
      <c r="E358" s="228"/>
      <c r="F358" s="384"/>
      <c r="G358" s="228" t="s">
        <v>866</v>
      </c>
      <c r="H358" s="216" t="s">
        <v>864</v>
      </c>
      <c r="I358" s="573"/>
      <c r="J358" s="854" t="str">
        <f>IF(HLOOKUP(CaseName,CaseData,MATCH($G358,cases!$G$3:$G$1232,0)-1,FALSE)="","",HLOOKUP(CaseName,CaseData,MATCH($G358,cases!$G$3:$G$1232,0)-1,FALSE))</f>
        <v/>
      </c>
      <c r="K358" s="869">
        <f>((4/3)*PI()*(L340)^3)</f>
        <v>8.1728323443628235E-22</v>
      </c>
      <c r="L358" s="298">
        <f t="shared" si="23"/>
        <v>8.1728323443628235E-22</v>
      </c>
      <c r="M358" s="216" t="s">
        <v>864</v>
      </c>
      <c r="N358" s="228"/>
      <c r="O358" s="415"/>
      <c r="P358" s="384"/>
    </row>
    <row r="359" spans="1:34" s="386" customFormat="1" ht="12.75" customHeight="1" x14ac:dyDescent="0.2">
      <c r="A359" s="228"/>
      <c r="B359" s="228"/>
      <c r="C359" s="228" t="s">
        <v>867</v>
      </c>
      <c r="D359" s="228"/>
      <c r="E359" s="228"/>
      <c r="F359" s="384"/>
      <c r="G359" s="228" t="s">
        <v>868</v>
      </c>
      <c r="H359" s="216" t="s">
        <v>864</v>
      </c>
      <c r="I359" s="573"/>
      <c r="J359" s="854" t="str">
        <f>IF(HLOOKUP(CaseName,CaseData,MATCH($G359,cases!$G$3:$G$1232,0)-1,FALSE)="","",HLOOKUP(CaseName,CaseData,MATCH($G359,cases!$G$3:$G$1232,0)-1,FALSE))</f>
        <v/>
      </c>
      <c r="K359" s="869">
        <f>((4/3)*PI()*(L342)^3)</f>
        <v>3.0536280592892779E-18</v>
      </c>
      <c r="L359" s="298">
        <f t="shared" si="23"/>
        <v>3.0536280592892779E-18</v>
      </c>
      <c r="M359" s="216" t="s">
        <v>864</v>
      </c>
      <c r="N359" s="228"/>
      <c r="O359" s="415"/>
      <c r="P359" s="384"/>
    </row>
    <row r="360" spans="1:34" s="386" customFormat="1" ht="12.75" customHeight="1" x14ac:dyDescent="0.2">
      <c r="A360" s="228"/>
      <c r="B360" s="228"/>
      <c r="C360" s="228" t="s">
        <v>869</v>
      </c>
      <c r="D360" s="228"/>
      <c r="E360" s="228"/>
      <c r="F360" s="384"/>
      <c r="G360" s="228" t="s">
        <v>870</v>
      </c>
      <c r="H360" s="216" t="s">
        <v>864</v>
      </c>
      <c r="I360" s="573"/>
      <c r="J360" s="854" t="str">
        <f>IF(HLOOKUP(CaseName,CaseData,MATCH($G360,cases!$G$3:$G$1232,0)-1,FALSE)="","",HLOOKUP(CaseName,CaseData,MATCH($G360,cases!$G$3:$G$1232,0)-1,FALSE))</f>
        <v/>
      </c>
      <c r="K360" s="869">
        <f>((4/3)*PI()*(L344)^3)</f>
        <v>1.4137166941154071E-20</v>
      </c>
      <c r="L360" s="298">
        <f t="shared" si="23"/>
        <v>1.4137166941154071E-20</v>
      </c>
      <c r="M360" s="216" t="s">
        <v>864</v>
      </c>
      <c r="N360" s="228"/>
      <c r="O360" s="415"/>
      <c r="P360" s="384"/>
    </row>
    <row r="361" spans="1:34" customFormat="1" ht="12.75" customHeight="1" x14ac:dyDescent="0.2">
      <c r="A361" s="228"/>
      <c r="B361" s="228"/>
      <c r="C361" s="228" t="s">
        <v>871</v>
      </c>
      <c r="D361" s="228"/>
      <c r="E361" s="228"/>
      <c r="F361" s="228"/>
      <c r="G361" s="228" t="s">
        <v>872</v>
      </c>
      <c r="H361" s="228" t="s">
        <v>873</v>
      </c>
      <c r="I361" s="573"/>
      <c r="J361" s="854" t="str">
        <f>IF(HLOOKUP(CaseName,CaseData,MATCH($G361,cases!$G$3:$G$1232,0)-1,FALSE)="","",HLOOKUP(CaseName,CaseData,MATCH($G361,cases!$G$3:$G$1232,0)-1,FALSE))</f>
        <v/>
      </c>
      <c r="K361" s="869">
        <f>(2*(L345-Rho.w)*g*L344^2)/(9*DYNVISC.w)</f>
        <v>4.9050000000000019E-8</v>
      </c>
      <c r="L361" s="552">
        <f t="shared" si="23"/>
        <v>4.9050000000000019E-8</v>
      </c>
      <c r="M361" s="228" t="s">
        <v>873</v>
      </c>
      <c r="N361" s="228"/>
      <c r="O361" s="243"/>
      <c r="P361" s="228"/>
    </row>
    <row r="362" spans="1:34" s="386" customFormat="1" ht="12.75" customHeight="1" x14ac:dyDescent="0.2">
      <c r="A362" s="228"/>
      <c r="B362" s="228"/>
      <c r="C362" s="228" t="s">
        <v>874</v>
      </c>
      <c r="D362" s="228"/>
      <c r="E362" s="228"/>
      <c r="F362" s="384"/>
      <c r="G362" s="228" t="s">
        <v>875</v>
      </c>
      <c r="H362" s="216" t="s">
        <v>864</v>
      </c>
      <c r="I362" s="573"/>
      <c r="J362" s="854" t="str">
        <f>IF(HLOOKUP(CaseName,CaseData,MATCH($G362,cases!$G$3:$G$1232,0)-1,FALSE)="","",HLOOKUP(CaseName,CaseData,MATCH($G362,cases!$G$3:$G$1232,0)-1,FALSE))</f>
        <v/>
      </c>
      <c r="K362" s="869">
        <f>((4/3)*PI()*(L346)^3)</f>
        <v>1.1309733552923257E-16</v>
      </c>
      <c r="L362" s="298">
        <f t="shared" si="23"/>
        <v>1.1309733552923257E-16</v>
      </c>
      <c r="M362" s="216" t="s">
        <v>864</v>
      </c>
      <c r="N362" s="228"/>
      <c r="O362" s="384"/>
      <c r="P362" s="384"/>
    </row>
    <row r="363" spans="1:34" customFormat="1" ht="12.75" customHeight="1" x14ac:dyDescent="0.2">
      <c r="A363" s="228"/>
      <c r="B363" s="228"/>
      <c r="C363" s="228" t="s">
        <v>876</v>
      </c>
      <c r="D363" s="228"/>
      <c r="E363" s="228"/>
      <c r="F363" s="228"/>
      <c r="G363" s="228" t="s">
        <v>877</v>
      </c>
      <c r="H363" s="228" t="s">
        <v>873</v>
      </c>
      <c r="I363" s="573"/>
      <c r="J363" s="854" t="str">
        <f>IF(HLOOKUP(CaseName,CaseData,MATCH($G363,cases!$G$3:$G$1232,0)-1,FALSE)="","",HLOOKUP(CaseName,CaseData,MATCH($G363,cases!$G$3:$G$1232,0)-1,FALSE))</f>
        <v/>
      </c>
      <c r="K363" s="869">
        <f>(2*(L347-Rho.w)*g*L346^2)/(9*DYNVISC.w)</f>
        <v>2.9410419161676656E-5</v>
      </c>
      <c r="L363" s="552">
        <f t="shared" si="23"/>
        <v>2.9410419161676656E-5</v>
      </c>
      <c r="M363" s="228" t="s">
        <v>873</v>
      </c>
      <c r="N363" s="228"/>
      <c r="O363" s="243"/>
      <c r="P363" s="228"/>
    </row>
    <row r="364" spans="1:34" s="386" customFormat="1" ht="12.75" customHeight="1" x14ac:dyDescent="0.2">
      <c r="A364" s="228"/>
      <c r="B364" s="228"/>
      <c r="C364" s="228" t="s">
        <v>878</v>
      </c>
      <c r="D364" s="228"/>
      <c r="E364" s="228"/>
      <c r="F364" s="384"/>
      <c r="G364" s="228" t="s">
        <v>879</v>
      </c>
      <c r="H364" s="216" t="s">
        <v>864</v>
      </c>
      <c r="I364" s="573"/>
      <c r="J364" s="854" t="str">
        <f>IF(HLOOKUP(CaseName,CaseData,MATCH($G364,cases!$G$3:$G$1232,0)-1,FALSE)="","",HLOOKUP(CaseName,CaseData,MATCH($G364,cases!$G$3:$G$1232,0)-1,FALSE))</f>
        <v/>
      </c>
      <c r="K364" s="869">
        <f>((4/3)*PI()*(L348)^3)</f>
        <v>1.4137166941154071E-20</v>
      </c>
      <c r="L364" s="298">
        <f t="shared" si="23"/>
        <v>1.4137166941154071E-20</v>
      </c>
      <c r="M364" s="216" t="s">
        <v>864</v>
      </c>
      <c r="N364" s="228"/>
      <c r="O364" s="384"/>
      <c r="P364" s="384"/>
    </row>
    <row r="365" spans="1:34" s="386" customFormat="1" ht="12.75" customHeight="1" x14ac:dyDescent="0.2">
      <c r="A365" s="384"/>
      <c r="B365" s="228"/>
      <c r="C365" s="228" t="s">
        <v>880</v>
      </c>
      <c r="D365" s="228"/>
      <c r="E365" s="228"/>
      <c r="F365" s="384"/>
      <c r="G365" s="228" t="s">
        <v>881</v>
      </c>
      <c r="H365" s="228" t="s">
        <v>873</v>
      </c>
      <c r="I365" s="573"/>
      <c r="J365" s="854" t="str">
        <f>IF(HLOOKUP(CaseName,CaseData,MATCH($G365,cases!$G$3:$G$1232,0)-1,FALSE)="","",HLOOKUP(CaseName,CaseData,MATCH($G365,cases!$G$3:$G$1232,0)-1,FALSE))</f>
        <v/>
      </c>
      <c r="K365" s="869">
        <f>(2*(L349-Rho.w)*g*L348^2)/(9*DYNVISC.w)</f>
        <v>4.9050000000000019E-8</v>
      </c>
      <c r="L365" s="552">
        <f t="shared" si="23"/>
        <v>4.9050000000000019E-8</v>
      </c>
      <c r="M365" s="228" t="s">
        <v>873</v>
      </c>
      <c r="N365" s="228"/>
      <c r="O365" s="415"/>
      <c r="P365" s="384"/>
    </row>
    <row r="366" spans="1:34" s="386" customFormat="1" ht="12.75" customHeight="1" x14ac:dyDescent="0.2">
      <c r="A366" s="228"/>
      <c r="B366" s="228"/>
      <c r="C366" s="228" t="s">
        <v>882</v>
      </c>
      <c r="D366" s="228"/>
      <c r="E366" s="228"/>
      <c r="F366" s="384"/>
      <c r="G366" s="228" t="s">
        <v>883</v>
      </c>
      <c r="H366" s="216" t="s">
        <v>864</v>
      </c>
      <c r="I366" s="573"/>
      <c r="J366" s="854" t="str">
        <f>IF(HLOOKUP(CaseName,CaseData,MATCH($G366,cases!$G$3:$G$1232,0)-1,FALSE)="","",HLOOKUP(CaseName,CaseData,MATCH($G366,cases!$G$3:$G$1232,0)-1,FALSE))</f>
        <v/>
      </c>
      <c r="K366" s="869">
        <f>((4/3)*PI()*(L351)^3)</f>
        <v>1.4137166941154071E-20</v>
      </c>
      <c r="L366" s="298">
        <f t="shared" si="23"/>
        <v>1.4137166941154071E-20</v>
      </c>
      <c r="M366" s="216" t="s">
        <v>864</v>
      </c>
      <c r="N366" s="228"/>
      <c r="O366" s="415"/>
      <c r="P366" s="384"/>
    </row>
    <row r="367" spans="1:34" s="386" customFormat="1" ht="12.75" customHeight="1" x14ac:dyDescent="0.2">
      <c r="A367" s="384"/>
      <c r="B367" s="228"/>
      <c r="C367" s="228" t="s">
        <v>884</v>
      </c>
      <c r="D367" s="228"/>
      <c r="E367" s="228"/>
      <c r="F367" s="384"/>
      <c r="G367" s="228" t="s">
        <v>885</v>
      </c>
      <c r="H367" s="228" t="s">
        <v>873</v>
      </c>
      <c r="I367" s="573"/>
      <c r="J367" s="854" t="str">
        <f>IF(HLOOKUP(CaseName,CaseData,MATCH($G367,cases!$G$3:$G$1232,0)-1,FALSE)="","",HLOOKUP(CaseName,CaseData,MATCH($G367,cases!$G$3:$G$1232,0)-1,FALSE))</f>
        <v/>
      </c>
      <c r="K367" s="869">
        <f>(2*(L352-Rho.w)*g*L351^2)/(9*DYNVISC.w)</f>
        <v>4.9050000000000019E-8</v>
      </c>
      <c r="L367" s="552">
        <f t="shared" si="23"/>
        <v>4.9050000000000019E-8</v>
      </c>
      <c r="M367" s="228" t="s">
        <v>873</v>
      </c>
      <c r="N367" s="228"/>
      <c r="O367" s="415"/>
      <c r="P367" s="384"/>
    </row>
    <row r="368" spans="1:34" ht="12.75" customHeight="1" x14ac:dyDescent="0.2">
      <c r="A368" s="864"/>
      <c r="B368" s="865"/>
      <c r="C368" s="865"/>
      <c r="D368" s="865"/>
      <c r="E368" s="865"/>
      <c r="F368" s="865"/>
      <c r="G368" s="864"/>
      <c r="H368" s="864"/>
      <c r="I368" s="888"/>
      <c r="J368" s="889"/>
      <c r="K368" s="890"/>
      <c r="L368" s="891"/>
      <c r="M368" s="865"/>
      <c r="N368" s="865"/>
      <c r="O368" s="867"/>
      <c r="P368" s="867"/>
      <c r="Q368" s="11"/>
      <c r="R368" s="11"/>
      <c r="Z368" s="11"/>
      <c r="AA368" s="11"/>
      <c r="AB368" s="11"/>
      <c r="AC368" s="11"/>
      <c r="AD368" s="11"/>
      <c r="AE368" s="11"/>
      <c r="AF368" s="11"/>
      <c r="AG368" s="11"/>
      <c r="AH368" s="11"/>
    </row>
    <row r="369" spans="1:34" ht="12.75" customHeight="1" x14ac:dyDescent="0.2">
      <c r="A369" s="228"/>
      <c r="B369" s="228"/>
      <c r="C369" s="228"/>
      <c r="D369" s="228"/>
      <c r="E369" s="228"/>
      <c r="F369" s="228"/>
      <c r="G369" s="228"/>
      <c r="H369" s="228"/>
      <c r="I369" s="955"/>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2">
      <c r="A370" s="545"/>
      <c r="B370" s="545"/>
      <c r="C370" s="870"/>
      <c r="D370" s="870"/>
      <c r="E370" s="870"/>
      <c r="F370" s="870"/>
      <c r="G370" s="871"/>
      <c r="H370" s="866"/>
      <c r="I370" s="892"/>
      <c r="J370" s="879"/>
      <c r="K370" s="880"/>
      <c r="L370" s="893"/>
      <c r="M370" s="866"/>
      <c r="N370" s="545"/>
      <c r="O370" s="867"/>
      <c r="P370" s="867"/>
      <c r="S370"/>
      <c r="T370"/>
      <c r="U370"/>
      <c r="V370"/>
      <c r="W370"/>
      <c r="X370"/>
      <c r="Y370"/>
    </row>
    <row r="371" spans="1:34" s="11" customFormat="1" ht="12.75" customHeight="1" x14ac:dyDescent="0.2">
      <c r="A371" s="228" t="s">
        <v>886</v>
      </c>
      <c r="B371" s="228"/>
      <c r="C371" s="215"/>
      <c r="D371" s="228"/>
      <c r="E371" s="228"/>
      <c r="F371" s="228"/>
      <c r="G371" s="863"/>
      <c r="H371" s="228"/>
      <c r="I371" s="570"/>
      <c r="J371" s="881"/>
      <c r="K371" s="869"/>
      <c r="L371" s="298"/>
      <c r="M371" s="228"/>
      <c r="N371" s="228"/>
      <c r="O371" s="215"/>
      <c r="P371" s="215"/>
    </row>
    <row r="372" spans="1:34" customFormat="1" ht="12.75" customHeight="1" x14ac:dyDescent="0.2">
      <c r="A372" s="228"/>
      <c r="B372" s="228"/>
      <c r="C372" s="228" t="s">
        <v>887</v>
      </c>
      <c r="D372" s="228"/>
      <c r="E372" s="228"/>
      <c r="F372" s="228"/>
      <c r="G372" s="228" t="s">
        <v>888</v>
      </c>
      <c r="H372" s="228" t="s">
        <v>873</v>
      </c>
      <c r="I372" s="570"/>
      <c r="J372" s="854" t="str">
        <f>IF(HLOOKUP(CaseName,CaseData,MATCH($G372,cases!$G$3:$G$1232,0)-1,FALSE)="","",HLOOKUP(CaseName,CaseData,MATCH($G372,cases!$G$3:$G$1232,0)-1,FALSE))</f>
        <v/>
      </c>
      <c r="K372" s="869">
        <f>(2*(RhoS-Rho.w)*g*RadS^2)/(9*DYNVISC.w)</f>
        <v>1.7579241516966071E-10</v>
      </c>
      <c r="L372" s="552">
        <f t="shared" ref="L372:L377" si="24">IF(ISBLANK(I372),IF(ISNUMBER(J372)=FALSE,K372,J372),I372)</f>
        <v>1.7579241516966071E-10</v>
      </c>
      <c r="M372" s="228" t="s">
        <v>889</v>
      </c>
      <c r="N372" s="228"/>
      <c r="O372" s="243"/>
      <c r="P372" s="228"/>
    </row>
    <row r="373" spans="1:34" s="11" customFormat="1" ht="12.75" customHeight="1" x14ac:dyDescent="0.2">
      <c r="A373" s="228"/>
      <c r="B373" s="228"/>
      <c r="C373" s="228" t="s">
        <v>890</v>
      </c>
      <c r="D373" s="228"/>
      <c r="E373" s="228"/>
      <c r="F373" s="228"/>
      <c r="G373" s="228" t="s">
        <v>891</v>
      </c>
      <c r="H373" s="228" t="s">
        <v>864</v>
      </c>
      <c r="I373" s="570"/>
      <c r="J373" s="854" t="str">
        <f>IF(HLOOKUP(CaseName,CaseData,MATCH($G373,cases!$G$3:$G$1232,0)-1,FALSE)="","",HLOOKUP(CaseName,CaseData,MATCH($G373,cases!$G$3:$G$1232,0)-1,FALSE))</f>
        <v/>
      </c>
      <c r="K373" s="869">
        <f>((4/3)*PI()*(RadS)^3)</f>
        <v>5.235987755982989E-25</v>
      </c>
      <c r="L373" s="298">
        <f t="shared" si="24"/>
        <v>5.235987755982989E-25</v>
      </c>
      <c r="M373" s="228" t="s">
        <v>892</v>
      </c>
      <c r="N373" s="228"/>
      <c r="O373" s="215"/>
      <c r="P373" s="215"/>
    </row>
    <row r="374" spans="1:34" s="11" customFormat="1" ht="12.75" customHeight="1" x14ac:dyDescent="0.2">
      <c r="A374" s="228"/>
      <c r="B374" s="228"/>
      <c r="C374" s="228" t="s">
        <v>893</v>
      </c>
      <c r="D374" s="228"/>
      <c r="E374" s="228"/>
      <c r="F374" s="228"/>
      <c r="G374" s="228" t="s">
        <v>894</v>
      </c>
      <c r="H374" s="228" t="s">
        <v>895</v>
      </c>
      <c r="I374" s="570"/>
      <c r="J374" s="854" t="str">
        <f>IF(HLOOKUP(CaseName,CaseData,MATCH($G374,cases!$G$3:$G$1232,0)-1,FALSE)="","",HLOOKUP(CaseName,CaseData,MATCH($G374,cases!$G$3:$G$1232,0)-1,FALSE))</f>
        <v/>
      </c>
      <c r="K374" s="869">
        <f>4/3*PI()*RadS^3*RhoS</f>
        <v>2.2148228207808044E-21</v>
      </c>
      <c r="L374" s="298">
        <f t="shared" si="24"/>
        <v>2.2148228207808044E-21</v>
      </c>
      <c r="M374" s="228" t="s">
        <v>896</v>
      </c>
      <c r="N374" s="228"/>
      <c r="O374" s="215"/>
      <c r="P374" s="215"/>
    </row>
    <row r="375" spans="1:34" s="11" customFormat="1" ht="12.75" customHeight="1" x14ac:dyDescent="0.2">
      <c r="A375" s="228"/>
      <c r="B375" s="228"/>
      <c r="C375" s="228" t="s">
        <v>897</v>
      </c>
      <c r="D375" s="228"/>
      <c r="E375" s="228"/>
      <c r="F375" s="228"/>
      <c r="G375" s="228" t="s">
        <v>898</v>
      </c>
      <c r="H375" s="228" t="s">
        <v>873</v>
      </c>
      <c r="I375" s="570"/>
      <c r="J375" s="854" t="str">
        <f>IF(HLOOKUP(CaseName,CaseData,MATCH($G375,cases!$G$3:$G$1232,0)-1,FALSE)="","",HLOOKUP(CaseName,CaseData,MATCH($G375,cases!$G$3:$G$1232,0)-1,FALSE))</f>
        <v/>
      </c>
      <c r="K375" s="869">
        <f>((8*kboltz*TEMP.R)/(PI()*SingleMassS))^0.5</f>
        <v>2.1269858572075666</v>
      </c>
      <c r="L375" s="298">
        <f t="shared" si="24"/>
        <v>2.1269858572075666</v>
      </c>
      <c r="M375" s="228" t="s">
        <v>697</v>
      </c>
      <c r="N375" s="228"/>
      <c r="O375" s="215"/>
      <c r="P375" s="215"/>
    </row>
    <row r="376" spans="1:34" s="11" customFormat="1" ht="12.75" customHeight="1" x14ac:dyDescent="0.2">
      <c r="A376" s="228"/>
      <c r="B376" s="228"/>
      <c r="C376" s="228" t="s">
        <v>899</v>
      </c>
      <c r="D376" s="228"/>
      <c r="E376" s="228"/>
      <c r="F376" s="228"/>
      <c r="G376" s="228" t="s">
        <v>900</v>
      </c>
      <c r="H376" s="228" t="s">
        <v>296</v>
      </c>
      <c r="I376" s="570"/>
      <c r="J376" s="854" t="str">
        <f>IF(HLOOKUP(CaseName,CaseData,MATCH($G376,cases!$G$3:$G$1232,0)-1,FALSE)="","",HLOOKUP(CaseName,CaseData,MATCH($G376,cases!$G$3:$G$1232,0)-1,FALSE))</f>
        <v/>
      </c>
      <c r="K376" s="869">
        <f>(66*10^-9)/(RadS)</f>
        <v>13.200000000000001</v>
      </c>
      <c r="L376" s="298">
        <f t="shared" si="24"/>
        <v>13.200000000000001</v>
      </c>
      <c r="M376" s="580" t="s">
        <v>297</v>
      </c>
      <c r="N376" s="228"/>
      <c r="O376" s="215"/>
      <c r="P376" s="215"/>
    </row>
    <row r="377" spans="1:34" s="11" customFormat="1" ht="12.75" customHeight="1" x14ac:dyDescent="0.2">
      <c r="A377" s="228"/>
      <c r="B377" s="228"/>
      <c r="C377" s="228" t="s">
        <v>901</v>
      </c>
      <c r="D377" s="228"/>
      <c r="E377" s="228"/>
      <c r="F377" s="228"/>
      <c r="G377" s="228" t="s">
        <v>902</v>
      </c>
      <c r="H377" s="228" t="s">
        <v>296</v>
      </c>
      <c r="I377" s="570"/>
      <c r="J377" s="854" t="str">
        <f>IF(HLOOKUP(CaseName,CaseData,MATCH($G377,cases!$G$3:$G$1232,0)-1,FALSE)="","",HLOOKUP(CaseName,CaseData,MATCH($G377,cases!$G$3:$G$1232,0)-1,FALSE))</f>
        <v/>
      </c>
      <c r="K377" s="869">
        <f>1+KnudS*(1.142+0.558*EXP(-0.999/KnudS))</f>
        <v>22.903129883091339</v>
      </c>
      <c r="L377" s="298">
        <f t="shared" si="24"/>
        <v>22.903129883091339</v>
      </c>
      <c r="M377" s="580" t="s">
        <v>297</v>
      </c>
      <c r="N377" s="228"/>
      <c r="O377" s="228" t="s">
        <v>903</v>
      </c>
      <c r="P377" s="215"/>
    </row>
    <row r="378" spans="1:34" s="410" customFormat="1" ht="12.75" customHeight="1" x14ac:dyDescent="0.2">
      <c r="A378" s="639"/>
      <c r="B378" s="639" t="s">
        <v>904</v>
      </c>
      <c r="C378" s="639"/>
      <c r="D378" s="639"/>
      <c r="E378" s="639"/>
      <c r="F378" s="639"/>
      <c r="G378" s="639"/>
      <c r="H378" s="639"/>
      <c r="I378" s="883"/>
      <c r="J378" s="854"/>
      <c r="K378" s="882"/>
      <c r="L378" s="884"/>
      <c r="M378" s="639"/>
      <c r="N378" s="639"/>
      <c r="O378" s="639"/>
      <c r="P378" s="639"/>
    </row>
    <row r="379" spans="1:34" s="11" customFormat="1" ht="12.75" customHeight="1" x14ac:dyDescent="0.2">
      <c r="A379" s="228"/>
      <c r="B379" s="228"/>
      <c r="C379" s="228" t="s">
        <v>905</v>
      </c>
      <c r="D379" s="228"/>
      <c r="E379" s="228"/>
      <c r="F379" s="228"/>
      <c r="G379" s="228" t="s">
        <v>906</v>
      </c>
      <c r="H379" s="228" t="s">
        <v>907</v>
      </c>
      <c r="I379" s="573"/>
      <c r="J379" s="854" t="str">
        <f>IF(HLOOKUP(CaseName,CaseData,MATCH($G379,cases!$G$3:$G$1232,0)-1,FALSE)="","",HLOOKUP(CaseName,CaseData,MATCH($G379,cases!$G$3:$G$1232,0)-1,FALSE))</f>
        <v/>
      </c>
      <c r="K379" s="869">
        <f>(kboltz*TEMP.R*CunninghamS)/(6*PI()*DYNVISC.a*RadS)</f>
        <v>5.2829100167727891E-8</v>
      </c>
      <c r="L379" s="298">
        <f>IF(ISBLANK(I379),IF(ISNUMBER(J379)=FALSE,K379,J379),I379)</f>
        <v>5.2829100167727891E-8</v>
      </c>
      <c r="M379" s="228" t="s">
        <v>907</v>
      </c>
      <c r="N379" s="228"/>
      <c r="O379" s="215"/>
      <c r="P379" s="215"/>
    </row>
    <row r="380" spans="1:34" s="11" customFormat="1" ht="12.75" customHeight="1" x14ac:dyDescent="0.2">
      <c r="A380" s="228"/>
      <c r="B380" s="228"/>
      <c r="C380" s="228" t="s">
        <v>908</v>
      </c>
      <c r="D380" s="228"/>
      <c r="E380" s="228"/>
      <c r="F380" s="228"/>
      <c r="G380" s="228" t="s">
        <v>909</v>
      </c>
      <c r="H380" s="228" t="s">
        <v>907</v>
      </c>
      <c r="I380" s="573"/>
      <c r="J380" s="854" t="str">
        <f>IF(HLOOKUP(CaseName,CaseData,MATCH($G380,cases!$G$3:$G$1232,0)-1,FALSE)="","",HLOOKUP(CaseName,CaseData,MATCH($G380,cases!$G$3:$G$1232,0)-1,FALSE))</f>
        <v/>
      </c>
      <c r="K380" s="869">
        <f>(kboltz*TEMP.R)/(6*PI()*DYNVISC.w*RadS)</f>
        <v>4.1666712002834107E-11</v>
      </c>
      <c r="L380" s="298">
        <f>IF(ISBLANK(I380),IF(ISNUMBER(J380)=FALSE,K380,J380),I380)</f>
        <v>4.1666712002834107E-11</v>
      </c>
      <c r="M380" s="228" t="s">
        <v>907</v>
      </c>
      <c r="N380" s="228" t="s">
        <v>910</v>
      </c>
      <c r="O380" s="262">
        <v>41</v>
      </c>
      <c r="P380" s="228" t="s">
        <v>911</v>
      </c>
    </row>
    <row r="381" spans="1:34" s="410" customFormat="1" ht="12.75" customHeight="1" x14ac:dyDescent="0.2">
      <c r="A381" s="639"/>
      <c r="B381" s="639" t="s">
        <v>912</v>
      </c>
      <c r="C381" s="639"/>
      <c r="D381" s="639"/>
      <c r="E381" s="639"/>
      <c r="F381" s="639"/>
      <c r="G381" s="639"/>
      <c r="H381" s="639"/>
      <c r="I381" s="883"/>
      <c r="J381" s="854"/>
      <c r="K381" s="882"/>
      <c r="L381" s="884"/>
      <c r="M381" s="639"/>
      <c r="N381" s="639"/>
      <c r="O381" s="517"/>
      <c r="P381" s="639"/>
    </row>
    <row r="382" spans="1:34" s="11" customFormat="1" ht="12.75" customHeight="1" x14ac:dyDescent="0.2">
      <c r="A382" s="228"/>
      <c r="B382" s="228"/>
      <c r="C382" s="228" t="s">
        <v>913</v>
      </c>
      <c r="D382" s="228"/>
      <c r="E382" s="228"/>
      <c r="F382" s="228"/>
      <c r="G382" s="228" t="s">
        <v>914</v>
      </c>
      <c r="H382" s="228" t="s">
        <v>907</v>
      </c>
      <c r="I382" s="571"/>
      <c r="J382" s="854" t="str">
        <f>IF(HLOOKUP(CaseName,CaseData,MATCH($G382,cases!$G$3:$G$1232,0)-1,FALSE)="","",HLOOKUP(CaseName,CaseData,MATCH($G382,cases!$G$3:$G$1232,0)-1,FALSE))</f>
        <v/>
      </c>
      <c r="K382" s="869">
        <f>(kboltz*TEMP.C*CunninghamS)/(6*PI()*DYNVISC.a*RadS)</f>
        <v>5.2829100167727891E-8</v>
      </c>
      <c r="L382" s="298">
        <f>IF(ISBLANK(I382),IF(ISNUMBER(J382)=FALSE,K382,J382),I382)</f>
        <v>5.2829100167727891E-8</v>
      </c>
      <c r="M382" s="228" t="s">
        <v>907</v>
      </c>
      <c r="N382" s="228"/>
      <c r="O382" s="262">
        <v>12</v>
      </c>
      <c r="P382" s="228" t="s">
        <v>915</v>
      </c>
    </row>
    <row r="383" spans="1:34" s="11" customFormat="1" ht="12.75" customHeight="1" x14ac:dyDescent="0.2">
      <c r="A383" s="228"/>
      <c r="B383" s="228"/>
      <c r="C383" s="228" t="s">
        <v>916</v>
      </c>
      <c r="D383" s="228"/>
      <c r="E383" s="228"/>
      <c r="F383" s="228"/>
      <c r="G383" s="228" t="s">
        <v>917</v>
      </c>
      <c r="H383" s="228" t="s">
        <v>907</v>
      </c>
      <c r="I383" s="571"/>
      <c r="J383" s="854" t="str">
        <f>IF(HLOOKUP(CaseName,CaseData,MATCH($G383,cases!$G$3:$G$1232,0)-1,FALSE)="","",HLOOKUP(CaseName,CaseData,MATCH($G383,cases!$G$3:$G$1232,0)-1,FALSE))</f>
        <v/>
      </c>
      <c r="K383" s="869">
        <f>(kboltz*TEMP.C)/(6*PI()*DYNVISC.w*RadS)</f>
        <v>4.1666712002834107E-11</v>
      </c>
      <c r="L383" s="298">
        <f>IF(ISBLANK(I383),IF(ISNUMBER(J383)=FALSE,K383,J383),I383)</f>
        <v>4.1666712002834107E-11</v>
      </c>
      <c r="M383" s="228" t="s">
        <v>907</v>
      </c>
      <c r="N383" s="228" t="s">
        <v>918</v>
      </c>
      <c r="O383" s="262">
        <v>41</v>
      </c>
      <c r="P383" s="228" t="s">
        <v>911</v>
      </c>
    </row>
    <row r="384" spans="1:34" s="410" customFormat="1" ht="12.75" customHeight="1" x14ac:dyDescent="0.2">
      <c r="A384" s="639"/>
      <c r="B384" s="639" t="s">
        <v>919</v>
      </c>
      <c r="C384" s="639"/>
      <c r="D384" s="639"/>
      <c r="E384" s="639"/>
      <c r="F384" s="639"/>
      <c r="G384" s="639"/>
      <c r="H384" s="639"/>
      <c r="I384" s="883"/>
      <c r="J384" s="854"/>
      <c r="K384" s="882"/>
      <c r="L384" s="884"/>
      <c r="M384" s="639"/>
      <c r="N384" s="639"/>
      <c r="O384" s="517"/>
      <c r="P384" s="639"/>
    </row>
    <row r="385" spans="1:34" s="11" customFormat="1" ht="12.75" customHeight="1" x14ac:dyDescent="0.2">
      <c r="A385" s="228"/>
      <c r="B385" s="228"/>
      <c r="C385" s="228" t="s">
        <v>920</v>
      </c>
      <c r="D385" s="228"/>
      <c r="E385" s="228"/>
      <c r="F385" s="228"/>
      <c r="G385" s="228" t="s">
        <v>921</v>
      </c>
      <c r="H385" s="228" t="s">
        <v>907</v>
      </c>
      <c r="I385" s="571"/>
      <c r="J385" s="854" t="str">
        <f>IF(HLOOKUP(CaseName,CaseData,MATCH($G385,cases!$G$3:$G$1232,0)-1,FALSE)="","",HLOOKUP(CaseName,CaseData,MATCH($G385,cases!$G$3:$G$1232,0)-1,FALSE))</f>
        <v/>
      </c>
      <c r="K385" s="869">
        <f>(kboltz*TEMP.M*CunninghamS)/(6*PI()*DYNVISC.a*RadS)</f>
        <v>5.2829100167727891E-8</v>
      </c>
      <c r="L385" s="298">
        <f t="shared" ref="L385:L390" si="25">IF(ISBLANK(I385),IF(ISNUMBER(J385)=FALSE,K385,J385),I385)</f>
        <v>5.2829100167727891E-8</v>
      </c>
      <c r="M385" s="228" t="s">
        <v>907</v>
      </c>
      <c r="N385" s="228"/>
      <c r="O385" s="262">
        <v>12</v>
      </c>
      <c r="P385" s="228" t="s">
        <v>915</v>
      </c>
    </row>
    <row r="386" spans="1:34" s="11" customFormat="1" ht="12.75" customHeight="1" x14ac:dyDescent="0.2">
      <c r="A386" s="228"/>
      <c r="B386" s="228"/>
      <c r="C386" s="228" t="s">
        <v>922</v>
      </c>
      <c r="D386" s="228"/>
      <c r="E386" s="228"/>
      <c r="F386" s="228"/>
      <c r="G386" s="228" t="s">
        <v>923</v>
      </c>
      <c r="H386" s="228" t="s">
        <v>907</v>
      </c>
      <c r="I386" s="571"/>
      <c r="J386" s="854" t="str">
        <f>IF(HLOOKUP(CaseName,CaseData,MATCH($G386,cases!$G$3:$G$1232,0)-1,FALSE)="","",HLOOKUP(CaseName,CaseData,MATCH($G386,cases!$G$3:$G$1232,0)-1,FALSE))</f>
        <v/>
      </c>
      <c r="K386" s="869">
        <f>(kboltz*TEMP.M)/(6*PI()*DYNVISC.w*RadS)</f>
        <v>4.1666712002834107E-11</v>
      </c>
      <c r="L386" s="298">
        <f t="shared" si="25"/>
        <v>4.1666712002834107E-11</v>
      </c>
      <c r="M386" s="228" t="s">
        <v>907</v>
      </c>
      <c r="N386" s="228" t="s">
        <v>918</v>
      </c>
      <c r="O386" s="262">
        <v>41</v>
      </c>
      <c r="P386" s="228" t="s">
        <v>911</v>
      </c>
    </row>
    <row r="387" spans="1:34" s="11" customFormat="1" ht="12.75" customHeight="1" x14ac:dyDescent="0.2">
      <c r="A387" s="228"/>
      <c r="B387" s="228"/>
      <c r="C387" s="228" t="s">
        <v>924</v>
      </c>
      <c r="D387" s="228"/>
      <c r="E387" s="228"/>
      <c r="F387" s="228"/>
      <c r="G387" s="228" t="s">
        <v>925</v>
      </c>
      <c r="H387" s="228" t="s">
        <v>907</v>
      </c>
      <c r="I387" s="571"/>
      <c r="J387" s="854" t="str">
        <f>IF(HLOOKUP(CaseName,CaseData,MATCH($G387,cases!$G$3:$G$1232,0)-1,FALSE)="","",HLOOKUP(CaseName,CaseData,MATCH($G387,cases!$G$3:$G$1232,0)-1,FALSE))</f>
        <v/>
      </c>
      <c r="K387" s="869">
        <f>(kboltz*TEMP.A*CunninghamS)/(6*PI()*DYNVISC.a*RadS)</f>
        <v>4.8751064365306793E-8</v>
      </c>
      <c r="L387" s="298">
        <f t="shared" si="25"/>
        <v>4.8751064365306793E-8</v>
      </c>
      <c r="M387" s="228" t="s">
        <v>907</v>
      </c>
      <c r="N387" s="228"/>
      <c r="O387" s="262">
        <v>12</v>
      </c>
      <c r="P387" s="228" t="s">
        <v>915</v>
      </c>
    </row>
    <row r="388" spans="1:34" s="11" customFormat="1" ht="12.75" customHeight="1" x14ac:dyDescent="0.2">
      <c r="A388" s="228"/>
      <c r="B388" s="228"/>
      <c r="C388" s="228" t="s">
        <v>926</v>
      </c>
      <c r="D388" s="228"/>
      <c r="E388" s="228"/>
      <c r="F388" s="228"/>
      <c r="G388" s="228" t="s">
        <v>927</v>
      </c>
      <c r="H388" s="228" t="s">
        <v>907</v>
      </c>
      <c r="I388" s="571"/>
      <c r="J388" s="854" t="str">
        <f>IF(HLOOKUP(CaseName,CaseData,MATCH($G388,cases!$G$3:$G$1232,0)-1,FALSE)="","",HLOOKUP(CaseName,CaseData,MATCH($G388,cases!$G$3:$G$1232,0)-1,FALSE))</f>
        <v/>
      </c>
      <c r="K388" s="869">
        <f>(kboltz*TEMP.A)/(6*PI()*DYNVISC.w*RadS)</f>
        <v>3.8450334234194282E-11</v>
      </c>
      <c r="L388" s="298">
        <f t="shared" si="25"/>
        <v>3.8450334234194282E-11</v>
      </c>
      <c r="M388" s="228" t="s">
        <v>907</v>
      </c>
      <c r="N388" s="228" t="s">
        <v>918</v>
      </c>
      <c r="O388" s="262">
        <v>41</v>
      </c>
      <c r="P388" s="228" t="s">
        <v>911</v>
      </c>
    </row>
    <row r="389" spans="1:34" s="11" customFormat="1" ht="12.75" customHeight="1" x14ac:dyDescent="0.2">
      <c r="A389" s="228"/>
      <c r="B389" s="228"/>
      <c r="C389" s="228" t="s">
        <v>928</v>
      </c>
      <c r="D389" s="228"/>
      <c r="E389" s="228"/>
      <c r="F389" s="228"/>
      <c r="G389" s="228" t="s">
        <v>929</v>
      </c>
      <c r="H389" s="228" t="s">
        <v>907</v>
      </c>
      <c r="I389" s="571"/>
      <c r="J389" s="854" t="str">
        <f>IF(HLOOKUP(CaseName,CaseData,MATCH($G389,cases!$G$3:$G$1232,0)-1,FALSE)="","",HLOOKUP(CaseName,CaseData,MATCH($G389,cases!$G$3:$G$1232,0)-1,FALSE))</f>
        <v/>
      </c>
      <c r="K389" s="869">
        <f>(kboltz*TEMP.T*CunninghamS)/(6*PI()*DYNVISC.a*RadS)</f>
        <v>5.5238848596431275E-8</v>
      </c>
      <c r="L389" s="298">
        <f t="shared" si="25"/>
        <v>5.5238848596431275E-8</v>
      </c>
      <c r="M389" s="228" t="s">
        <v>907</v>
      </c>
      <c r="N389" s="228"/>
      <c r="O389" s="262">
        <v>12</v>
      </c>
      <c r="P389" s="228" t="s">
        <v>915</v>
      </c>
    </row>
    <row r="390" spans="1:34" s="11" customFormat="1" ht="12.75" customHeight="1" x14ac:dyDescent="0.2">
      <c r="A390" s="228"/>
      <c r="B390" s="228"/>
      <c r="C390" s="228" t="s">
        <v>930</v>
      </c>
      <c r="D390" s="228"/>
      <c r="E390" s="228"/>
      <c r="F390" s="228"/>
      <c r="G390" s="228" t="s">
        <v>931</v>
      </c>
      <c r="H390" s="228" t="s">
        <v>907</v>
      </c>
      <c r="I390" s="571"/>
      <c r="J390" s="854" t="str">
        <f>IF(HLOOKUP(CaseName,CaseData,MATCH($G390,cases!$G$3:$G$1232,0)-1,FALSE)="","",HLOOKUP(CaseName,CaseData,MATCH($G390,cases!$G$3:$G$1232,0)-1,FALSE))</f>
        <v/>
      </c>
      <c r="K390" s="869">
        <f>(kboltz*TEMP.T)/(6*PI()*DYNVISC.w*RadS)</f>
        <v>4.3567298866121286E-11</v>
      </c>
      <c r="L390" s="298">
        <f t="shared" si="25"/>
        <v>4.3567298866121286E-11</v>
      </c>
      <c r="M390" s="228" t="s">
        <v>907</v>
      </c>
      <c r="N390" s="228" t="s">
        <v>918</v>
      </c>
      <c r="O390" s="262">
        <v>41</v>
      </c>
      <c r="P390" s="228" t="s">
        <v>911</v>
      </c>
    </row>
    <row r="391" spans="1:34" s="11" customFormat="1" ht="12" customHeight="1" x14ac:dyDescent="0.2">
      <c r="A391" s="228"/>
      <c r="B391" s="228"/>
      <c r="C391" s="228"/>
      <c r="D391" s="228"/>
      <c r="E391" s="228"/>
      <c r="F391" s="228"/>
      <c r="G391" s="216"/>
      <c r="H391" s="216"/>
      <c r="I391" s="872"/>
      <c r="J391" s="873"/>
      <c r="K391" s="874"/>
      <c r="L391" s="432"/>
      <c r="M391" s="216"/>
      <c r="N391" s="228"/>
      <c r="O391" s="215"/>
      <c r="P391" s="215"/>
      <c r="S391"/>
      <c r="T391"/>
      <c r="U391"/>
      <c r="V391"/>
      <c r="W391"/>
      <c r="X391"/>
      <c r="Y391"/>
    </row>
    <row r="392" spans="1:34" s="635" customFormat="1" ht="12.75" customHeight="1" x14ac:dyDescent="0.2">
      <c r="A392" s="868" t="s">
        <v>932</v>
      </c>
      <c r="B392" s="868"/>
      <c r="C392" s="868"/>
      <c r="D392" s="868"/>
      <c r="E392" s="868"/>
      <c r="F392" s="868"/>
      <c r="G392" s="868"/>
      <c r="H392" s="868"/>
      <c r="I392" s="875"/>
      <c r="J392" s="876"/>
      <c r="K392" s="877"/>
      <c r="L392" s="878"/>
      <c r="M392" s="868"/>
      <c r="N392" s="868"/>
      <c r="O392" s="956"/>
      <c r="P392" s="957"/>
      <c r="Q392" s="958"/>
      <c r="R392" s="958"/>
      <c r="S392" s="958"/>
      <c r="T392" s="958"/>
      <c r="U392" s="958"/>
      <c r="V392" s="958"/>
      <c r="W392" s="958"/>
      <c r="X392" s="958"/>
      <c r="Y392" s="958"/>
      <c r="Z392" s="958"/>
      <c r="AA392" s="958"/>
      <c r="AB392" s="958"/>
      <c r="AC392" s="958"/>
      <c r="AD392" s="958"/>
      <c r="AE392" s="958"/>
      <c r="AF392" s="958"/>
      <c r="AG392" s="958"/>
      <c r="AH392" s="958"/>
    </row>
    <row r="393" spans="1:34" s="386" customFormat="1" ht="12.75" customHeight="1" x14ac:dyDescent="0.2">
      <c r="A393" s="228"/>
      <c r="B393" s="228" t="s">
        <v>933</v>
      </c>
      <c r="C393" s="228"/>
      <c r="D393" s="228"/>
      <c r="E393" s="228"/>
      <c r="F393" s="228"/>
      <c r="G393" s="228" t="s">
        <v>934</v>
      </c>
      <c r="H393" s="228" t="s">
        <v>873</v>
      </c>
      <c r="I393" s="573"/>
      <c r="J393" s="854" t="str">
        <f>IF(HLOOKUP(CaseName,CaseData,MATCH($G393,cases!$G$3:$G$1232,0)-1,FALSE)="","",HLOOKUP(CaseName,CaseData,MATCH($G393,cases!$G$3:$G$1232,0)-1,FALSE))</f>
        <v/>
      </c>
      <c r="K393" s="869">
        <f>(2*(RhoA.w-Rho.w)*g*RadA.w^2)/(9*DYNVISC.w)</f>
        <v>4.9055254134227729E-8</v>
      </c>
      <c r="L393" s="298">
        <f t="shared" ref="L393:L402" si="26">IF(ISBLANK(I393),IF(ISNUMBER(J393)=FALSE,K393,J393),I393)</f>
        <v>4.9055254134227729E-8</v>
      </c>
      <c r="M393" s="228" t="s">
        <v>873</v>
      </c>
      <c r="N393" s="228"/>
      <c r="O393" s="415"/>
      <c r="P393" s="384"/>
    </row>
    <row r="394" spans="1:34" s="386" customFormat="1" ht="12.75" customHeight="1" x14ac:dyDescent="0.2">
      <c r="A394" s="228"/>
      <c r="B394" s="228"/>
      <c r="C394" s="228" t="s">
        <v>935</v>
      </c>
      <c r="D394" s="228"/>
      <c r="E394" s="228"/>
      <c r="F394" s="228"/>
      <c r="G394" s="228" t="s">
        <v>936</v>
      </c>
      <c r="H394" s="228" t="s">
        <v>820</v>
      </c>
      <c r="I394" s="573"/>
      <c r="J394" s="854" t="str">
        <f>IF(HLOOKUP(CaseName,CaseData,MATCH($G394,cases!$G$3:$G$1232,0)-1,FALSE)="","",HLOOKUP(CaseName,CaseData,MATCH($G394,cases!$G$3:$G$1232,0)-1,FALSE))</f>
        <v/>
      </c>
      <c r="K394" s="869">
        <f>(RadNC.w^3+RadS^3)^(1/3)</f>
        <v>1.5000185182899018E-7</v>
      </c>
      <c r="L394" s="298">
        <f t="shared" si="26"/>
        <v>1.5000185182899018E-7</v>
      </c>
      <c r="M394" s="228" t="s">
        <v>820</v>
      </c>
      <c r="N394" s="228"/>
      <c r="O394" s="415"/>
      <c r="P394" s="384"/>
    </row>
    <row r="395" spans="1:34" s="386" customFormat="1" ht="12.75" customHeight="1" x14ac:dyDescent="0.2">
      <c r="A395" s="228"/>
      <c r="B395" s="228"/>
      <c r="C395" s="228" t="s">
        <v>937</v>
      </c>
      <c r="D395" s="228"/>
      <c r="E395" s="228"/>
      <c r="F395" s="228"/>
      <c r="G395" s="228" t="s">
        <v>938</v>
      </c>
      <c r="H395" s="228" t="s">
        <v>287</v>
      </c>
      <c r="I395" s="573"/>
      <c r="J395" s="854" t="str">
        <f>IF(HLOOKUP(CaseName,CaseData,MATCH($G395,cases!$G$3:$G$1232,0)-1,FALSE)="","",HLOOKUP(CaseName,CaseData,MATCH($G395,cases!$G$3:$G$1232,0)-1,FALSE))</f>
        <v/>
      </c>
      <c r="K395" s="869">
        <f>(RhoS*4/3*PI()*RadS^3+RhoNC.w*4/3*PI()*RadNC.w^3)/(4/3*PI()*RadS^3+4/3*PI()*RadNC.w^3)</f>
        <v>2000.0825895337216</v>
      </c>
      <c r="L395" s="298">
        <f t="shared" si="26"/>
        <v>2000.0825895337216</v>
      </c>
      <c r="M395" s="228" t="s">
        <v>287</v>
      </c>
      <c r="N395" s="228"/>
      <c r="O395" s="415"/>
      <c r="P395" s="384"/>
    </row>
    <row r="396" spans="1:34" s="386" customFormat="1" ht="12.75" customHeight="1" x14ac:dyDescent="0.2">
      <c r="A396" s="228"/>
      <c r="B396" s="228" t="s">
        <v>939</v>
      </c>
      <c r="C396" s="228"/>
      <c r="D396" s="228"/>
      <c r="E396" s="228"/>
      <c r="F396" s="228"/>
      <c r="G396" s="228" t="s">
        <v>940</v>
      </c>
      <c r="H396" s="228" t="s">
        <v>873</v>
      </c>
      <c r="I396" s="573"/>
      <c r="J396" s="854" t="str">
        <f>IF(HLOOKUP(CaseName,CaseData,MATCH($G396,cases!$G$3:$G$1232,0)-1,FALSE)="","",HLOOKUP(CaseName,CaseData,MATCH($G396,cases!$G$3:$G$1232,0)-1,FALSE))</f>
        <v/>
      </c>
      <c r="K396" s="869">
        <f>(2*(RhoP.w-Rho.w)*g*RadP.w^2)/(9*DYNVISC.w)</f>
        <v>2.9410419409277556E-5</v>
      </c>
      <c r="L396" s="298">
        <f t="shared" si="26"/>
        <v>2.9410419409277556E-5</v>
      </c>
      <c r="M396" s="228" t="s">
        <v>873</v>
      </c>
      <c r="N396" s="228"/>
      <c r="O396" s="415"/>
      <c r="P396" s="384"/>
    </row>
    <row r="397" spans="1:34" s="386" customFormat="1" ht="12.75" customHeight="1" x14ac:dyDescent="0.2">
      <c r="A397" s="228"/>
      <c r="B397" s="228"/>
      <c r="C397" s="228" t="s">
        <v>941</v>
      </c>
      <c r="D397" s="228"/>
      <c r="E397" s="228"/>
      <c r="F397" s="228"/>
      <c r="G397" s="228" t="s">
        <v>942</v>
      </c>
      <c r="H397" s="228" t="s">
        <v>820</v>
      </c>
      <c r="I397" s="573"/>
      <c r="J397" s="854" t="str">
        <f>IF(HLOOKUP(CaseName,CaseData,MATCH($G397,cases!$G$3:$G$1232,0)-1,FALSE)="","",HLOOKUP(CaseName,CaseData,MATCH($G397,cases!$G$3:$G$1232,0)-1,FALSE))</f>
        <v/>
      </c>
      <c r="K397" s="869">
        <f>(RadSPM.w^3+RadS^3)^(1/3)</f>
        <v>3.0000000046296297E-6</v>
      </c>
      <c r="L397" s="552">
        <f t="shared" si="26"/>
        <v>3.0000000046296297E-6</v>
      </c>
      <c r="M397" s="228" t="s">
        <v>820</v>
      </c>
      <c r="N397" s="228"/>
      <c r="O397" s="415"/>
      <c r="P397" s="384"/>
    </row>
    <row r="398" spans="1:34" s="386" customFormat="1" ht="12.75" customHeight="1" x14ac:dyDescent="0.2">
      <c r="A398" s="228"/>
      <c r="B398" s="228"/>
      <c r="C398" s="228" t="s">
        <v>943</v>
      </c>
      <c r="D398" s="228"/>
      <c r="E398" s="228"/>
      <c r="F398" s="228"/>
      <c r="G398" s="228" t="s">
        <v>944</v>
      </c>
      <c r="H398" s="228" t="s">
        <v>287</v>
      </c>
      <c r="I398" s="573"/>
      <c r="J398" s="854" t="str">
        <f>IF(HLOOKUP(CaseName,CaseData,MATCH($G398,cases!$G$3:$G$1232,0)-1,FALSE)="","",HLOOKUP(CaseName,CaseData,MATCH($G398,cases!$G$3:$G$1232,0)-1,FALSE))</f>
        <v/>
      </c>
      <c r="K398" s="869">
        <f>(RhoS*4/3*PI()*RadS^3+RhoSPM.w*4/3*PI()*RadSPM.w^3)/(4/3*PI()*RadS^3+4/3*PI()*RadSPM.w^3)</f>
        <v>2500.0000080092591</v>
      </c>
      <c r="L398" s="552">
        <f t="shared" si="26"/>
        <v>2500.0000080092591</v>
      </c>
      <c r="M398" s="228" t="s">
        <v>287</v>
      </c>
      <c r="N398" s="228"/>
      <c r="O398" s="415"/>
      <c r="P398" s="384"/>
    </row>
    <row r="399" spans="1:34" s="386" customFormat="1" ht="12.75" customHeight="1" x14ac:dyDescent="0.2">
      <c r="A399" s="228"/>
      <c r="B399" s="228" t="s">
        <v>945</v>
      </c>
      <c r="C399" s="228"/>
      <c r="D399" s="228"/>
      <c r="E399" s="228"/>
      <c r="F399" s="228"/>
      <c r="G399" s="228" t="s">
        <v>946</v>
      </c>
      <c r="H399" s="228" t="s">
        <v>873</v>
      </c>
      <c r="I399" s="573"/>
      <c r="J399" s="854" t="str">
        <f>IF(HLOOKUP(CaseName,CaseData,MATCH($G399,cases!$G$3:$G$1232,0)-1,FALSE)="","",HLOOKUP(CaseName,CaseData,MATCH($G399,cases!$G$3:$G$1232,0)-1,FALSE))</f>
        <v/>
      </c>
      <c r="K399" s="869">
        <f>((2*RadP.a)^2*(RhoP.a-Rho.a)*9.81*CunninghamP.a)/(18*DYNVISC.a)</f>
        <v>2.1132701715031448E-4</v>
      </c>
      <c r="L399" s="298">
        <f t="shared" si="26"/>
        <v>2.1132701715031448E-4</v>
      </c>
      <c r="M399" s="228" t="s">
        <v>873</v>
      </c>
      <c r="N399" s="228"/>
      <c r="O399" s="415"/>
      <c r="P399" s="384"/>
    </row>
    <row r="400" spans="1:34" s="386" customFormat="1" ht="12.75" customHeight="1" x14ac:dyDescent="0.2">
      <c r="A400" s="228"/>
      <c r="B400" s="228"/>
      <c r="C400" s="228" t="s">
        <v>947</v>
      </c>
      <c r="D400" s="228"/>
      <c r="E400" s="228"/>
      <c r="F400" s="228"/>
      <c r="G400" s="216" t="s">
        <v>948</v>
      </c>
      <c r="H400" s="216" t="s">
        <v>296</v>
      </c>
      <c r="I400" s="573"/>
      <c r="J400" s="854" t="str">
        <f>IF(HLOOKUP(CaseName,CaseData,MATCH($G400,cases!$G$3:$G$1232,0)-1,FALSE)="","",HLOOKUP(CaseName,CaseData,MATCH($G400,cases!$G$3:$G$1232,0)-1,FALSE))</f>
        <v/>
      </c>
      <c r="K400" s="869">
        <f>1+(66*10^-9/RadP.a)*1.142+0.558*EXP(-0.999/(66*10^-9/RadP.a))</f>
        <v>1.0837473385214671</v>
      </c>
      <c r="L400" s="298">
        <f t="shared" si="26"/>
        <v>1.0837473385214671</v>
      </c>
      <c r="M400" s="216" t="s">
        <v>296</v>
      </c>
      <c r="N400" s="228"/>
      <c r="O400" s="384"/>
      <c r="P400" s="415"/>
    </row>
    <row r="401" spans="1:18" s="386" customFormat="1" ht="12.75" customHeight="1" x14ac:dyDescent="0.2">
      <c r="A401" s="228"/>
      <c r="B401" s="228"/>
      <c r="C401" s="228" t="s">
        <v>949</v>
      </c>
      <c r="D401" s="228"/>
      <c r="E401" s="228"/>
      <c r="F401" s="228"/>
      <c r="G401" s="228" t="s">
        <v>950</v>
      </c>
      <c r="H401" s="228" t="s">
        <v>820</v>
      </c>
      <c r="I401" s="573"/>
      <c r="J401" s="854" t="str">
        <f>IF(HLOOKUP(CaseName,CaseData,MATCH($G401,cases!$G$3:$G$1232,0)-1,FALSE)="","",HLOOKUP(CaseName,CaseData,MATCH($G401,cases!$G$3:$G$1232,0)-1,FALSE))</f>
        <v/>
      </c>
      <c r="K401" s="869">
        <f>(RadCP.a^3+RadS^3)^(1/3)</f>
        <v>9.0000005144032705E-7</v>
      </c>
      <c r="L401" s="552">
        <f t="shared" si="26"/>
        <v>9.0000005144032705E-7</v>
      </c>
      <c r="M401" s="228" t="s">
        <v>820</v>
      </c>
      <c r="N401" s="432"/>
      <c r="O401" s="415"/>
      <c r="P401" s="384"/>
    </row>
    <row r="402" spans="1:18" s="386" customFormat="1" ht="12.75" customHeight="1" x14ac:dyDescent="0.2">
      <c r="A402" s="228"/>
      <c r="B402" s="228"/>
      <c r="C402" s="228" t="s">
        <v>951</v>
      </c>
      <c r="D402" s="228"/>
      <c r="E402" s="228"/>
      <c r="F402" s="228"/>
      <c r="G402" s="228" t="s">
        <v>952</v>
      </c>
      <c r="H402" s="228" t="s">
        <v>287</v>
      </c>
      <c r="I402" s="573"/>
      <c r="J402" s="854" t="str">
        <f>IF(HLOOKUP(CaseName,CaseData,MATCH($G402,cases!$G$3:$G$1232,0)-1,FALSE)="","",HLOOKUP(CaseName,CaseData,MATCH($G402,cases!$G$3:$G$1232,0)-1,FALSE))</f>
        <v/>
      </c>
      <c r="K402" s="869">
        <f>(RhoS*4/3*PI()*RadS^3+RhoCP.a*4/3*PI()*RadCP.a^3)/(4/3*PI()*RadS^3+4/3*PI()*RadCP.a^3)</f>
        <v>2000.0003823730485</v>
      </c>
      <c r="L402" s="552">
        <f t="shared" si="26"/>
        <v>2000.0003823730485</v>
      </c>
      <c r="M402" s="228" t="s">
        <v>287</v>
      </c>
      <c r="N402" s="432"/>
      <c r="O402" s="415"/>
      <c r="P402" s="384"/>
    </row>
    <row r="404" spans="1:18" ht="12.75" customHeight="1" x14ac:dyDescent="0.2">
      <c r="O404" s="11"/>
      <c r="P404" s="11"/>
      <c r="Q404" s="11"/>
      <c r="R404" s="11"/>
    </row>
    <row r="405" spans="1:18" ht="12.75" customHeight="1" x14ac:dyDescent="0.2">
      <c r="O405" s="11"/>
      <c r="P405" s="11"/>
      <c r="Q405" s="11"/>
      <c r="R405" s="11"/>
    </row>
    <row r="406" spans="1:18" ht="12.75" customHeight="1" x14ac:dyDescent="0.2">
      <c r="O406" s="11"/>
      <c r="P406" s="11"/>
      <c r="Q406" s="11"/>
      <c r="R406" s="11"/>
    </row>
    <row r="407" spans="1:18" ht="12.75" customHeight="1" x14ac:dyDescent="0.2">
      <c r="O407" s="11"/>
      <c r="P407" s="11"/>
      <c r="Q407" s="11"/>
      <c r="R407" s="11"/>
    </row>
    <row r="408" spans="1:18" ht="12.75" customHeight="1" x14ac:dyDescent="0.2">
      <c r="O408" s="11"/>
      <c r="P408" s="11"/>
      <c r="Q408" s="11"/>
      <c r="R408" s="11"/>
    </row>
    <row r="409" spans="1:18" ht="12.75" customHeight="1" x14ac:dyDescent="0.2">
      <c r="O409" s="11"/>
      <c r="P409" s="11"/>
      <c r="Q409" s="11"/>
      <c r="R409" s="11"/>
    </row>
  </sheetData>
  <mergeCells count="4">
    <mergeCell ref="H8:I8"/>
    <mergeCell ref="H5:I5"/>
    <mergeCell ref="H6:I6"/>
    <mergeCell ref="H10:I10"/>
  </mergeCells>
  <phoneticPr fontId="6" type="noConversion"/>
  <conditionalFormatting sqref="J7">
    <cfRule type="expression" dxfId="147" priority="811" stopIfTrue="1">
      <formula>HLOOKUP(CaseName,CaseData,ROW(),FALSE)&lt;&gt;""</formula>
    </cfRule>
    <cfRule type="expression" dxfId="146" priority="812" stopIfTrue="1">
      <formula>ISNUMBER(J7)</formula>
    </cfRule>
  </conditionalFormatting>
  <conditionalFormatting sqref="J7">
    <cfRule type="expression" dxfId="145" priority="805" stopIfTrue="1">
      <formula>HLOOKUP(CaseName,CaseData,ROW(),FALSE)&lt;&gt;""</formula>
    </cfRule>
    <cfRule type="expression" dxfId="144" priority="806" stopIfTrue="1">
      <formula>ISNUMBER(J7)</formula>
    </cfRule>
  </conditionalFormatting>
  <conditionalFormatting sqref="J6">
    <cfRule type="expression" dxfId="143" priority="767" stopIfTrue="1">
      <formula>ISBLANK(HLOOKUP(CaseName,CaseData,ROW()+2,FALSE))</formula>
    </cfRule>
  </conditionalFormatting>
  <conditionalFormatting sqref="J44:J74 J129:J155 J159:J185 J213:J222 J228:J254 J259:J284 J287:J314 J317:J354 J357:J367 J372:J402 J78:J95 J98 J101:J123">
    <cfRule type="expression" dxfId="142" priority="6" stopIfTrue="1">
      <formula>HLOOKUP(CaseName,CaseData,ROW()-2,FALSE)&lt;&gt;""</formula>
    </cfRule>
  </conditionalFormatting>
  <conditionalFormatting sqref="J127">
    <cfRule type="expression" dxfId="141" priority="317" stopIfTrue="1">
      <formula>HLOOKUP(CaseName,CaseData,ROW()-2,FALSE)&lt;&gt;""</formula>
    </cfRule>
    <cfRule type="expression" dxfId="140" priority="318" stopIfTrue="1">
      <formula>HLOOKUP(ScenarioName,ScenarioData,ROW()-65,FALSE)&lt;&gt;""</formula>
    </cfRule>
  </conditionalFormatting>
  <conditionalFormatting sqref="J136 J144 J148 J152">
    <cfRule type="expression" dxfId="139" priority="146" stopIfTrue="1">
      <formula>HLOOKUP(CaseName,CaseData,ROW()-3,FALSE)&lt;&gt;""</formula>
    </cfRule>
    <cfRule type="expression" dxfId="138" priority="147" stopIfTrue="1">
      <formula>HLOOKUP(ScenarioName,ScenarioData,ROW()-67,FALSE)&lt;&gt;""</formula>
    </cfRule>
  </conditionalFormatting>
  <conditionalFormatting sqref="I187">
    <cfRule type="cellIs" dxfId="137" priority="119" operator="equal">
      <formula>0</formula>
    </cfRule>
  </conditionalFormatting>
  <conditionalFormatting sqref="I188:I191 I193:I211">
    <cfRule type="cellIs" dxfId="136" priority="117" operator="equal">
      <formula>0</formula>
    </cfRule>
  </conditionalFormatting>
  <conditionalFormatting sqref="J162:J168">
    <cfRule type="expression" dxfId="135" priority="114">
      <formula>HLOOKUP(CaseName,CaseData,ROW()-2,FALSE)&lt;&gt;""</formula>
    </cfRule>
  </conditionalFormatting>
  <conditionalFormatting sqref="J170:J185">
    <cfRule type="expression" dxfId="134" priority="113">
      <formula>HLOOKUP(CaseName,CaseData,ROW()-2,FALSE)&lt;&gt;""</formula>
    </cfRule>
  </conditionalFormatting>
  <conditionalFormatting sqref="J214 J370 J104:J116 J156 J118:J124">
    <cfRule type="expression" dxfId="133" priority="89" stopIfTrue="1">
      <formula>HLOOKUP(CaseName,CaseData,ROW()-2,FALSE)&lt;&gt;""</formula>
    </cfRule>
  </conditionalFormatting>
  <conditionalFormatting sqref="J215">
    <cfRule type="expression" dxfId="132" priority="88" stopIfTrue="1">
      <formula>HLOOKUP(CaseName,CaseData,ROW()-2,FALSE)&lt;&gt;""</formula>
    </cfRule>
  </conditionalFormatting>
  <conditionalFormatting sqref="J216">
    <cfRule type="expression" dxfId="131" priority="87" stopIfTrue="1">
      <formula>HLOOKUP(CaseName,CaseData,ROW()-2,FALSE)&lt;&gt;""</formula>
    </cfRule>
  </conditionalFormatting>
  <conditionalFormatting sqref="J218">
    <cfRule type="expression" dxfId="130" priority="86" stopIfTrue="1">
      <formula>HLOOKUP(CaseName,CaseData,ROW()-2,FALSE)&lt;&gt;""</formula>
    </cfRule>
  </conditionalFormatting>
  <conditionalFormatting sqref="J219">
    <cfRule type="expression" dxfId="129" priority="85" stopIfTrue="1">
      <formula>HLOOKUP(CaseName,CaseData,ROW()-2,FALSE)&lt;&gt;""</formula>
    </cfRule>
  </conditionalFormatting>
  <conditionalFormatting sqref="J220">
    <cfRule type="expression" dxfId="128" priority="84" stopIfTrue="1">
      <formula>HLOOKUP(CaseName,CaseData,ROW()-2,FALSE)&lt;&gt;""</formula>
    </cfRule>
  </conditionalFormatting>
  <conditionalFormatting sqref="J213">
    <cfRule type="expression" dxfId="127" priority="83" stopIfTrue="1">
      <formula>HLOOKUP(CaseName,CaseData,ROW()-2,FALSE)&lt;&gt;""</formula>
    </cfRule>
  </conditionalFormatting>
  <conditionalFormatting sqref="J227">
    <cfRule type="expression" dxfId="126" priority="81" stopIfTrue="1">
      <formula>HLOOKUP(CaseName,CaseData,ROW()-2,FALSE)&lt;&gt;""</formula>
    </cfRule>
  </conditionalFormatting>
  <conditionalFormatting sqref="J226">
    <cfRule type="expression" dxfId="125" priority="80" stopIfTrue="1">
      <formula>HLOOKUP(CaseName,CaseData,ROW()-2,FALSE)&lt;&gt;""</formula>
    </cfRule>
  </conditionalFormatting>
  <conditionalFormatting sqref="J126">
    <cfRule type="expression" dxfId="124" priority="79" stopIfTrue="1">
      <formula>HLOOKUP(CaseName,CaseData,ROW()-2,FALSE)&lt;&gt;""</formula>
    </cfRule>
  </conditionalFormatting>
  <conditionalFormatting sqref="I192">
    <cfRule type="cellIs" dxfId="123" priority="72" operator="equal">
      <formula>0</formula>
    </cfRule>
  </conditionalFormatting>
  <conditionalFormatting sqref="J236:J242">
    <cfRule type="expression" dxfId="122" priority="60" stopIfTrue="1">
      <formula>HLOOKUP(CaseName,CaseData,ROW()-3,FALSE)&lt;&gt;""</formula>
    </cfRule>
  </conditionalFormatting>
  <conditionalFormatting sqref="J137:J143">
    <cfRule type="expression" dxfId="121" priority="58" stopIfTrue="1">
      <formula>HLOOKUP(CaseName,CaseData,ROW()-3,FALSE)&lt;&gt;""</formula>
    </cfRule>
  </conditionalFormatting>
  <conditionalFormatting sqref="J244:J246">
    <cfRule type="expression" dxfId="120" priority="56" stopIfTrue="1">
      <formula>HLOOKUP(CaseName,CaseData,ROW()-3,FALSE)&lt;&gt;""</formula>
    </cfRule>
  </conditionalFormatting>
  <conditionalFormatting sqref="J248:J250">
    <cfRule type="expression" dxfId="119" priority="54" stopIfTrue="1">
      <formula>HLOOKUP(CaseName,CaseData,ROW()-3,FALSE)&lt;&gt;""</formula>
    </cfRule>
  </conditionalFormatting>
  <conditionalFormatting sqref="J252:J254">
    <cfRule type="expression" dxfId="118" priority="52" stopIfTrue="1">
      <formula>HLOOKUP(CaseName,CaseData,ROW()-3,FALSE)&lt;&gt;""</formula>
    </cfRule>
  </conditionalFormatting>
  <conditionalFormatting sqref="J145:J147">
    <cfRule type="expression" dxfId="117" priority="50" stopIfTrue="1">
      <formula>HLOOKUP(CaseName,CaseData,ROW()-3,FALSE)&lt;&gt;""</formula>
    </cfRule>
  </conditionalFormatting>
  <conditionalFormatting sqref="J149:J151">
    <cfRule type="expression" dxfId="116" priority="48" stopIfTrue="1">
      <formula>HLOOKUP(CaseName,CaseData,ROW()-3,FALSE)&lt;&gt;""</formula>
    </cfRule>
  </conditionalFormatting>
  <conditionalFormatting sqref="J259:J284">
    <cfRule type="expression" dxfId="115" priority="44" stopIfTrue="1">
      <formula>HLOOKUP(CaseName,CaseData,ROW()-3,FALSE)&lt;&gt;""</formula>
    </cfRule>
  </conditionalFormatting>
  <conditionalFormatting sqref="J287:J314">
    <cfRule type="expression" dxfId="114" priority="42" stopIfTrue="1">
      <formula>HLOOKUP(CaseName,CaseData,ROW()-3,FALSE)&lt;&gt;""</formula>
    </cfRule>
  </conditionalFormatting>
  <conditionalFormatting sqref="J317:J330 J332:J336">
    <cfRule type="expression" dxfId="113" priority="36" stopIfTrue="1">
      <formula>HLOOKUP(CaseName,CaseData,ROW()-2,FALSE)&lt;&gt;""</formula>
    </cfRule>
  </conditionalFormatting>
  <conditionalFormatting sqref="J357:J367">
    <cfRule type="expression" dxfId="112" priority="35" stopIfTrue="1">
      <formula>HLOOKUP(CaseName,CaseData,ROW()-2,FALSE)&lt;&gt;""</formula>
    </cfRule>
  </conditionalFormatting>
  <conditionalFormatting sqref="J14:J16">
    <cfRule type="expression" dxfId="111" priority="33" stopIfTrue="1">
      <formula>HLOOKUP(CaseName,CaseData,ROW()-2,FALSE)&lt;&gt;""</formula>
    </cfRule>
  </conditionalFormatting>
  <conditionalFormatting sqref="J372:J390">
    <cfRule type="expression" dxfId="110" priority="31" stopIfTrue="1">
      <formula>HLOOKUP(CaseName,CaseData,ROW()-2,FALSE)&lt;&gt;""</formula>
    </cfRule>
  </conditionalFormatting>
  <conditionalFormatting sqref="J21:J40">
    <cfRule type="expression" dxfId="109" priority="30" stopIfTrue="1">
      <formula>HLOOKUP(CaseName,CaseData,ROW()-2,FALSE)&lt;&gt;""</formula>
    </cfRule>
  </conditionalFormatting>
  <conditionalFormatting sqref="J393:J402">
    <cfRule type="expression" dxfId="108" priority="27" stopIfTrue="1">
      <formula>HLOOKUP(CaseName,CaseData,ROW()-2,FALSE)&lt;&gt;""</formula>
    </cfRule>
  </conditionalFormatting>
  <conditionalFormatting sqref="J78:J87">
    <cfRule type="expression" dxfId="107" priority="20" stopIfTrue="1">
      <formula>HLOOKUP(CaseName,CaseData,ROW()-1,FALSE)&lt;&gt;""</formula>
    </cfRule>
  </conditionalFormatting>
  <conditionalFormatting sqref="J102:J103">
    <cfRule type="expression" dxfId="106" priority="19" stopIfTrue="1">
      <formula>HLOOKUP(CaseName,CaseData,ROW()-2,FALSE)&lt;&gt;""</formula>
    </cfRule>
  </conditionalFormatting>
  <conditionalFormatting sqref="Q275">
    <cfRule type="cellIs" dxfId="105" priority="18" stopIfTrue="1" operator="greaterThanOrEqual">
      <formula>0.0000000001</formula>
    </cfRule>
  </conditionalFormatting>
  <conditionalFormatting sqref="Q276">
    <cfRule type="cellIs" dxfId="104" priority="17" stopIfTrue="1" operator="greaterThanOrEqual">
      <formula>0.0000000001</formula>
    </cfRule>
  </conditionalFormatting>
  <conditionalFormatting sqref="Q277">
    <cfRule type="cellIs" dxfId="103" priority="16" stopIfTrue="1" operator="greaterThanOrEqual">
      <formula>0.0000000001</formula>
    </cfRule>
  </conditionalFormatting>
  <conditionalFormatting sqref="J331">
    <cfRule type="expression" dxfId="102" priority="15" stopIfTrue="1">
      <formula>HLOOKUP(CaseName,CaseData,ROW()-2,FALSE)&lt;&gt;""</formula>
    </cfRule>
  </conditionalFormatting>
  <conditionalFormatting sqref="J117">
    <cfRule type="expression" dxfId="101" priority="13" stopIfTrue="1">
      <formula>HLOOKUP(CaseName,CaseData,ROW()-2,FALSE)&lt;&gt;""</formula>
    </cfRule>
  </conditionalFormatting>
  <conditionalFormatting sqref="J129:J135 J137:J143 J145:J147 J149:J151 J225 J153:J155">
    <cfRule type="expression" dxfId="100" priority="65" stopIfTrue="1">
      <formula>HLOOKUP(ScenarioName,ScenarioData,ROW()-111,FALSE)&lt;&gt;""</formula>
    </cfRule>
  </conditionalFormatting>
  <conditionalFormatting sqref="J5">
    <cfRule type="expression" dxfId="99" priority="12" stopIfTrue="1">
      <formula>HLOOKUP(CaseName,CaseData,ROW()-2,FALSE)&lt;&gt;""</formula>
    </cfRule>
  </conditionalFormatting>
  <conditionalFormatting sqref="J5">
    <cfRule type="expression" dxfId="98" priority="11" stopIfTrue="1">
      <formula>HLOOKUP(CaseName,CaseData,ROW()-2,FALSE)&lt;&gt;""</formula>
    </cfRule>
  </conditionalFormatting>
  <conditionalFormatting sqref="J8">
    <cfRule type="expression" dxfId="97" priority="10" stopIfTrue="1">
      <formula>HLOOKUP(CaseName,CaseData,ROW()-2,FALSE)&lt;&gt;""</formula>
    </cfRule>
  </conditionalFormatting>
  <conditionalFormatting sqref="J8">
    <cfRule type="expression" dxfId="96" priority="9" stopIfTrue="1">
      <formula>HLOOKUP(CaseName,CaseData,ROW()-2,FALSE)&lt;&gt;""</formula>
    </cfRule>
  </conditionalFormatting>
  <conditionalFormatting sqref="J10">
    <cfRule type="expression" dxfId="95" priority="8" stopIfTrue="1">
      <formula>HLOOKUP(CaseName,CaseData,ROW()-2,FALSE)&lt;&gt;""</formula>
    </cfRule>
  </conditionalFormatting>
  <conditionalFormatting sqref="J10">
    <cfRule type="expression" dxfId="94" priority="7" stopIfTrue="1">
      <formula>HLOOKUP(CaseName,CaseData,ROW()-2,FALSE)&lt;&gt;""</formula>
    </cfRule>
  </conditionalFormatting>
  <conditionalFormatting sqref="J228:J254 J259:J314">
    <cfRule type="expression" dxfId="93" priority="64" stopIfTrue="1">
      <formula>HLOOKUP(ScenarioName,ScenarioData,ROW()-180,FALSE)&lt;&gt;""</formula>
    </cfRule>
  </conditionalFormatting>
  <conditionalFormatting sqref="J96:J97">
    <cfRule type="expression" dxfId="92" priority="2" stopIfTrue="1">
      <formula>HLOOKUP(CaseName,CaseData,ROW()-2,FALSE)&lt;&gt;""</formula>
    </cfRule>
  </conditionalFormatting>
  <conditionalFormatting sqref="J99:J100">
    <cfRule type="expression" dxfId="91" priority="1" stopIfTrue="1">
      <formula>HLOOKUP(CaseName,CaseData,ROW()-2,FALSE)&lt;&gt;""</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39"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332" transitionEvaluation="1" transitionEntry="1" codeName="Sheet2"/>
  <dimension ref="A1:S572"/>
  <sheetViews>
    <sheetView topLeftCell="A332" zoomScaleNormal="100" workbookViewId="0">
      <selection activeCell="K355" sqref="K355"/>
    </sheetView>
  </sheetViews>
  <sheetFormatPr defaultColWidth="10.7109375" defaultRowHeight="12.75" customHeight="1" x14ac:dyDescent="0.2"/>
  <cols>
    <col min="1" max="5" width="1.7109375" customWidth="1" collapsed="1"/>
    <col min="6" max="6" width="52.42578125" customWidth="1" collapsed="1"/>
    <col min="7" max="7" width="20.42578125" style="172" bestFit="1" customWidth="1" collapsed="1"/>
    <col min="8" max="8" width="10.7109375" style="172" customWidth="1" collapsed="1"/>
    <col min="9" max="9" width="9.140625" style="613" customWidth="1" collapsed="1"/>
    <col min="10" max="10" width="9.140625" style="273" customWidth="1" collapsed="1"/>
    <col min="11" max="11" width="10.140625" style="335" customWidth="1" collapsed="1"/>
    <col min="12" max="12" width="9.5703125" style="332" customWidth="1" collapsed="1"/>
    <col min="13" max="13" width="9.140625" customWidth="1" collapsed="1"/>
    <col min="14" max="14" width="24.5703125" customWidth="1" collapsed="1"/>
    <col min="15" max="15" width="34" style="20" customWidth="1" collapsed="1"/>
    <col min="16" max="16" width="20.42578125" style="26" bestFit="1" customWidth="1" collapsed="1"/>
    <col min="17" max="17" width="11.42578125" style="26" bestFit="1" customWidth="1" collapsed="1"/>
    <col min="18" max="18" width="10.7109375" style="26" collapsed="1"/>
    <col min="19" max="19" width="10.7109375" style="26"/>
    <col min="20" max="20" width="19.5703125" style="26" customWidth="1" collapsed="1"/>
    <col min="21" max="16384" width="10.7109375" style="26" collapsed="1"/>
  </cols>
  <sheetData>
    <row r="1" spans="1:16" ht="12.75" customHeight="1" x14ac:dyDescent="0.2">
      <c r="A1" s="100" t="s">
        <v>953</v>
      </c>
      <c r="O1" s="19"/>
      <c r="P1" s="11"/>
    </row>
    <row r="2" spans="1:16" ht="12.75" customHeight="1" x14ac:dyDescent="0.2">
      <c r="M2" s="666"/>
      <c r="O2" s="19"/>
      <c r="P2" s="11"/>
    </row>
    <row r="3" spans="1:16" s="414" customFormat="1" ht="12.75" customHeight="1" x14ac:dyDescent="0.2">
      <c r="A3" s="413" t="s">
        <v>954</v>
      </c>
      <c r="B3" s="413"/>
      <c r="C3" s="413"/>
      <c r="D3" s="413"/>
      <c r="E3" s="413"/>
      <c r="F3" s="413"/>
      <c r="G3" s="631" t="s">
        <v>263</v>
      </c>
      <c r="H3" s="631" t="s">
        <v>279</v>
      </c>
      <c r="I3" s="667" t="s">
        <v>264</v>
      </c>
      <c r="J3" s="668" t="s">
        <v>280</v>
      </c>
      <c r="K3" s="648" t="s">
        <v>265</v>
      </c>
      <c r="L3" s="649" t="s">
        <v>266</v>
      </c>
      <c r="M3" s="413"/>
      <c r="N3" s="631" t="s">
        <v>267</v>
      </c>
      <c r="O3" s="209" t="s">
        <v>268</v>
      </c>
      <c r="P3" s="413" t="s">
        <v>269</v>
      </c>
    </row>
    <row r="4" spans="1:16" ht="12.75" customHeight="1" x14ac:dyDescent="0.2">
      <c r="J4" s="273" t="str">
        <f>IF(HLOOKUP(CaseName,CaseData,ROW()+137,FALSE)="","",HLOOKUP(CaseName,CaseData,ROW()+137,FALSE))</f>
        <v/>
      </c>
      <c r="O4" s="19"/>
      <c r="P4" s="11"/>
    </row>
    <row r="5" spans="1:16" ht="12.75" customHeight="1" x14ac:dyDescent="0.2">
      <c r="A5" s="216" t="s">
        <v>955</v>
      </c>
      <c r="B5" s="228"/>
      <c r="C5" s="228"/>
      <c r="D5" s="228"/>
      <c r="E5" s="228"/>
      <c r="F5" s="228"/>
      <c r="G5" s="216" t="s">
        <v>956</v>
      </c>
      <c r="H5" s="216" t="s">
        <v>957</v>
      </c>
      <c r="I5" s="574"/>
      <c r="J5" s="294" t="str">
        <f>IF(ISBLANK(HLOOKUP(CaseName,CaseData,MATCH($G5,cases!$G$4:$G$2458,0),FALSE)),"",HLOOKUP(CaseName,CaseData,MATCH($G5,cases!$G$4:$G$2458,0),FALSE))</f>
        <v/>
      </c>
      <c r="K5" s="407">
        <f>L16*L23*(1-L33)</f>
        <v>229569931129000</v>
      </c>
      <c r="L5" s="298">
        <f t="shared" ref="L5:L15" si="0">IF(ISBLANK(I5),IF(ISNUMBER(J5)=FALSE,K5,J5),I5)</f>
        <v>229569931129000</v>
      </c>
      <c r="M5" s="216" t="s">
        <v>958</v>
      </c>
      <c r="N5" s="228" t="s">
        <v>959</v>
      </c>
      <c r="O5" s="262"/>
      <c r="P5" s="215"/>
    </row>
    <row r="6" spans="1:16" ht="12.75" customHeight="1" x14ac:dyDescent="0.2">
      <c r="A6" s="568" t="s">
        <v>960</v>
      </c>
      <c r="B6" s="567"/>
      <c r="C6" s="567"/>
      <c r="D6" s="567"/>
      <c r="E6" s="567"/>
      <c r="F6" s="567"/>
      <c r="G6" s="568" t="s">
        <v>961</v>
      </c>
      <c r="H6" s="568" t="s">
        <v>957</v>
      </c>
      <c r="I6" s="574"/>
      <c r="J6" s="294" t="str">
        <f>IF(ISBLANK(HLOOKUP(CaseName,CaseData,MATCH($G6,cases!$G$4:$G$2458,0),FALSE)),"",HLOOKUP(CaseName,CaseData,MATCH($G6,cases!$G$4:$G$2458,0),FALSE))</f>
        <v/>
      </c>
      <c r="K6" s="577">
        <f>L33*L5</f>
        <v>68870979.338699996</v>
      </c>
      <c r="L6" s="298">
        <f t="shared" si="0"/>
        <v>68870979.338699996</v>
      </c>
      <c r="M6" s="568" t="s">
        <v>958</v>
      </c>
      <c r="N6" s="578"/>
      <c r="O6" s="606"/>
      <c r="P6" s="585"/>
    </row>
    <row r="7" spans="1:16" ht="12.75" customHeight="1" x14ac:dyDescent="0.2">
      <c r="A7" s="216" t="s">
        <v>962</v>
      </c>
      <c r="B7" s="228"/>
      <c r="C7" s="228"/>
      <c r="D7" s="228"/>
      <c r="E7" s="228"/>
      <c r="F7" s="228"/>
      <c r="G7" s="216" t="s">
        <v>963</v>
      </c>
      <c r="H7" s="216" t="s">
        <v>957</v>
      </c>
      <c r="I7" s="574"/>
      <c r="J7" s="294" t="str">
        <f>IF(ISBLANK(HLOOKUP(CaseName,CaseData,MATCH($G7,cases!$G$4:$G$2458,0),FALSE)),"",HLOOKUP(CaseName,CaseData,MATCH($G7,cases!$G$4:$G$2458,0),FALSE))</f>
        <v/>
      </c>
      <c r="K7" s="407">
        <f>L16*L17*L24</f>
        <v>57142500000</v>
      </c>
      <c r="L7" s="298">
        <f t="shared" si="0"/>
        <v>57142500000</v>
      </c>
      <c r="M7" s="216" t="s">
        <v>958</v>
      </c>
      <c r="N7" s="228" t="s">
        <v>729</v>
      </c>
      <c r="O7" s="262"/>
      <c r="P7" s="215"/>
    </row>
    <row r="8" spans="1:16" ht="12.75" customHeight="1" x14ac:dyDescent="0.2">
      <c r="A8" s="216" t="s">
        <v>964</v>
      </c>
      <c r="B8" s="228"/>
      <c r="C8" s="228"/>
      <c r="D8" s="228"/>
      <c r="E8" s="228"/>
      <c r="F8" s="228"/>
      <c r="G8" s="216" t="s">
        <v>965</v>
      </c>
      <c r="H8" s="216" t="s">
        <v>957</v>
      </c>
      <c r="I8" s="574"/>
      <c r="J8" s="294" t="str">
        <f>IF(ISBLANK(HLOOKUP(CaseName,CaseData,MATCH($G8,cases!$G$4:$G$2458,0),FALSE)),"",HLOOKUP(CaseName,CaseData,MATCH($G8,cases!$G$4:$G$2458,0),FALSE))</f>
        <v/>
      </c>
      <c r="K8" s="407">
        <f>L16*L18*L25</f>
        <v>18857025000</v>
      </c>
      <c r="L8" s="298">
        <f t="shared" si="0"/>
        <v>18857025000</v>
      </c>
      <c r="M8" s="216" t="s">
        <v>958</v>
      </c>
      <c r="N8" s="228"/>
      <c r="O8" s="262"/>
      <c r="P8" s="215"/>
    </row>
    <row r="9" spans="1:16" ht="12.75" customHeight="1" x14ac:dyDescent="0.2">
      <c r="A9" s="216" t="s">
        <v>966</v>
      </c>
      <c r="B9" s="228"/>
      <c r="C9" s="228"/>
      <c r="D9" s="228"/>
      <c r="E9" s="228"/>
      <c r="F9" s="228"/>
      <c r="G9" s="216" t="s">
        <v>967</v>
      </c>
      <c r="H9" s="216" t="s">
        <v>957</v>
      </c>
      <c r="I9" s="574"/>
      <c r="J9" s="294" t="str">
        <f>IF(ISBLANK(HLOOKUP(CaseName,CaseData,MATCH($G9,cases!$G$4:$G$2458,0),FALSE)),"",HLOOKUP(CaseName,CaseData,MATCH($G9,cases!$G$4:$G$2458,0),FALSE))</f>
        <v/>
      </c>
      <c r="K9" s="407">
        <f>L16*L22*L26</f>
        <v>10000000000.000011</v>
      </c>
      <c r="L9" s="298">
        <f t="shared" si="0"/>
        <v>10000000000.000011</v>
      </c>
      <c r="M9" s="216" t="s">
        <v>958</v>
      </c>
      <c r="N9" s="228"/>
      <c r="O9" s="262"/>
      <c r="P9" s="215"/>
    </row>
    <row r="10" spans="1:16" s="386" customFormat="1" ht="12.75" customHeight="1" x14ac:dyDescent="0.2">
      <c r="A10" s="568" t="s">
        <v>968</v>
      </c>
      <c r="B10" s="567"/>
      <c r="C10" s="567"/>
      <c r="D10" s="567"/>
      <c r="E10" s="567"/>
      <c r="F10" s="567"/>
      <c r="G10" s="568" t="s">
        <v>969</v>
      </c>
      <c r="H10" s="568" t="s">
        <v>957</v>
      </c>
      <c r="I10" s="574"/>
      <c r="J10" s="294" t="str">
        <f>IF(ISBLANK(HLOOKUP(CaseName,CaseData,MATCH($G10,cases!$G$4:$G$2458,0),FALSE)),"",HLOOKUP(CaseName,CaseData,MATCH($G10,cases!$G$4:$G$2458,0),FALSE))</f>
        <v/>
      </c>
      <c r="K10" s="577">
        <f>L16*L17*L27</f>
        <v>17142750</v>
      </c>
      <c r="L10" s="298">
        <f t="shared" si="0"/>
        <v>17142750</v>
      </c>
      <c r="M10" s="568" t="s">
        <v>958</v>
      </c>
      <c r="N10" s="578"/>
      <c r="O10" s="607"/>
      <c r="P10" s="578"/>
    </row>
    <row r="11" spans="1:16" ht="12.75" customHeight="1" x14ac:dyDescent="0.2">
      <c r="A11" s="216" t="s">
        <v>970</v>
      </c>
      <c r="B11" s="228"/>
      <c r="C11" s="228"/>
      <c r="D11" s="228"/>
      <c r="E11" s="228"/>
      <c r="F11" s="228"/>
      <c r="G11" s="216" t="s">
        <v>971</v>
      </c>
      <c r="H11" s="216" t="s">
        <v>957</v>
      </c>
      <c r="I11" s="574"/>
      <c r="J11" s="294" t="str">
        <f>IF(ISBLANK(HLOOKUP(CaseName,CaseData,MATCH($G11,cases!$G$4:$G$2458,0),FALSE)),"",HLOOKUP(CaseName,CaseData,MATCH($G11,cases!$G$4:$G$2458,0),FALSE))</f>
        <v/>
      </c>
      <c r="K11" s="407">
        <f>L16*L18*L28</f>
        <v>188570250</v>
      </c>
      <c r="L11" s="298">
        <f t="shared" si="0"/>
        <v>188570250</v>
      </c>
      <c r="M11" s="216" t="s">
        <v>958</v>
      </c>
      <c r="N11" s="228"/>
      <c r="O11" s="262"/>
      <c r="P11" s="215"/>
    </row>
    <row r="12" spans="1:16" ht="12.75" customHeight="1" x14ac:dyDescent="0.2">
      <c r="A12" s="216" t="s">
        <v>972</v>
      </c>
      <c r="B12" s="228"/>
      <c r="C12" s="228"/>
      <c r="D12" s="228"/>
      <c r="E12" s="228"/>
      <c r="F12" s="228"/>
      <c r="G12" s="216" t="s">
        <v>973</v>
      </c>
      <c r="H12" s="216" t="s">
        <v>957</v>
      </c>
      <c r="I12" s="574"/>
      <c r="J12" s="294" t="str">
        <f>IF(ISBLANK(HLOOKUP(CaseName,CaseData,MATCH($G12,cases!$G$4:$G$2458,0),FALSE)),"",HLOOKUP(CaseName,CaseData,MATCH($G12,cases!$G$4:$G$2458,0),FALSE))</f>
        <v/>
      </c>
      <c r="K12" s="407">
        <f>L16*L22*L29</f>
        <v>30000000.00000003</v>
      </c>
      <c r="L12" s="298">
        <f t="shared" si="0"/>
        <v>30000000.00000003</v>
      </c>
      <c r="M12" s="216" t="s">
        <v>958</v>
      </c>
      <c r="N12" s="228"/>
      <c r="O12" s="262"/>
      <c r="P12" s="215"/>
    </row>
    <row r="13" spans="1:16" ht="12.75" customHeight="1" x14ac:dyDescent="0.2">
      <c r="A13" s="216" t="s">
        <v>974</v>
      </c>
      <c r="B13" s="228"/>
      <c r="C13" s="228"/>
      <c r="D13" s="228"/>
      <c r="E13" s="228"/>
      <c r="F13" s="228"/>
      <c r="G13" s="216" t="s">
        <v>975</v>
      </c>
      <c r="H13" s="216" t="s">
        <v>957</v>
      </c>
      <c r="I13" s="573"/>
      <c r="J13" s="294" t="str">
        <f>IF(ISBLANK(HLOOKUP(CaseName,CaseData,MATCH($G13,cases!$G$4:$G$2458,0),FALSE)),"",HLOOKUP(CaseName,CaseData,MATCH($G13,cases!$G$4:$G$2458,0),FALSE))</f>
        <v/>
      </c>
      <c r="K13" s="407">
        <f>L16*L19*L30</f>
        <v>3085695000.0000005</v>
      </c>
      <c r="L13" s="298">
        <f t="shared" si="0"/>
        <v>3085695000.0000005</v>
      </c>
      <c r="M13" s="216" t="s">
        <v>958</v>
      </c>
      <c r="N13" s="228"/>
      <c r="O13" s="262"/>
      <c r="P13" s="215"/>
    </row>
    <row r="14" spans="1:16" ht="12.75" customHeight="1" x14ac:dyDescent="0.2">
      <c r="A14" s="216" t="s">
        <v>976</v>
      </c>
      <c r="B14" s="228"/>
      <c r="C14" s="228"/>
      <c r="D14" s="228"/>
      <c r="E14" s="228"/>
      <c r="F14" s="228"/>
      <c r="G14" s="216" t="s">
        <v>977</v>
      </c>
      <c r="H14" s="216" t="s">
        <v>957</v>
      </c>
      <c r="I14" s="574"/>
      <c r="J14" s="294" t="str">
        <f>IF(ISBLANK(HLOOKUP(CaseName,CaseData,MATCH($G14,cases!$G$4:$G$2458,0),FALSE)),"",HLOOKUP(CaseName,CaseData,MATCH($G14,cases!$G$4:$G$2458,0),FALSE))</f>
        <v/>
      </c>
      <c r="K14" s="407">
        <f>L16*L20*L31</f>
        <v>27428400000</v>
      </c>
      <c r="L14" s="298">
        <f t="shared" si="0"/>
        <v>27428400000</v>
      </c>
      <c r="M14" s="216" t="s">
        <v>958</v>
      </c>
      <c r="N14" s="228"/>
      <c r="O14" s="262"/>
      <c r="P14" s="215"/>
    </row>
    <row r="15" spans="1:16" ht="12.75" customHeight="1" x14ac:dyDescent="0.2">
      <c r="A15" s="216" t="s">
        <v>978</v>
      </c>
      <c r="B15" s="228"/>
      <c r="C15" s="228"/>
      <c r="D15" s="228"/>
      <c r="E15" s="228"/>
      <c r="F15" s="228"/>
      <c r="G15" s="216" t="s">
        <v>979</v>
      </c>
      <c r="H15" s="216" t="s">
        <v>957</v>
      </c>
      <c r="I15" s="574"/>
      <c r="J15" s="294" t="str">
        <f>IF(ISBLANK(HLOOKUP(CaseName,CaseData,MATCH($G15,cases!$G$4:$G$2458,0),FALSE)),"",HLOOKUP(CaseName,CaseData,MATCH($G15,cases!$G$4:$G$2458,0),FALSE))</f>
        <v/>
      </c>
      <c r="K15" s="407">
        <f>L16*L21*L32</f>
        <v>1142850000</v>
      </c>
      <c r="L15" s="298">
        <f t="shared" si="0"/>
        <v>1142850000</v>
      </c>
      <c r="M15" s="216" t="s">
        <v>958</v>
      </c>
      <c r="N15" s="228"/>
      <c r="O15" s="262"/>
      <c r="P15" s="215"/>
    </row>
    <row r="16" spans="1:16" ht="12.75" customHeight="1" x14ac:dyDescent="0.2">
      <c r="A16" s="216"/>
      <c r="B16" s="216" t="s">
        <v>980</v>
      </c>
      <c r="C16" s="228"/>
      <c r="D16" s="228"/>
      <c r="E16" s="228"/>
      <c r="F16" s="228"/>
      <c r="G16" s="216" t="s">
        <v>981</v>
      </c>
      <c r="H16" s="216" t="s">
        <v>679</v>
      </c>
      <c r="I16" s="573"/>
      <c r="J16" s="294" t="str">
        <f>IF(ISBLANK(HLOOKUP(CaseName,CaseData,MATCH($G16,cases!$G$4:$G$2458,0),FALSE)),"",HLOOKUP(CaseName,CaseData,MATCH($G16,cases!$G$4:$G$2458,0),FALSE))</f>
        <v/>
      </c>
      <c r="K16" s="407">
        <f>(AREAland.R+AREAsea.R)/1000000</f>
        <v>229570</v>
      </c>
      <c r="L16" s="298">
        <f>IF(ISBLANK(I16),IF(ISNUMBER(J16)=FALSE,K16*1000000,J16*1000000),I16*1000000)</f>
        <v>229570000000</v>
      </c>
      <c r="M16" s="216" t="s">
        <v>680</v>
      </c>
      <c r="N16" s="228"/>
      <c r="O16" s="262"/>
      <c r="P16" s="215"/>
    </row>
    <row r="17" spans="1:16" ht="12.75" customHeight="1" x14ac:dyDescent="0.2">
      <c r="A17" s="216"/>
      <c r="B17" s="216" t="s">
        <v>982</v>
      </c>
      <c r="C17" s="228"/>
      <c r="D17" s="228"/>
      <c r="E17" s="228"/>
      <c r="F17" s="228"/>
      <c r="G17" s="579" t="s">
        <v>983</v>
      </c>
      <c r="H17" s="216" t="s">
        <v>296</v>
      </c>
      <c r="I17" s="574"/>
      <c r="J17" s="294" t="str">
        <f>IF(ISBLANK(HLOOKUP(CaseName,CaseData,MATCH($G17,cases!$G$4:$G$2458,0),FALSE)),"",HLOOKUP(CaseName,CaseData,MATCH($G17,cases!$G$4:$G$2458,0),FALSE))</f>
        <v/>
      </c>
      <c r="K17" s="407">
        <f>AREAland.R*FRAClake.R/L16</f>
        <v>2.4891100753582783E-3</v>
      </c>
      <c r="L17" s="298">
        <f t="shared" ref="L17:L26" si="1">IF(ISBLANK(I17),IF(ISNUMBER(J17)=FALSE,K17,J17),I17)</f>
        <v>2.4891100753582783E-3</v>
      </c>
      <c r="M17" s="228" t="s">
        <v>297</v>
      </c>
      <c r="N17" s="228" t="s">
        <v>729</v>
      </c>
      <c r="O17" s="262"/>
      <c r="P17" s="215"/>
    </row>
    <row r="18" spans="1:16" ht="12.75" customHeight="1" x14ac:dyDescent="0.2">
      <c r="A18" s="216"/>
      <c r="B18" s="216" t="s">
        <v>984</v>
      </c>
      <c r="C18" s="228"/>
      <c r="D18" s="228"/>
      <c r="E18" s="228"/>
      <c r="F18" s="228"/>
      <c r="G18" s="579" t="s">
        <v>985</v>
      </c>
      <c r="H18" s="216" t="s">
        <v>296</v>
      </c>
      <c r="I18" s="574"/>
      <c r="J18" s="294" t="str">
        <f>IF(ISBLANK(HLOOKUP(CaseName,CaseData,MATCH($G18,cases!$G$4:$G$2458,0),FALSE)),"",HLOOKUP(CaseName,CaseData,MATCH($G18,cases!$G$4:$G$2458,0),FALSE))</f>
        <v/>
      </c>
      <c r="K18" s="407">
        <f>AREAland.R*FRACfresh.R/L16</f>
        <v>2.7380210828941064E-2</v>
      </c>
      <c r="L18" s="298">
        <f t="shared" si="1"/>
        <v>2.7380210828941064E-2</v>
      </c>
      <c r="M18" s="228" t="s">
        <v>297</v>
      </c>
      <c r="N18" s="228"/>
      <c r="O18" s="262"/>
      <c r="P18" s="215"/>
    </row>
    <row r="19" spans="1:16" ht="12.75" customHeight="1" x14ac:dyDescent="0.2">
      <c r="A19" s="216"/>
      <c r="B19" s="216" t="s">
        <v>986</v>
      </c>
      <c r="C19" s="228"/>
      <c r="D19" s="228"/>
      <c r="E19" s="228"/>
      <c r="F19" s="228"/>
      <c r="G19" s="579" t="s">
        <v>987</v>
      </c>
      <c r="H19" s="216" t="s">
        <v>296</v>
      </c>
      <c r="I19" s="574"/>
      <c r="J19" s="294" t="str">
        <f>IF(ISBLANK(HLOOKUP(CaseName,CaseData,MATCH($G19,cases!$G$4:$G$2458,0),FALSE)),"",HLOOKUP(CaseName,CaseData,MATCH($G19,cases!$G$4:$G$2458,0),FALSE))</f>
        <v/>
      </c>
      <c r="K19" s="407">
        <f>AREAland.R*FRACnatsoil.R/L16</f>
        <v>0.26882388813869412</v>
      </c>
      <c r="L19" s="298">
        <f t="shared" si="1"/>
        <v>0.26882388813869412</v>
      </c>
      <c r="M19" s="228" t="s">
        <v>297</v>
      </c>
      <c r="N19" s="228"/>
      <c r="O19" s="262"/>
      <c r="P19" s="215"/>
    </row>
    <row r="20" spans="1:16" ht="12.75" customHeight="1" x14ac:dyDescent="0.2">
      <c r="A20" s="216"/>
      <c r="B20" s="216" t="s">
        <v>988</v>
      </c>
      <c r="C20" s="228"/>
      <c r="D20" s="228"/>
      <c r="E20" s="228"/>
      <c r="F20" s="228"/>
      <c r="G20" s="579" t="s">
        <v>989</v>
      </c>
      <c r="H20" s="216" t="s">
        <v>296</v>
      </c>
      <c r="I20" s="574"/>
      <c r="J20" s="294" t="str">
        <f>IF(ISBLANK(HLOOKUP(CaseName,CaseData,MATCH($G20,cases!$G$4:$G$2458,0),FALSE)),"",HLOOKUP(CaseName,CaseData,MATCH($G20,cases!$G$4:$G$2458,0),FALSE))</f>
        <v/>
      </c>
      <c r="K20" s="407">
        <f>AREAland.R*FRACagsoil.R/L16</f>
        <v>0.5973864180859868</v>
      </c>
      <c r="L20" s="298">
        <f t="shared" si="1"/>
        <v>0.5973864180859868</v>
      </c>
      <c r="M20" s="228" t="s">
        <v>297</v>
      </c>
      <c r="N20" s="228"/>
      <c r="O20" s="262"/>
      <c r="P20" s="215"/>
    </row>
    <row r="21" spans="1:16" ht="12.75" customHeight="1" x14ac:dyDescent="0.2">
      <c r="A21" s="216"/>
      <c r="B21" s="216" t="s">
        <v>990</v>
      </c>
      <c r="C21" s="228"/>
      <c r="D21" s="228"/>
      <c r="E21" s="228"/>
      <c r="F21" s="228"/>
      <c r="G21" s="579" t="s">
        <v>991</v>
      </c>
      <c r="H21" s="216" t="s">
        <v>296</v>
      </c>
      <c r="I21" s="574"/>
      <c r="J21" s="294" t="str">
        <f>IF(ISBLANK(HLOOKUP(CaseName,CaseData,MATCH($G21,cases!$G$4:$G$2458,0),FALSE)),"",HLOOKUP(CaseName,CaseData,MATCH($G21,cases!$G$4:$G$2458,0),FALSE))</f>
        <v/>
      </c>
      <c r="K21" s="407">
        <f>AREAland.R*FRACothersoil.R/L16</f>
        <v>9.9564403014331143E-2</v>
      </c>
      <c r="L21" s="298">
        <f t="shared" si="1"/>
        <v>9.9564403014331143E-2</v>
      </c>
      <c r="M21" s="228" t="s">
        <v>297</v>
      </c>
      <c r="N21" s="228"/>
      <c r="O21" s="262"/>
      <c r="P21" s="215"/>
    </row>
    <row r="22" spans="1:16" ht="12.75" customHeight="1" x14ac:dyDescent="0.2">
      <c r="A22" s="216"/>
      <c r="B22" s="216" t="s">
        <v>992</v>
      </c>
      <c r="C22" s="228"/>
      <c r="D22" s="228"/>
      <c r="E22" s="228"/>
      <c r="F22" s="228"/>
      <c r="G22" s="579" t="s">
        <v>993</v>
      </c>
      <c r="H22" s="216" t="s">
        <v>296</v>
      </c>
      <c r="I22" s="574"/>
      <c r="J22" s="294" t="str">
        <f>IF(ISBLANK(HLOOKUP(CaseName,CaseData,MATCH($G22,cases!$G$4:$G$2458,0),FALSE)),"",HLOOKUP(CaseName,CaseData,MATCH($G22,cases!$G$4:$G$2458,0),FALSE))</f>
        <v/>
      </c>
      <c r="K22" s="407">
        <f>1-L17-L18-L19-L20-L21</f>
        <v>4.3559698566885963E-3</v>
      </c>
      <c r="L22" s="298">
        <f t="shared" si="1"/>
        <v>4.3559698566885963E-3</v>
      </c>
      <c r="M22" s="228" t="s">
        <v>297</v>
      </c>
      <c r="N22" s="228"/>
      <c r="O22" s="262"/>
      <c r="P22" s="215"/>
    </row>
    <row r="23" spans="1:16" ht="12.75" customHeight="1" x14ac:dyDescent="0.2">
      <c r="A23" s="216"/>
      <c r="B23" s="228"/>
      <c r="C23" s="216" t="s">
        <v>994</v>
      </c>
      <c r="D23" s="579"/>
      <c r="E23" s="579"/>
      <c r="F23" s="228"/>
      <c r="G23" s="579" t="s">
        <v>995</v>
      </c>
      <c r="H23" s="216" t="s">
        <v>820</v>
      </c>
      <c r="I23" s="573"/>
      <c r="J23" s="294" t="str">
        <f>IF(ISBLANK(HLOOKUP(CaseName,CaseData,MATCH($G23,cases!$G$4:$G$2458,0),FALSE)),"",HLOOKUP(CaseName,CaseData,MATCH($G23,cases!$G$4:$G$2458,0),FALSE))</f>
        <v/>
      </c>
      <c r="K23" s="407">
        <v>1000</v>
      </c>
      <c r="L23" s="298">
        <f t="shared" si="1"/>
        <v>1000</v>
      </c>
      <c r="M23" s="216" t="s">
        <v>284</v>
      </c>
      <c r="N23" s="228"/>
      <c r="O23" s="262"/>
      <c r="P23" s="215"/>
    </row>
    <row r="24" spans="1:16" ht="12.75" customHeight="1" x14ac:dyDescent="0.2">
      <c r="A24" s="216"/>
      <c r="B24" s="228"/>
      <c r="C24" s="216" t="s">
        <v>996</v>
      </c>
      <c r="D24" s="579"/>
      <c r="E24" s="579"/>
      <c r="F24" s="228"/>
      <c r="G24" s="579" t="s">
        <v>997</v>
      </c>
      <c r="H24" s="216" t="s">
        <v>820</v>
      </c>
      <c r="I24" s="574"/>
      <c r="J24" s="294" t="str">
        <f>IF(ISBLANK(HLOOKUP(CaseName,CaseData,MATCH($G24,cases!$G$4:$G$2458,0),FALSE)),"",HLOOKUP(CaseName,CaseData,MATCH($G24,cases!$G$4:$G$2458,0),FALSE))</f>
        <v/>
      </c>
      <c r="K24" s="407">
        <f>DEPTHlake.R</f>
        <v>100</v>
      </c>
      <c r="L24" s="298">
        <f t="shared" si="1"/>
        <v>100</v>
      </c>
      <c r="M24" s="216" t="s">
        <v>284</v>
      </c>
      <c r="N24" s="228" t="s">
        <v>729</v>
      </c>
      <c r="O24" s="262"/>
      <c r="P24" s="215"/>
    </row>
    <row r="25" spans="1:16" ht="12.75" customHeight="1" x14ac:dyDescent="0.2">
      <c r="A25" s="216"/>
      <c r="B25" s="228"/>
      <c r="C25" s="216" t="s">
        <v>998</v>
      </c>
      <c r="D25" s="579"/>
      <c r="E25" s="579"/>
      <c r="F25" s="228"/>
      <c r="G25" s="579" t="s">
        <v>999</v>
      </c>
      <c r="H25" s="216" t="s">
        <v>820</v>
      </c>
      <c r="I25" s="574"/>
      <c r="J25" s="294" t="str">
        <f>IF(ISBLANK(HLOOKUP(CaseName,CaseData,MATCH($G25,cases!$G$4:$G$2458,0),FALSE)),"",HLOOKUP(CaseName,CaseData,MATCH($G25,cases!$G$4:$G$2458,0),FALSE))</f>
        <v/>
      </c>
      <c r="K25" s="407">
        <f>DEPTHfreshwater.R</f>
        <v>3</v>
      </c>
      <c r="L25" s="298">
        <f t="shared" si="1"/>
        <v>3</v>
      </c>
      <c r="M25" s="216" t="s">
        <v>284</v>
      </c>
      <c r="N25" s="228"/>
      <c r="O25" s="262"/>
      <c r="P25" s="215"/>
    </row>
    <row r="26" spans="1:16" ht="12.75" customHeight="1" x14ac:dyDescent="0.2">
      <c r="A26" s="216"/>
      <c r="B26" s="228"/>
      <c r="C26" s="216" t="s">
        <v>1000</v>
      </c>
      <c r="D26" s="579"/>
      <c r="E26" s="579"/>
      <c r="F26" s="228"/>
      <c r="G26" s="579" t="s">
        <v>1001</v>
      </c>
      <c r="H26" s="216" t="s">
        <v>820</v>
      </c>
      <c r="I26" s="574"/>
      <c r="J26" s="294" t="str">
        <f>IF(ISBLANK(HLOOKUP(CaseName,CaseData,MATCH($G26,cases!$G$4:$G$2458,0),FALSE)),"",HLOOKUP(CaseName,CaseData,MATCH($G26,cases!$G$4:$G$2458,0),FALSE))</f>
        <v/>
      </c>
      <c r="K26" s="407">
        <v>10</v>
      </c>
      <c r="L26" s="298">
        <f t="shared" si="1"/>
        <v>10</v>
      </c>
      <c r="M26" s="216" t="s">
        <v>284</v>
      </c>
      <c r="N26" s="228"/>
      <c r="O26" s="262"/>
      <c r="P26" s="215"/>
    </row>
    <row r="27" spans="1:16" s="386" customFormat="1" ht="12.75" customHeight="1" x14ac:dyDescent="0.2">
      <c r="A27" s="568"/>
      <c r="B27" s="567"/>
      <c r="C27" s="568" t="s">
        <v>1002</v>
      </c>
      <c r="D27" s="680"/>
      <c r="E27" s="680"/>
      <c r="F27" s="567"/>
      <c r="G27" s="680" t="s">
        <v>1003</v>
      </c>
      <c r="H27" s="568" t="s">
        <v>1004</v>
      </c>
      <c r="I27" s="574"/>
      <c r="J27" s="294" t="str">
        <f>IF(ISBLANK(HLOOKUP(CaseName,CaseData,MATCH($G27,cases!$G$4:$G$2458,0),FALSE)),"",HLOOKUP(CaseName,CaseData,MATCH($G27,cases!$G$4:$G$2458,0),FALSE))</f>
        <v/>
      </c>
      <c r="K27" s="577">
        <v>3</v>
      </c>
      <c r="L27" s="298">
        <f>IF(ISBLANK(I27),IF(ISNUMBER(J27)=FALSE,K27/100,J27/100),I27/100)</f>
        <v>0.03</v>
      </c>
      <c r="M27" s="568" t="s">
        <v>284</v>
      </c>
      <c r="N27" s="578"/>
      <c r="O27" s="607"/>
      <c r="P27" s="578"/>
    </row>
    <row r="28" spans="1:16" ht="12.75" customHeight="1" x14ac:dyDescent="0.2">
      <c r="A28" s="216"/>
      <c r="B28" s="228"/>
      <c r="C28" s="216" t="s">
        <v>1005</v>
      </c>
      <c r="D28" s="579"/>
      <c r="E28" s="579"/>
      <c r="F28" s="228"/>
      <c r="G28" s="579" t="s">
        <v>1006</v>
      </c>
      <c r="H28" s="216" t="s">
        <v>1004</v>
      </c>
      <c r="I28" s="574"/>
      <c r="J28" s="294" t="str">
        <f>IF(ISBLANK(HLOOKUP(CaseName,CaseData,MATCH($G28,cases!$G$4:$G$2458,0),FALSE)),"",HLOOKUP(CaseName,CaseData,MATCH($G28,cases!$G$4:$G$2458,0),FALSE))</f>
        <v/>
      </c>
      <c r="K28" s="407">
        <v>3</v>
      </c>
      <c r="L28" s="298">
        <f>IF(ISBLANK(I28),IF(ISNUMBER(J28)=FALSE,K28/100,J28/100),I28/100)</f>
        <v>0.03</v>
      </c>
      <c r="M28" s="228" t="s">
        <v>284</v>
      </c>
      <c r="N28" s="228"/>
      <c r="O28" s="262"/>
      <c r="P28" s="215"/>
    </row>
    <row r="29" spans="1:16" ht="12.75" customHeight="1" x14ac:dyDescent="0.2">
      <c r="A29" s="216"/>
      <c r="B29" s="228"/>
      <c r="C29" s="216" t="s">
        <v>1007</v>
      </c>
      <c r="D29" s="579"/>
      <c r="E29" s="579"/>
      <c r="F29" s="228"/>
      <c r="G29" s="579" t="s">
        <v>1008</v>
      </c>
      <c r="H29" s="216" t="s">
        <v>1004</v>
      </c>
      <c r="I29" s="574"/>
      <c r="J29" s="294" t="str">
        <f>IF(ISBLANK(HLOOKUP(CaseName,CaseData,MATCH($G29,cases!$G$4:$G$2458,0),FALSE)),"",HLOOKUP(CaseName,CaseData,MATCH($G29,cases!$G$4:$G$2458,0),FALSE))</f>
        <v/>
      </c>
      <c r="K29" s="407">
        <v>3</v>
      </c>
      <c r="L29" s="298">
        <f>IF(ISBLANK(I29),IF(ISNUMBER(J29)=FALSE,K29/100,J29/100),I29/100)</f>
        <v>0.03</v>
      </c>
      <c r="M29" s="228" t="s">
        <v>284</v>
      </c>
      <c r="N29" s="228"/>
      <c r="O29" s="262"/>
      <c r="P29" s="215"/>
    </row>
    <row r="30" spans="1:16" ht="12.75" customHeight="1" x14ac:dyDescent="0.2">
      <c r="A30" s="216"/>
      <c r="B30" s="228"/>
      <c r="C30" s="216" t="s">
        <v>1009</v>
      </c>
      <c r="D30" s="579"/>
      <c r="E30" s="579"/>
      <c r="F30" s="228"/>
      <c r="G30" s="579" t="s">
        <v>1010</v>
      </c>
      <c r="H30" s="216" t="s">
        <v>820</v>
      </c>
      <c r="I30" s="574"/>
      <c r="J30" s="294" t="str">
        <f>IF(ISBLANK(HLOOKUP(CaseName,CaseData,MATCH($G30,cases!$G$4:$G$2458,0),FALSE)),"",HLOOKUP(CaseName,CaseData,MATCH($G30,cases!$G$4:$G$2458,0),FALSE))</f>
        <v/>
      </c>
      <c r="K30" s="407">
        <v>0.05</v>
      </c>
      <c r="L30" s="298">
        <f t="shared" ref="L30:L46" si="2">IF(ISBLANK(I30),IF(ISNUMBER(J30)=FALSE,K30,J30),I30)</f>
        <v>0.05</v>
      </c>
      <c r="M30" s="228" t="s">
        <v>284</v>
      </c>
      <c r="N30" s="228"/>
      <c r="O30" s="262"/>
      <c r="P30" s="215"/>
    </row>
    <row r="31" spans="1:16" ht="12.75" customHeight="1" x14ac:dyDescent="0.2">
      <c r="A31" s="216"/>
      <c r="B31" s="228"/>
      <c r="C31" s="216" t="s">
        <v>1011</v>
      </c>
      <c r="D31" s="579"/>
      <c r="E31" s="579"/>
      <c r="F31" s="228"/>
      <c r="G31" s="579" t="s">
        <v>1012</v>
      </c>
      <c r="H31" s="216" t="s">
        <v>820</v>
      </c>
      <c r="I31" s="574"/>
      <c r="J31" s="294" t="str">
        <f>IF(ISBLANK(HLOOKUP(CaseName,CaseData,MATCH($G31,cases!$G$4:$G$2458,0),FALSE)),"",HLOOKUP(CaseName,CaseData,MATCH($G31,cases!$G$4:$G$2458,0),FALSE))</f>
        <v/>
      </c>
      <c r="K31" s="407">
        <v>0.2</v>
      </c>
      <c r="L31" s="298">
        <f t="shared" si="2"/>
        <v>0.2</v>
      </c>
      <c r="M31" s="228" t="s">
        <v>284</v>
      </c>
      <c r="N31" s="228"/>
      <c r="O31" s="262"/>
      <c r="P31" s="215"/>
    </row>
    <row r="32" spans="1:16" ht="12.75" customHeight="1" x14ac:dyDescent="0.2">
      <c r="A32" s="216"/>
      <c r="B32" s="228"/>
      <c r="C32" s="216" t="s">
        <v>1013</v>
      </c>
      <c r="D32" s="579"/>
      <c r="E32" s="579"/>
      <c r="F32" s="228"/>
      <c r="G32" s="579" t="s">
        <v>1014</v>
      </c>
      <c r="H32" s="216" t="s">
        <v>820</v>
      </c>
      <c r="I32" s="574"/>
      <c r="J32" s="294" t="str">
        <f>IF(ISBLANK(HLOOKUP(CaseName,CaseData,MATCH($G32,cases!$G$4:$G$2458,0),FALSE)),"",HLOOKUP(CaseName,CaseData,MATCH($G32,cases!$G$4:$G$2458,0),FALSE))</f>
        <v/>
      </c>
      <c r="K32" s="407">
        <v>0.05</v>
      </c>
      <c r="L32" s="298">
        <f t="shared" si="2"/>
        <v>0.05</v>
      </c>
      <c r="M32" s="228" t="s">
        <v>284</v>
      </c>
      <c r="N32" s="228"/>
      <c r="O32" s="262"/>
      <c r="P32" s="215"/>
    </row>
    <row r="33" spans="1:16" ht="12.75" customHeight="1" x14ac:dyDescent="0.2">
      <c r="A33" s="567"/>
      <c r="B33" s="567"/>
      <c r="C33" s="567" t="s">
        <v>1015</v>
      </c>
      <c r="D33" s="567"/>
      <c r="E33" s="567"/>
      <c r="F33" s="567"/>
      <c r="G33" s="568" t="s">
        <v>1016</v>
      </c>
      <c r="H33" s="568" t="s">
        <v>1017</v>
      </c>
      <c r="I33" s="574"/>
      <c r="J33" s="294" t="str">
        <f>IF(ISBLANK(HLOOKUP(CaseName,CaseData,MATCH($G33,cases!$G$4:$G$2458,0),FALSE)),"",HLOOKUP(CaseName,CaseData,MATCH($G33,cases!$G$4:$G$2458,0),FALSE))</f>
        <v/>
      </c>
      <c r="K33" s="577">
        <v>2.9999999999999999E-7</v>
      </c>
      <c r="L33" s="298">
        <f t="shared" si="2"/>
        <v>2.9999999999999999E-7</v>
      </c>
      <c r="M33" s="568" t="s">
        <v>297</v>
      </c>
      <c r="N33" s="567" t="s">
        <v>1018</v>
      </c>
      <c r="O33" s="606"/>
      <c r="P33" s="585"/>
    </row>
    <row r="34" spans="1:16" s="386" customFormat="1" ht="12.75" customHeight="1" x14ac:dyDescent="0.2">
      <c r="A34" s="228"/>
      <c r="B34" s="228"/>
      <c r="C34" s="228" t="s">
        <v>1019</v>
      </c>
      <c r="D34" s="228"/>
      <c r="E34" s="228"/>
      <c r="F34" s="228"/>
      <c r="G34" s="216" t="s">
        <v>1020</v>
      </c>
      <c r="H34" s="216" t="s">
        <v>1017</v>
      </c>
      <c r="I34" s="574"/>
      <c r="J34" s="294" t="str">
        <f>IF(ISBLANK(HLOOKUP(CaseName,CaseData,MATCH($G34,cases!$G$4:$G$2458,0),FALSE)),"",HLOOKUP(CaseName,CaseData,MATCH($G34,cases!$G$4:$G$2458,0),FALSE))</f>
        <v/>
      </c>
      <c r="K34" s="407">
        <v>1.9999999999999999E-11</v>
      </c>
      <c r="L34" s="298">
        <f t="shared" si="2"/>
        <v>1.9999999999999999E-11</v>
      </c>
      <c r="M34" s="216" t="s">
        <v>297</v>
      </c>
      <c r="N34" s="216" t="s">
        <v>1021</v>
      </c>
      <c r="O34" s="415"/>
      <c r="P34" s="384"/>
    </row>
    <row r="35" spans="1:16" ht="12.75" customHeight="1" x14ac:dyDescent="0.2">
      <c r="A35" s="228"/>
      <c r="B35" s="228"/>
      <c r="C35" s="228" t="s">
        <v>1022</v>
      </c>
      <c r="D35" s="228"/>
      <c r="E35" s="228"/>
      <c r="F35" s="228"/>
      <c r="G35" s="216" t="s">
        <v>1023</v>
      </c>
      <c r="H35" s="216" t="s">
        <v>1017</v>
      </c>
      <c r="I35" s="574"/>
      <c r="J35" s="294" t="str">
        <f>IF(ISBLANK(HLOOKUP(CaseName,CaseData,MATCH($G35,cases!$G$4:$G$2458,0),FALSE)),"",HLOOKUP(CaseName,CaseData,MATCH($G35,cases!$G$4:$G$2458,0),FALSE))</f>
        <v/>
      </c>
      <c r="K35" s="407">
        <v>1.9999999999999999E-11</v>
      </c>
      <c r="L35" s="298">
        <f t="shared" si="2"/>
        <v>1.9999999999999999E-11</v>
      </c>
      <c r="M35" s="216" t="s">
        <v>297</v>
      </c>
      <c r="N35" s="216" t="s">
        <v>1021</v>
      </c>
      <c r="O35" s="262"/>
      <c r="P35" s="215"/>
    </row>
    <row r="36" spans="1:16" ht="12.75" customHeight="1" x14ac:dyDescent="0.2">
      <c r="A36" s="216"/>
      <c r="B36" s="228"/>
      <c r="C36" s="216" t="s">
        <v>1024</v>
      </c>
      <c r="D36" s="579"/>
      <c r="E36" s="579"/>
      <c r="F36" s="228"/>
      <c r="G36" s="579" t="s">
        <v>1025</v>
      </c>
      <c r="H36" s="216" t="s">
        <v>1017</v>
      </c>
      <c r="I36" s="574"/>
      <c r="J36" s="294" t="str">
        <f>IF(ISBLANK(HLOOKUP(CaseName,CaseData,MATCH($G36,cases!$G$4:$G$2458,0),FALSE)),"",HLOOKUP(CaseName,CaseData,MATCH($G36,cases!$G$4:$G$2458,0),FALSE))</f>
        <v/>
      </c>
      <c r="K36" s="407">
        <v>0.2</v>
      </c>
      <c r="L36" s="298">
        <f t="shared" si="2"/>
        <v>0.2</v>
      </c>
      <c r="M36" s="216" t="s">
        <v>297</v>
      </c>
      <c r="N36" s="228"/>
      <c r="O36" s="262"/>
      <c r="P36" s="215"/>
    </row>
    <row r="37" spans="1:16" ht="12.75" customHeight="1" x14ac:dyDescent="0.2">
      <c r="A37" s="216"/>
      <c r="B37" s="228"/>
      <c r="C37" s="216" t="s">
        <v>1026</v>
      </c>
      <c r="D37" s="579"/>
      <c r="E37" s="579"/>
      <c r="F37" s="228"/>
      <c r="G37" s="579" t="s">
        <v>1027</v>
      </c>
      <c r="H37" s="216" t="s">
        <v>1017</v>
      </c>
      <c r="I37" s="574"/>
      <c r="J37" s="294" t="str">
        <f>IF(ISBLANK(HLOOKUP(CaseName,CaseData,MATCH($G37,cases!$G$4:$G$2458,0),FALSE)),"",HLOOKUP(CaseName,CaseData,MATCH($G37,cases!$G$4:$G$2458,0),FALSE))</f>
        <v/>
      </c>
      <c r="K37" s="407">
        <v>0.2</v>
      </c>
      <c r="L37" s="298">
        <f t="shared" si="2"/>
        <v>0.2</v>
      </c>
      <c r="M37" s="216" t="s">
        <v>297</v>
      </c>
      <c r="N37" s="228"/>
      <c r="O37" s="262"/>
      <c r="P37" s="215"/>
    </row>
    <row r="38" spans="1:16" ht="12.75" customHeight="1" x14ac:dyDescent="0.2">
      <c r="A38" s="216"/>
      <c r="B38" s="228"/>
      <c r="C38" s="216" t="s">
        <v>1028</v>
      </c>
      <c r="D38" s="579"/>
      <c r="E38" s="579"/>
      <c r="F38" s="228"/>
      <c r="G38" s="579" t="s">
        <v>1029</v>
      </c>
      <c r="H38" s="216" t="s">
        <v>1017</v>
      </c>
      <c r="I38" s="574"/>
      <c r="J38" s="294" t="str">
        <f>IF(ISBLANK(HLOOKUP(CaseName,CaseData,MATCH($G38,cases!$G$4:$G$2458,0),FALSE)),"",HLOOKUP(CaseName,CaseData,MATCH($G38,cases!$G$4:$G$2458,0),FALSE))</f>
        <v/>
      </c>
      <c r="K38" s="407">
        <f>1-L36-L37</f>
        <v>0.60000000000000009</v>
      </c>
      <c r="L38" s="298">
        <f t="shared" si="2"/>
        <v>0.60000000000000009</v>
      </c>
      <c r="M38" s="216" t="s">
        <v>297</v>
      </c>
      <c r="N38" s="228"/>
      <c r="O38" s="262"/>
      <c r="P38" s="215"/>
    </row>
    <row r="39" spans="1:16" ht="12.75" customHeight="1" x14ac:dyDescent="0.2">
      <c r="A39" s="216"/>
      <c r="B39" s="228"/>
      <c r="C39" s="216" t="s">
        <v>1030</v>
      </c>
      <c r="D39" s="579"/>
      <c r="E39" s="579"/>
      <c r="F39" s="228"/>
      <c r="G39" s="579" t="s">
        <v>1031</v>
      </c>
      <c r="H39" s="216" t="s">
        <v>1017</v>
      </c>
      <c r="I39" s="574"/>
      <c r="J39" s="294" t="str">
        <f>IF(ISBLANK(HLOOKUP(CaseName,CaseData,MATCH($G39,cases!$G$4:$G$2458,0),FALSE)),"",HLOOKUP(CaseName,CaseData,MATCH($G39,cases!$G$4:$G$2458,0),FALSE))</f>
        <v/>
      </c>
      <c r="K39" s="407">
        <v>0.2</v>
      </c>
      <c r="L39" s="298">
        <f t="shared" si="2"/>
        <v>0.2</v>
      </c>
      <c r="M39" s="216" t="s">
        <v>297</v>
      </c>
      <c r="N39" s="228"/>
      <c r="O39" s="262"/>
      <c r="P39" s="215"/>
    </row>
    <row r="40" spans="1:16" ht="12.75" customHeight="1" x14ac:dyDescent="0.2">
      <c r="A40" s="216"/>
      <c r="B40" s="228"/>
      <c r="C40" s="216" t="s">
        <v>1032</v>
      </c>
      <c r="D40" s="579"/>
      <c r="E40" s="579"/>
      <c r="F40" s="228"/>
      <c r="G40" s="579" t="s">
        <v>1033</v>
      </c>
      <c r="H40" s="216" t="s">
        <v>1017</v>
      </c>
      <c r="I40" s="574"/>
      <c r="J40" s="294" t="str">
        <f>IF(ISBLANK(HLOOKUP(CaseName,CaseData,MATCH($G40,cases!$G$4:$G$2458,0),FALSE)),"",HLOOKUP(CaseName,CaseData,MATCH($G40,cases!$G$4:$G$2458,0),FALSE))</f>
        <v/>
      </c>
      <c r="K40" s="407">
        <v>0.2</v>
      </c>
      <c r="L40" s="298">
        <f t="shared" si="2"/>
        <v>0.2</v>
      </c>
      <c r="M40" s="216" t="s">
        <v>297</v>
      </c>
      <c r="N40" s="228"/>
      <c r="O40" s="262"/>
      <c r="P40" s="215"/>
    </row>
    <row r="41" spans="1:16" ht="12.75" customHeight="1" x14ac:dyDescent="0.2">
      <c r="A41" s="216"/>
      <c r="B41" s="228"/>
      <c r="C41" s="216" t="s">
        <v>1034</v>
      </c>
      <c r="D41" s="579"/>
      <c r="E41" s="579"/>
      <c r="F41" s="228"/>
      <c r="G41" s="579" t="s">
        <v>1035</v>
      </c>
      <c r="H41" s="216" t="s">
        <v>1017</v>
      </c>
      <c r="I41" s="574"/>
      <c r="J41" s="294" t="str">
        <f>IF(ISBLANK(HLOOKUP(CaseName,CaseData,MATCH($G41,cases!$G$4:$G$2458,0),FALSE)),"",HLOOKUP(CaseName,CaseData,MATCH($G41,cases!$G$4:$G$2458,0),FALSE))</f>
        <v/>
      </c>
      <c r="K41" s="407">
        <f>1-L39-L40</f>
        <v>0.60000000000000009</v>
      </c>
      <c r="L41" s="298">
        <f t="shared" si="2"/>
        <v>0.60000000000000009</v>
      </c>
      <c r="M41" s="216" t="s">
        <v>297</v>
      </c>
      <c r="N41" s="228"/>
      <c r="O41" s="262"/>
      <c r="P41" s="215"/>
    </row>
    <row r="42" spans="1:16" ht="12.75" customHeight="1" x14ac:dyDescent="0.2">
      <c r="A42" s="216"/>
      <c r="B42" s="228"/>
      <c r="C42" s="216" t="s">
        <v>1036</v>
      </c>
      <c r="D42" s="579"/>
      <c r="E42" s="579"/>
      <c r="F42" s="228"/>
      <c r="G42" s="579" t="s">
        <v>1037</v>
      </c>
      <c r="H42" s="216" t="s">
        <v>1017</v>
      </c>
      <c r="I42" s="574"/>
      <c r="J42" s="294" t="str">
        <f>IF(ISBLANK(HLOOKUP(CaseName,CaseData,MATCH($G42,cases!$G$4:$G$2458,0),FALSE)),"",HLOOKUP(CaseName,CaseData,MATCH($G42,cases!$G$4:$G$2458,0),FALSE))</f>
        <v/>
      </c>
      <c r="K42" s="407">
        <v>0.2</v>
      </c>
      <c r="L42" s="298">
        <f t="shared" si="2"/>
        <v>0.2</v>
      </c>
      <c r="M42" s="216" t="s">
        <v>297</v>
      </c>
      <c r="N42" s="228"/>
      <c r="O42" s="262"/>
      <c r="P42" s="215"/>
    </row>
    <row r="43" spans="1:16" ht="12.75" customHeight="1" x14ac:dyDescent="0.2">
      <c r="A43" s="216"/>
      <c r="B43" s="228"/>
      <c r="C43" s="216" t="s">
        <v>1038</v>
      </c>
      <c r="D43" s="579"/>
      <c r="E43" s="579"/>
      <c r="F43" s="228"/>
      <c r="G43" s="579" t="s">
        <v>1039</v>
      </c>
      <c r="H43" s="216" t="s">
        <v>1017</v>
      </c>
      <c r="I43" s="574"/>
      <c r="J43" s="294" t="str">
        <f>IF(ISBLANK(HLOOKUP(CaseName,CaseData,MATCH($G43,cases!$G$4:$G$2458,0),FALSE)),"",HLOOKUP(CaseName,CaseData,MATCH($G43,cases!$G$4:$G$2458,0),FALSE))</f>
        <v/>
      </c>
      <c r="K43" s="407">
        <v>0.2</v>
      </c>
      <c r="L43" s="298">
        <f t="shared" si="2"/>
        <v>0.2</v>
      </c>
      <c r="M43" s="216" t="s">
        <v>297</v>
      </c>
      <c r="N43" s="228"/>
      <c r="O43" s="262"/>
      <c r="P43" s="215"/>
    </row>
    <row r="44" spans="1:16" ht="12.75" customHeight="1" x14ac:dyDescent="0.2">
      <c r="A44" s="216"/>
      <c r="B44" s="228"/>
      <c r="C44" s="216" t="s">
        <v>1040</v>
      </c>
      <c r="D44" s="579"/>
      <c r="E44" s="579"/>
      <c r="F44" s="228"/>
      <c r="G44" s="579" t="s">
        <v>1041</v>
      </c>
      <c r="H44" s="216" t="s">
        <v>1017</v>
      </c>
      <c r="I44" s="574"/>
      <c r="J44" s="294" t="str">
        <f>IF(ISBLANK(HLOOKUP(CaseName,CaseData,MATCH($G44,cases!$G$4:$G$2458,0),FALSE)),"",HLOOKUP(CaseName,CaseData,MATCH($G44,cases!$G$4:$G$2458,0),FALSE))</f>
        <v/>
      </c>
      <c r="K44" s="407">
        <f>1-L42-L43</f>
        <v>0.60000000000000009</v>
      </c>
      <c r="L44" s="298">
        <f t="shared" si="2"/>
        <v>0.60000000000000009</v>
      </c>
      <c r="M44" s="216" t="s">
        <v>297</v>
      </c>
      <c r="N44" s="228"/>
      <c r="O44" s="262"/>
      <c r="P44" s="215"/>
    </row>
    <row r="45" spans="1:16" ht="12.75" customHeight="1" x14ac:dyDescent="0.2">
      <c r="A45" s="216"/>
      <c r="B45" s="228"/>
      <c r="C45" s="216" t="s">
        <v>1042</v>
      </c>
      <c r="D45" s="579"/>
      <c r="E45" s="579"/>
      <c r="F45" s="228"/>
      <c r="G45" s="579" t="s">
        <v>1043</v>
      </c>
      <c r="H45" s="216" t="s">
        <v>1017</v>
      </c>
      <c r="I45" s="574"/>
      <c r="J45" s="294" t="str">
        <f>IF(ISBLANK(HLOOKUP(CaseName,CaseData,MATCH($G45,cases!$G$4:$G$2458,0),FALSE)),"",HLOOKUP(CaseName,CaseData,MATCH($G45,cases!$G$4:$G$2458,0),FALSE))</f>
        <v/>
      </c>
      <c r="K45" s="407">
        <v>0.8</v>
      </c>
      <c r="L45" s="298">
        <f t="shared" si="2"/>
        <v>0.8</v>
      </c>
      <c r="M45" s="216" t="s">
        <v>297</v>
      </c>
      <c r="N45" s="228"/>
      <c r="O45" s="262"/>
      <c r="P45" s="215"/>
    </row>
    <row r="46" spans="1:16" ht="12.75" customHeight="1" x14ac:dyDescent="0.2">
      <c r="A46" s="216"/>
      <c r="B46" s="228"/>
      <c r="C46" s="216" t="s">
        <v>1044</v>
      </c>
      <c r="D46" s="579"/>
      <c r="E46" s="579"/>
      <c r="F46" s="228"/>
      <c r="G46" s="579" t="s">
        <v>1045</v>
      </c>
      <c r="H46" s="216" t="s">
        <v>1017</v>
      </c>
      <c r="I46" s="574"/>
      <c r="J46" s="294" t="str">
        <f>IF(ISBLANK(HLOOKUP(CaseName,CaseData,MATCH($G46,cases!$G$4:$G$2458,0),FALSE)),"",HLOOKUP(CaseName,CaseData,MATCH($G46,cases!$G$4:$G$2458,0),FALSE))</f>
        <v/>
      </c>
      <c r="K46" s="407">
        <f>1-L45</f>
        <v>0.19999999999999996</v>
      </c>
      <c r="L46" s="298">
        <f t="shared" si="2"/>
        <v>0.19999999999999996</v>
      </c>
      <c r="M46" s="216" t="s">
        <v>297</v>
      </c>
      <c r="N46" s="228"/>
      <c r="O46" s="262"/>
      <c r="P46" s="215"/>
    </row>
    <row r="47" spans="1:16" ht="12.75" customHeight="1" x14ac:dyDescent="0.2">
      <c r="A47" s="216"/>
      <c r="B47" s="228"/>
      <c r="C47" s="228"/>
      <c r="D47" s="228"/>
      <c r="E47" s="228"/>
      <c r="F47" s="228"/>
      <c r="G47" s="579"/>
      <c r="H47" s="216"/>
      <c r="I47" s="636"/>
      <c r="J47" s="294"/>
      <c r="K47" s="432"/>
      <c r="L47" s="637"/>
      <c r="M47" s="216"/>
      <c r="N47" s="228"/>
      <c r="O47" s="262"/>
      <c r="P47" s="215"/>
    </row>
    <row r="48" spans="1:16" s="386" customFormat="1" ht="12.75" customHeight="1" x14ac:dyDescent="0.2">
      <c r="A48" s="216" t="s">
        <v>1046</v>
      </c>
      <c r="B48" s="228"/>
      <c r="C48" s="228"/>
      <c r="D48" s="228"/>
      <c r="E48" s="228"/>
      <c r="F48" s="228"/>
      <c r="G48" s="216" t="s">
        <v>1047</v>
      </c>
      <c r="H48" s="216" t="s">
        <v>624</v>
      </c>
      <c r="I48" s="574"/>
      <c r="J48" s="294" t="str">
        <f>IF(ISBLANK(HLOOKUP(CaseName,CaseData,MATCH($G48,cases!$G$4:$G$2458,0),FALSE)),"",HLOOKUP(CaseName,CaseData,MATCH($G48,cases!$G$4:$G$2458,0),FALSE))</f>
        <v/>
      </c>
      <c r="K48" s="407">
        <f>1/L49</f>
        <v>9.4201427396491372E-6</v>
      </c>
      <c r="L48" s="298">
        <f>IF(ISBLANK(I48),IF(ISNUMBER(J48)=FALSE,K48,J48),I48)</f>
        <v>9.4201427396491372E-6</v>
      </c>
      <c r="M48" s="228" t="s">
        <v>1048</v>
      </c>
      <c r="N48" s="384"/>
      <c r="O48" s="415"/>
      <c r="P48" s="384"/>
    </row>
    <row r="49" spans="1:16" s="386" customFormat="1" ht="12.75" customHeight="1" x14ac:dyDescent="0.2">
      <c r="A49" s="216"/>
      <c r="B49" s="216"/>
      <c r="C49" s="216" t="s">
        <v>1049</v>
      </c>
      <c r="D49" s="579"/>
      <c r="E49" s="228"/>
      <c r="F49" s="228"/>
      <c r="G49" s="216" t="s">
        <v>1050</v>
      </c>
      <c r="H49" s="216" t="s">
        <v>1051</v>
      </c>
      <c r="I49" s="574"/>
      <c r="J49" s="294" t="str">
        <f>IF(ISBLANK(HLOOKUP(CaseName,CaseData,MATCH($G49,cases!$G$4:$G$2458,0),FALSE)),"",HLOOKUP(CaseName,CaseData,MATCH($G49,cases!$G$4:$G$2458,0),FALSE))</f>
        <v/>
      </c>
      <c r="K49" s="407">
        <f>1.5*(0.5*SQRT(L16*PI()/4)/WINDspeed.R)/(3600*24)</f>
        <v>1.2286516663233875</v>
      </c>
      <c r="L49" s="298">
        <f>IF(ISBLANK(I49),IF(ISNUMBER(J49)=FALSE,K49*(3600*24),J49*(3600*24)),I49*(3600*24))</f>
        <v>106155.50397034068</v>
      </c>
      <c r="M49" s="216" t="s">
        <v>1052</v>
      </c>
      <c r="N49" s="384"/>
      <c r="O49" s="415"/>
      <c r="P49" s="384"/>
    </row>
    <row r="50" spans="1:16" ht="12.75" customHeight="1" x14ac:dyDescent="0.2">
      <c r="A50" s="216"/>
      <c r="B50" s="228"/>
      <c r="C50" s="228"/>
      <c r="D50" s="228"/>
      <c r="E50" s="228"/>
      <c r="F50" s="228"/>
      <c r="G50" s="579"/>
      <c r="H50" s="216"/>
      <c r="I50" s="636"/>
      <c r="J50" s="294"/>
      <c r="K50" s="432"/>
      <c r="L50" s="637"/>
      <c r="M50" s="216"/>
      <c r="N50" s="228"/>
      <c r="O50" s="262"/>
      <c r="P50" s="215"/>
    </row>
    <row r="51" spans="1:16" ht="12.75" customHeight="1" x14ac:dyDescent="0.2">
      <c r="A51" s="216" t="s">
        <v>1053</v>
      </c>
      <c r="B51" s="228"/>
      <c r="C51" s="228"/>
      <c r="D51" s="228"/>
      <c r="E51" s="228"/>
      <c r="F51" s="228"/>
      <c r="G51" s="216" t="s">
        <v>1054</v>
      </c>
      <c r="H51" s="216" t="s">
        <v>624</v>
      </c>
      <c r="I51" s="574"/>
      <c r="J51" s="294" t="str">
        <f>IF(ISBLANK(HLOOKUP(CaseName,CaseData,MATCH($G51,cases!$G$4:$G$2458,0),FALSE)),"",HLOOKUP(CaseName,CaseData,MATCH($G51,cases!$G$4:$G$2458,0),FALSE))</f>
        <v/>
      </c>
      <c r="K51" s="407">
        <f>L56/L7</f>
        <v>2.397260273972603E-8</v>
      </c>
      <c r="L51" s="298">
        <f t="shared" ref="L51:L60" si="3">IF(ISBLANK(I51),IF(ISNUMBER(J51)=FALSE,K51,J51),I51)</f>
        <v>2.397260273972603E-8</v>
      </c>
      <c r="M51" s="228" t="s">
        <v>1048</v>
      </c>
      <c r="N51" s="228"/>
      <c r="O51" s="262"/>
      <c r="P51" s="215"/>
    </row>
    <row r="52" spans="1:16" ht="12.75" customHeight="1" x14ac:dyDescent="0.2">
      <c r="A52" s="216" t="s">
        <v>1055</v>
      </c>
      <c r="B52" s="228"/>
      <c r="C52" s="228"/>
      <c r="D52" s="228"/>
      <c r="E52" s="228"/>
      <c r="F52" s="228"/>
      <c r="G52" s="216" t="s">
        <v>1056</v>
      </c>
      <c r="H52" s="216" t="s">
        <v>624</v>
      </c>
      <c r="I52" s="574"/>
      <c r="J52" s="294" t="str">
        <f>IF(ISBLANK(HLOOKUP(CaseName,CaseData,MATCH($G52,cases!$G$4:$G$2458,0),FALSE)),"",HLOOKUP(CaseName,CaseData,MATCH($G52,cases!$G$4:$G$2458,0),FALSE))</f>
        <v/>
      </c>
      <c r="K52" s="407">
        <f>L57/L7</f>
        <v>0</v>
      </c>
      <c r="L52" s="298">
        <f t="shared" si="3"/>
        <v>0</v>
      </c>
      <c r="M52" s="228" t="s">
        <v>1048</v>
      </c>
      <c r="N52" s="228"/>
      <c r="O52" s="262"/>
      <c r="P52" s="215"/>
    </row>
    <row r="53" spans="1:16" ht="12.75" customHeight="1" x14ac:dyDescent="0.2">
      <c r="A53" s="216" t="s">
        <v>1057</v>
      </c>
      <c r="B53" s="228"/>
      <c r="C53" s="228"/>
      <c r="D53" s="228"/>
      <c r="E53" s="228"/>
      <c r="F53" s="228"/>
      <c r="G53" s="216" t="s">
        <v>1058</v>
      </c>
      <c r="H53" s="216" t="s">
        <v>624</v>
      </c>
      <c r="I53" s="574"/>
      <c r="J53" s="294" t="str">
        <f>IF(ISBLANK(HLOOKUP(CaseName,CaseData,MATCH($G53,cases!$G$4:$G$2458,0),FALSE)),"",HLOOKUP(CaseName,CaseData,MATCH($G53,cases!$G$4:$G$2458,0),FALSE))</f>
        <v/>
      </c>
      <c r="K53" s="407">
        <f>L58/L8</f>
        <v>0</v>
      </c>
      <c r="L53" s="298">
        <f t="shared" si="3"/>
        <v>0</v>
      </c>
      <c r="M53" s="228" t="s">
        <v>1048</v>
      </c>
      <c r="N53" s="228"/>
      <c r="O53" s="262"/>
      <c r="P53" s="215"/>
    </row>
    <row r="54" spans="1:16" ht="12.75" customHeight="1" x14ac:dyDescent="0.2">
      <c r="A54" s="216" t="s">
        <v>1059</v>
      </c>
      <c r="B54" s="228"/>
      <c r="C54" s="228"/>
      <c r="D54" s="228"/>
      <c r="E54" s="228"/>
      <c r="F54" s="228"/>
      <c r="G54" s="216" t="s">
        <v>1060</v>
      </c>
      <c r="H54" s="216" t="s">
        <v>624</v>
      </c>
      <c r="I54" s="574"/>
      <c r="J54" s="294" t="str">
        <f>IF(ISBLANK(HLOOKUP(CaseName,CaseData,MATCH($G54,cases!$G$4:$G$2458,0),FALSE)),"",HLOOKUP(CaseName,CaseData,MATCH($G54,cases!$G$4:$G$2458,0),FALSE))</f>
        <v/>
      </c>
      <c r="K54" s="407">
        <f>L59/L8</f>
        <v>7.26442507264425E-8</v>
      </c>
      <c r="L54" s="298">
        <f t="shared" si="3"/>
        <v>7.26442507264425E-8</v>
      </c>
      <c r="M54" s="228" t="s">
        <v>1048</v>
      </c>
      <c r="N54" s="228"/>
      <c r="O54" s="262"/>
      <c r="P54" s="215"/>
    </row>
    <row r="55" spans="1:16" ht="12.75" customHeight="1" x14ac:dyDescent="0.2">
      <c r="A55" s="216" t="s">
        <v>1061</v>
      </c>
      <c r="B55" s="228"/>
      <c r="C55" s="228"/>
      <c r="D55" s="228"/>
      <c r="E55" s="228"/>
      <c r="F55" s="228"/>
      <c r="G55" s="216" t="s">
        <v>1062</v>
      </c>
      <c r="H55" s="216" t="s">
        <v>624</v>
      </c>
      <c r="I55" s="574"/>
      <c r="J55" s="294" t="str">
        <f>IF(ISBLANK(HLOOKUP(CaseName,CaseData,MATCH($G55,cases!$G$4:$G$2458,0),FALSE)),"",HLOOKUP(CaseName,CaseData,MATCH($G55,cases!$G$4:$G$2458,0),FALSE))</f>
        <v/>
      </c>
      <c r="K55" s="407">
        <f>L60/L9</f>
        <v>1.3698544520547928E-6</v>
      </c>
      <c r="L55" s="298">
        <f t="shared" si="3"/>
        <v>1.3698544520547928E-6</v>
      </c>
      <c r="M55" s="228" t="s">
        <v>1048</v>
      </c>
      <c r="N55" s="384"/>
      <c r="O55" s="262"/>
      <c r="P55" s="215"/>
    </row>
    <row r="56" spans="1:16" ht="12.75" customHeight="1" x14ac:dyDescent="0.2">
      <c r="A56" s="216"/>
      <c r="B56" s="216" t="s">
        <v>1063</v>
      </c>
      <c r="C56" s="228"/>
      <c r="D56" s="228"/>
      <c r="E56" s="579"/>
      <c r="F56" s="579"/>
      <c r="G56" s="579" t="s">
        <v>1064</v>
      </c>
      <c r="H56" s="216" t="s">
        <v>1065</v>
      </c>
      <c r="I56" s="574"/>
      <c r="J56" s="294" t="str">
        <f>IF(ISBLANK(HLOOKUP(CaseName,CaseData,MATCH($G56,cases!$G$4:$G$2458,0),FALSE)),"",HLOOKUP(CaseName,CaseData,MATCH($G56,cases!$G$4:$G$2458,0),FALSE))</f>
        <v/>
      </c>
      <c r="K56" s="407">
        <f>0.1*L60</f>
        <v>1369.8544520547946</v>
      </c>
      <c r="L56" s="298">
        <f t="shared" si="3"/>
        <v>1369.8544520547946</v>
      </c>
      <c r="M56" s="228" t="s">
        <v>1066</v>
      </c>
      <c r="N56" s="228" t="s">
        <v>729</v>
      </c>
      <c r="O56" s="262"/>
      <c r="P56" s="215"/>
    </row>
    <row r="57" spans="1:16" ht="12.75" customHeight="1" x14ac:dyDescent="0.2">
      <c r="A57" s="216"/>
      <c r="B57" s="216" t="s">
        <v>1067</v>
      </c>
      <c r="C57" s="228"/>
      <c r="D57" s="228"/>
      <c r="E57" s="579"/>
      <c r="F57" s="579"/>
      <c r="G57" s="579" t="s">
        <v>1068</v>
      </c>
      <c r="H57" s="216" t="s">
        <v>1065</v>
      </c>
      <c r="I57" s="574"/>
      <c r="J57" s="294" t="str">
        <f>IF(ISBLANK(HLOOKUP(CaseName,CaseData,MATCH($G57,cases!$G$4:$G$2458,0),FALSE)),"",HLOOKUP(CaseName,CaseData,MATCH($G57,cases!$G$4:$G$2458,0),FALSE))</f>
        <v/>
      </c>
      <c r="K57" s="407">
        <v>0</v>
      </c>
      <c r="L57" s="298">
        <f t="shared" si="3"/>
        <v>0</v>
      </c>
      <c r="M57" s="228" t="s">
        <v>1066</v>
      </c>
      <c r="N57" s="228" t="s">
        <v>729</v>
      </c>
      <c r="O57" s="262"/>
      <c r="P57" s="215"/>
    </row>
    <row r="58" spans="1:16" ht="12.75" customHeight="1" x14ac:dyDescent="0.2">
      <c r="A58" s="216"/>
      <c r="B58" s="216" t="s">
        <v>1069</v>
      </c>
      <c r="C58" s="228"/>
      <c r="D58" s="228"/>
      <c r="E58" s="579"/>
      <c r="F58" s="579"/>
      <c r="G58" s="579" t="s">
        <v>1070</v>
      </c>
      <c r="H58" s="216" t="s">
        <v>1065</v>
      </c>
      <c r="I58" s="574"/>
      <c r="J58" s="294" t="str">
        <f>IF(ISBLANK(HLOOKUP(CaseName,CaseData,MATCH($G58,cases!$G$4:$G$2458,0),FALSE)),"",HLOOKUP(CaseName,CaseData,MATCH($G58,cases!$G$4:$G$2458,0),FALSE))</f>
        <v/>
      </c>
      <c r="K58" s="407">
        <v>0</v>
      </c>
      <c r="L58" s="298">
        <f t="shared" si="3"/>
        <v>0</v>
      </c>
      <c r="M58" s="228" t="s">
        <v>1066</v>
      </c>
      <c r="N58" s="228" t="s">
        <v>729</v>
      </c>
      <c r="O58" s="262"/>
      <c r="P58" s="215"/>
    </row>
    <row r="59" spans="1:16" ht="12.75" customHeight="1" x14ac:dyDescent="0.2">
      <c r="A59" s="216"/>
      <c r="B59" s="216" t="s">
        <v>1071</v>
      </c>
      <c r="C59" s="228"/>
      <c r="D59" s="228"/>
      <c r="E59" s="579"/>
      <c r="F59" s="579"/>
      <c r="G59" s="579" t="s">
        <v>1072</v>
      </c>
      <c r="H59" s="216" t="s">
        <v>1065</v>
      </c>
      <c r="I59" s="574"/>
      <c r="J59" s="294" t="str">
        <f>IF(ISBLANK(HLOOKUP(CaseName,CaseData,MATCH($G59,cases!$G$4:$G$2458,0),FALSE)),"",HLOOKUP(CaseName,CaseData,MATCH($G59,cases!$G$4:$G$2458,0),FALSE))</f>
        <v/>
      </c>
      <c r="K59" s="407">
        <f>((L18+L19*L182+L20*L183+L21*L184)*RAINrate.R*L16+WATERflow.w1C.w1R)*(1-FRAC.w1R.w1C)</f>
        <v>1369.8544520547944</v>
      </c>
      <c r="L59" s="298">
        <f t="shared" si="3"/>
        <v>1369.8544520547944</v>
      </c>
      <c r="M59" s="228" t="s">
        <v>1066</v>
      </c>
      <c r="N59" s="228"/>
      <c r="O59" s="262"/>
      <c r="P59" s="215"/>
    </row>
    <row r="60" spans="1:16" ht="12.75" customHeight="1" x14ac:dyDescent="0.2">
      <c r="A60" s="216"/>
      <c r="B60" s="216" t="s">
        <v>1073</v>
      </c>
      <c r="C60" s="216"/>
      <c r="D60" s="228"/>
      <c r="E60" s="579"/>
      <c r="F60" s="579"/>
      <c r="G60" s="579" t="s">
        <v>1074</v>
      </c>
      <c r="H60" s="216" t="s">
        <v>1065</v>
      </c>
      <c r="I60" s="574"/>
      <c r="J60" s="294" t="str">
        <f>IF(ISBLANK(HLOOKUP(CaseName,CaseData,MATCH($G60,cases!$G$4:$G$2458,0),FALSE)),"",HLOOKUP(CaseName,CaseData,MATCH($G60,cases!$G$4:$G$2458,0),FALSE))</f>
        <v/>
      </c>
      <c r="K60" s="407">
        <f>L59+WATERflow.w2C.w2R</f>
        <v>13698.544520547945</v>
      </c>
      <c r="L60" s="298">
        <f t="shared" si="3"/>
        <v>13698.544520547945</v>
      </c>
      <c r="M60" s="228" t="s">
        <v>1066</v>
      </c>
      <c r="N60" s="228"/>
      <c r="O60" s="262"/>
      <c r="P60" s="215"/>
    </row>
    <row r="61" spans="1:16" ht="12.75" customHeight="1" x14ac:dyDescent="0.2">
      <c r="I61" s="612"/>
      <c r="J61" s="641"/>
      <c r="O61" s="19"/>
      <c r="P61" s="11"/>
    </row>
    <row r="62" spans="1:16" s="413" customFormat="1" ht="12.75" customHeight="1" x14ac:dyDescent="0.2">
      <c r="A62" s="631" t="s">
        <v>1075</v>
      </c>
      <c r="G62" s="631" t="s">
        <v>263</v>
      </c>
      <c r="H62" s="631" t="s">
        <v>279</v>
      </c>
      <c r="I62" s="647" t="s">
        <v>264</v>
      </c>
      <c r="J62" s="668" t="s">
        <v>280</v>
      </c>
      <c r="K62" s="413" t="s">
        <v>265</v>
      </c>
      <c r="L62" s="649" t="s">
        <v>266</v>
      </c>
      <c r="N62" s="631" t="s">
        <v>267</v>
      </c>
      <c r="O62" s="209"/>
    </row>
    <row r="63" spans="1:16" ht="12.75" customHeight="1" x14ac:dyDescent="0.2">
      <c r="A63" s="172"/>
      <c r="B63" s="172"/>
      <c r="C63" s="172"/>
      <c r="D63" s="172"/>
      <c r="E63" s="172"/>
      <c r="F63" s="172"/>
      <c r="I63" s="612"/>
      <c r="K63"/>
      <c r="L63" s="669"/>
      <c r="O63" s="19"/>
      <c r="P63" s="11"/>
    </row>
    <row r="64" spans="1:16" ht="12.75" customHeight="1" x14ac:dyDescent="0.2">
      <c r="A64" s="228"/>
      <c r="B64" s="228" t="s">
        <v>1076</v>
      </c>
      <c r="C64" s="228"/>
      <c r="D64" s="228"/>
      <c r="E64" s="228"/>
      <c r="F64" s="228"/>
      <c r="G64" s="228" t="s">
        <v>1077</v>
      </c>
      <c r="H64" s="228" t="s">
        <v>296</v>
      </c>
      <c r="I64" s="573"/>
      <c r="J64" s="294" t="str">
        <f>IF(ISBLANK(HLOOKUP(CaseName,CaseData,MATCH($G64,cases!$G$4:$G$2458,0),FALSE)),"",HLOOKUP(CaseName,CaseData,MATCH($G64,cases!$G$4:$G$2458,0),FALSE))</f>
        <v/>
      </c>
      <c r="K64" s="638">
        <f>1-L35*L68/(1+L35*L68+L34*L69) -L34*L69/(1+L35*L68+L34*L69)</f>
        <v>4.2327252813834093E-13</v>
      </c>
      <c r="L64" s="298">
        <f t="shared" ref="L64:L105" si="4">IF(ISBLANK(I64),IF(ISNUMBER(J64)=FALSE,K64,J64),I64)</f>
        <v>4.2327252813834093E-13</v>
      </c>
      <c r="M64" s="216" t="s">
        <v>297</v>
      </c>
      <c r="N64" s="609"/>
      <c r="O64" s="262"/>
      <c r="P64" s="215"/>
    </row>
    <row r="65" spans="1:16" ht="12.75" customHeight="1" x14ac:dyDescent="0.2">
      <c r="A65" s="228"/>
      <c r="B65" s="228" t="s">
        <v>1078</v>
      </c>
      <c r="C65" s="228"/>
      <c r="D65" s="228"/>
      <c r="E65" s="228"/>
      <c r="F65" s="228"/>
      <c r="G65" s="228" t="s">
        <v>1079</v>
      </c>
      <c r="H65" s="228" t="s">
        <v>296</v>
      </c>
      <c r="I65" s="712"/>
      <c r="J65" s="294" t="str">
        <f>IF(ISBLANK(HLOOKUP(CaseName,CaseData,MATCH($G65,cases!$G$4:$G$2458,0),FALSE)),"",HLOOKUP(CaseName,CaseData,MATCH($G65,cases!$G$4:$G$2458,0),FALSE))</f>
        <v/>
      </c>
      <c r="K65" s="638">
        <f>L35*L68/(1+L35*L68+L34*L69)</f>
        <v>0.74854509595646335</v>
      </c>
      <c r="L65" s="298">
        <f t="shared" si="4"/>
        <v>0.74854509595646335</v>
      </c>
      <c r="M65" s="216" t="s">
        <v>297</v>
      </c>
      <c r="N65" s="216" t="s">
        <v>1080</v>
      </c>
      <c r="O65" s="262"/>
      <c r="P65" s="215"/>
    </row>
    <row r="66" spans="1:16" ht="12.75" customHeight="1" x14ac:dyDescent="0.2">
      <c r="A66" s="228"/>
      <c r="B66" s="228" t="s">
        <v>1081</v>
      </c>
      <c r="C66" s="228"/>
      <c r="D66" s="228"/>
      <c r="E66" s="228"/>
      <c r="F66" s="228"/>
      <c r="G66" s="228" t="s">
        <v>1082</v>
      </c>
      <c r="H66" s="228" t="s">
        <v>296</v>
      </c>
      <c r="I66" s="712"/>
      <c r="J66" s="294" t="str">
        <f>IF(ISBLANK(HLOOKUP(CaseName,CaseData,MATCH($G66,cases!$G$4:$G$2458,0),FALSE)),"",HLOOKUP(CaseName,CaseData,MATCH($G66,cases!$G$4:$G$2458,0),FALSE))</f>
        <v/>
      </c>
      <c r="K66" s="638">
        <f>L34*L69/(1+L35*L68+L34*L69)</f>
        <v>0.25145490404311338</v>
      </c>
      <c r="L66" s="298">
        <f t="shared" si="4"/>
        <v>0.25145490404311338</v>
      </c>
      <c r="M66" s="216" t="s">
        <v>297</v>
      </c>
      <c r="N66" s="216" t="s">
        <v>1080</v>
      </c>
      <c r="O66" s="262"/>
      <c r="P66" s="215"/>
    </row>
    <row r="67" spans="1:16" ht="12.75" customHeight="1" x14ac:dyDescent="0.25">
      <c r="A67" s="228"/>
      <c r="B67" s="228"/>
      <c r="C67" s="228" t="s">
        <v>1083</v>
      </c>
      <c r="D67" s="228"/>
      <c r="E67" s="228"/>
      <c r="F67" s="228"/>
      <c r="G67" s="228" t="s">
        <v>1084</v>
      </c>
      <c r="H67" s="228" t="s">
        <v>1085</v>
      </c>
      <c r="I67" s="712"/>
      <c r="J67" s="294" t="str">
        <f>IF(ISBLANK(HLOOKUP(CaseName,CaseData,MATCH($G67,cases!$G$4:$G$2458,0),FALSE)),"",HLOOKUP(CaseName,CaseData,MATCH($G67,cases!$G$4:$G$2458,0),FALSE))</f>
        <v/>
      </c>
      <c r="K67" s="638">
        <f>Kaw*EXP((H0vap/8.314)*(1/298-1/TEMP.R))*EXP(-(H0sol/8.314)*(1/298-1/TEMP.R))*(298/TEMP.R)</f>
        <v>1.1310601233461476E-23</v>
      </c>
      <c r="L67" s="298">
        <f t="shared" si="4"/>
        <v>1.1310601233461476E-23</v>
      </c>
      <c r="M67" s="216" t="s">
        <v>297</v>
      </c>
      <c r="N67" s="228"/>
      <c r="O67" s="262"/>
      <c r="P67" s="215"/>
    </row>
    <row r="68" spans="1:16" ht="12.75" customHeight="1" x14ac:dyDescent="0.25">
      <c r="A68" s="228"/>
      <c r="B68" s="228"/>
      <c r="C68" s="228" t="s">
        <v>1086</v>
      </c>
      <c r="D68" s="228"/>
      <c r="E68" s="228"/>
      <c r="F68" s="228"/>
      <c r="G68" s="228" t="s">
        <v>1087</v>
      </c>
      <c r="H68" s="228" t="s">
        <v>1088</v>
      </c>
      <c r="I68" s="712"/>
      <c r="J68" s="294" t="str">
        <f>IF(ISBLANK(HLOOKUP(CaseName,CaseData,MATCH($G68,cases!$G$4:$G$2458,0),FALSE)),"",HLOOKUP(CaseName,CaseData,MATCH($G68,cases!$G$4:$G$2458,0),FALSE))</f>
        <v/>
      </c>
      <c r="K68" s="638">
        <f>1/(L67*FRorig.aerw)</f>
        <v>8.8412629829224543E+22</v>
      </c>
      <c r="L68" s="298">
        <f>IF(ISBLANK(I68),IF(ISNUMBER(J68)=FALSE,K68,J68),I68)</f>
        <v>8.8412629829224543E+22</v>
      </c>
      <c r="M68" s="216" t="s">
        <v>297</v>
      </c>
      <c r="N68" s="228"/>
      <c r="O68" s="262"/>
      <c r="P68" s="215"/>
    </row>
    <row r="69" spans="1:16" ht="12.75" customHeight="1" x14ac:dyDescent="0.25">
      <c r="A69" s="228"/>
      <c r="B69" s="228"/>
      <c r="C69" s="228" t="s">
        <v>1089</v>
      </c>
      <c r="D69" s="228"/>
      <c r="E69" s="228"/>
      <c r="F69" s="228"/>
      <c r="G69" s="228" t="s">
        <v>1090</v>
      </c>
      <c r="H69" s="228" t="s">
        <v>1091</v>
      </c>
      <c r="I69" s="712"/>
      <c r="J69" s="294" t="str">
        <f>IF(ISBLANK(HLOOKUP(CaseName,CaseData,MATCH($G69,cases!$G$4:$G$2458,0),FALSE)),"",HLOOKUP(CaseName,CaseData,MATCH($G69,cases!$G$4:$G$2458,0),FALSE))</f>
        <v/>
      </c>
      <c r="K69" s="638">
        <f>0.54*(Kow/Kaw)*CORGaers*(RHOaers/1000)</f>
        <v>2.9700000000000003E+22</v>
      </c>
      <c r="L69" s="298">
        <f t="shared" si="4"/>
        <v>2.9700000000000003E+22</v>
      </c>
      <c r="M69" s="216" t="s">
        <v>297</v>
      </c>
      <c r="N69" s="228" t="s">
        <v>1092</v>
      </c>
      <c r="O69" s="262"/>
      <c r="P69" s="215"/>
    </row>
    <row r="70" spans="1:16" ht="12.75" customHeight="1" x14ac:dyDescent="0.2">
      <c r="A70" s="216"/>
      <c r="B70" s="216" t="s">
        <v>1093</v>
      </c>
      <c r="C70" s="579"/>
      <c r="D70" s="228"/>
      <c r="E70" s="228"/>
      <c r="F70" s="228"/>
      <c r="G70" s="579" t="s">
        <v>1094</v>
      </c>
      <c r="H70" s="216" t="s">
        <v>296</v>
      </c>
      <c r="I70" s="574"/>
      <c r="J70" s="294" t="str">
        <f>IF(ISBLANK(HLOOKUP(CaseName,CaseData,MATCH($G70,cases!$G$4:$G$2458,0),FALSE)),"",HLOOKUP(CaseName,CaseData,MATCH($G70,cases!$G$4:$G$2458,0),FALSE))</f>
        <v/>
      </c>
      <c r="K70" s="638">
        <f>1/(1+L71*input!L281/1000+L73*input!L278/1000)</f>
        <v>0.99973007288032212</v>
      </c>
      <c r="L70" s="298">
        <f t="shared" si="4"/>
        <v>0.99973007288032212</v>
      </c>
      <c r="M70" s="216" t="s">
        <v>297</v>
      </c>
      <c r="N70" s="228"/>
      <c r="O70" s="262"/>
      <c r="P70" s="215"/>
    </row>
    <row r="71" spans="1:16" ht="12.75" customHeight="1" x14ac:dyDescent="0.2">
      <c r="A71" s="216"/>
      <c r="B71" s="228"/>
      <c r="C71" s="216" t="s">
        <v>1095</v>
      </c>
      <c r="D71" s="228"/>
      <c r="E71" s="228"/>
      <c r="F71" s="228"/>
      <c r="G71" s="579" t="s">
        <v>1096</v>
      </c>
      <c r="H71" s="216" t="s">
        <v>1097</v>
      </c>
      <c r="I71" s="574"/>
      <c r="J71" s="294" t="str">
        <f>IF(ISBLANK(HLOOKUP(CaseName,CaseData,MATCH($G71,cases!$G$4:$G$2458,0),FALSE)),"",HLOOKUP(CaseName,CaseData,MATCH($G71,cases!$G$4:$G$2458,0),FALSE))</f>
        <v/>
      </c>
      <c r="K71" s="406">
        <f>(FRorig.w1*Ksw+(1-FRorig.w1)*Ksw.alt)*(1000/RHOsolid/CORG)*L72</f>
        <v>100</v>
      </c>
      <c r="L71" s="298">
        <f t="shared" si="4"/>
        <v>100</v>
      </c>
      <c r="M71" s="216" t="s">
        <v>1098</v>
      </c>
      <c r="N71" s="228"/>
      <c r="O71" s="262"/>
      <c r="P71" s="215"/>
    </row>
    <row r="72" spans="1:16" ht="12.75" customHeight="1" x14ac:dyDescent="0.2">
      <c r="A72" s="216"/>
      <c r="B72" s="228"/>
      <c r="C72" s="216" t="s">
        <v>1099</v>
      </c>
      <c r="D72" s="228"/>
      <c r="E72" s="228"/>
      <c r="F72" s="228"/>
      <c r="G72" s="579" t="s">
        <v>1100</v>
      </c>
      <c r="H72" s="216" t="s">
        <v>296</v>
      </c>
      <c r="I72" s="574"/>
      <c r="J72" s="294" t="str">
        <f>IF(ISBLANK(HLOOKUP(CaseName,CaseData,MATCH($G72,cases!$G$4:$G$2458,0),FALSE)),"",HLOOKUP(CaseName,CaseData,MATCH($G72,cases!$G$4:$G$2458,0),FALSE))</f>
        <v/>
      </c>
      <c r="K72" s="406">
        <v>0.1</v>
      </c>
      <c r="L72" s="298">
        <f t="shared" si="4"/>
        <v>0.1</v>
      </c>
      <c r="M72" s="216" t="s">
        <v>297</v>
      </c>
      <c r="N72" s="228"/>
      <c r="O72" s="262"/>
      <c r="P72" s="215"/>
    </row>
    <row r="73" spans="1:16" ht="12.75" customHeight="1" x14ac:dyDescent="0.2">
      <c r="A73" s="216"/>
      <c r="B73" s="228"/>
      <c r="C73" s="216" t="s">
        <v>1101</v>
      </c>
      <c r="D73" s="228"/>
      <c r="E73" s="228"/>
      <c r="F73" s="228"/>
      <c r="G73" s="579" t="s">
        <v>1102</v>
      </c>
      <c r="H73" s="216" t="s">
        <v>1103</v>
      </c>
      <c r="I73" s="574"/>
      <c r="J73" s="294" t="str">
        <f>IF(ISBLANK(HLOOKUP(CaseName,CaseData,MATCH($G73,cases!$G$4:$G$2458,0),FALSE)),"",HLOOKUP(CaseName,CaseData,MATCH($G73,cases!$G$4:$G$2458,0),FALSE))</f>
        <v/>
      </c>
      <c r="K73" s="406">
        <f>0.08*D</f>
        <v>220</v>
      </c>
      <c r="L73" s="298">
        <f t="shared" si="4"/>
        <v>220</v>
      </c>
      <c r="M73" s="216" t="s">
        <v>1098</v>
      </c>
      <c r="N73" s="228"/>
      <c r="O73" s="262"/>
      <c r="P73" s="215"/>
    </row>
    <row r="74" spans="1:16" ht="12.75" customHeight="1" x14ac:dyDescent="0.2">
      <c r="A74" s="216"/>
      <c r="B74" s="216" t="s">
        <v>1104</v>
      </c>
      <c r="C74" s="579"/>
      <c r="D74" s="228"/>
      <c r="E74" s="228"/>
      <c r="F74" s="228"/>
      <c r="G74" s="579" t="s">
        <v>1105</v>
      </c>
      <c r="H74" s="216" t="s">
        <v>296</v>
      </c>
      <c r="I74" s="574"/>
      <c r="J74" s="294" t="str">
        <f>IF(ISBLANK(HLOOKUP(CaseName,CaseData,MATCH($G74,cases!$G$4:$G$2458,0),FALSE)),"",HLOOKUP(CaseName,CaseData,MATCH($G74,cases!$G$4:$G$2458,0),FALSE))</f>
        <v/>
      </c>
      <c r="K74" s="638">
        <f>1/(1+L75*input!L282/1000+L77*input!L279/1000)</f>
        <v>0.99828295332028893</v>
      </c>
      <c r="L74" s="298">
        <f t="shared" si="4"/>
        <v>0.99828295332028893</v>
      </c>
      <c r="M74" s="216" t="s">
        <v>297</v>
      </c>
      <c r="N74" s="228"/>
      <c r="O74" s="262"/>
      <c r="P74" s="215"/>
    </row>
    <row r="75" spans="1:16" ht="12.75" customHeight="1" x14ac:dyDescent="0.2">
      <c r="A75" s="216"/>
      <c r="B75" s="228"/>
      <c r="C75" s="216" t="s">
        <v>1095</v>
      </c>
      <c r="D75" s="228"/>
      <c r="E75" s="228"/>
      <c r="F75" s="228"/>
      <c r="G75" s="579" t="s">
        <v>1106</v>
      </c>
      <c r="H75" s="216" t="s">
        <v>1097</v>
      </c>
      <c r="I75" s="574"/>
      <c r="J75" s="294" t="str">
        <f>IF(ISBLANK(HLOOKUP(CaseName,CaseData,MATCH($G75,cases!$G$4:$G$2458,0),FALSE)),"",HLOOKUP(CaseName,CaseData,MATCH($G75,cases!$G$4:$G$2458,0),FALSE))</f>
        <v/>
      </c>
      <c r="K75" s="406">
        <f>(FRorig.w1*Ksw+(1-FRorig.w1)*Ksw.alt)*(1000/RHOsolid/CORG)*L76</f>
        <v>100</v>
      </c>
      <c r="L75" s="298">
        <f t="shared" si="4"/>
        <v>100</v>
      </c>
      <c r="M75" s="216" t="s">
        <v>1098</v>
      </c>
      <c r="N75" s="228"/>
      <c r="O75" s="262"/>
      <c r="P75" s="215"/>
    </row>
    <row r="76" spans="1:16" ht="12.75" customHeight="1" x14ac:dyDescent="0.2">
      <c r="A76" s="216"/>
      <c r="B76" s="228"/>
      <c r="C76" s="216" t="s">
        <v>1099</v>
      </c>
      <c r="D76" s="228"/>
      <c r="E76" s="228"/>
      <c r="F76" s="228"/>
      <c r="G76" s="579" t="s">
        <v>1107</v>
      </c>
      <c r="H76" s="216" t="s">
        <v>296</v>
      </c>
      <c r="I76" s="574"/>
      <c r="J76" s="294" t="str">
        <f>IF(ISBLANK(HLOOKUP(CaseName,CaseData,MATCH($G76,cases!$G$4:$G$2458,0),FALSE)),"",HLOOKUP(CaseName,CaseData,MATCH($G76,cases!$G$4:$G$2458,0),FALSE))</f>
        <v/>
      </c>
      <c r="K76" s="406">
        <v>0.1</v>
      </c>
      <c r="L76" s="298">
        <f t="shared" si="4"/>
        <v>0.1</v>
      </c>
      <c r="M76" s="216" t="s">
        <v>297</v>
      </c>
      <c r="N76" s="228"/>
      <c r="O76" s="262"/>
      <c r="P76" s="215"/>
    </row>
    <row r="77" spans="1:16" ht="12.75" customHeight="1" x14ac:dyDescent="0.2">
      <c r="A77" s="216"/>
      <c r="B77" s="228"/>
      <c r="C77" s="216" t="s">
        <v>1101</v>
      </c>
      <c r="D77" s="228"/>
      <c r="E77" s="228"/>
      <c r="F77" s="228"/>
      <c r="G77" s="579" t="s">
        <v>1108</v>
      </c>
      <c r="H77" s="216" t="s">
        <v>1103</v>
      </c>
      <c r="I77" s="574"/>
      <c r="J77" s="294" t="str">
        <f>IF(ISBLANK(HLOOKUP(CaseName,CaseData,MATCH($G77,cases!$G$4:$G$2458,0),FALSE)),"",HLOOKUP(CaseName,CaseData,MATCH($G77,cases!$G$4:$G$2458,0),FALSE))</f>
        <v/>
      </c>
      <c r="K77" s="406">
        <f>0.08*D</f>
        <v>220</v>
      </c>
      <c r="L77" s="298">
        <f t="shared" si="4"/>
        <v>220</v>
      </c>
      <c r="M77" s="216" t="s">
        <v>1098</v>
      </c>
      <c r="N77" s="412"/>
      <c r="O77" s="262"/>
      <c r="P77" s="215"/>
    </row>
    <row r="78" spans="1:16" ht="12.75" customHeight="1" x14ac:dyDescent="0.2">
      <c r="A78" s="216"/>
      <c r="B78" s="216" t="s">
        <v>1109</v>
      </c>
      <c r="C78" s="579"/>
      <c r="D78" s="228"/>
      <c r="E78" s="228"/>
      <c r="F78" s="228"/>
      <c r="G78" s="579" t="s">
        <v>1110</v>
      </c>
      <c r="H78" s="216" t="s">
        <v>296</v>
      </c>
      <c r="I78" s="574"/>
      <c r="J78" s="294" t="str">
        <f>IF(ISBLANK(HLOOKUP(CaseName,CaseData,MATCH($G78,cases!$G$4:$G$2458,0),FALSE)),"",HLOOKUP(CaseName,CaseData,MATCH($G78,cases!$G$4:$G$2458,0),FALSE))</f>
        <v/>
      </c>
      <c r="K78" s="406">
        <f>1/(1+L79*input!L283/1000+L81*input!L280/1000)</f>
        <v>0.99928051802702045</v>
      </c>
      <c r="L78" s="298">
        <f t="shared" si="4"/>
        <v>0.99928051802702045</v>
      </c>
      <c r="M78" s="216" t="s">
        <v>297</v>
      </c>
      <c r="N78" s="228"/>
      <c r="O78" s="262"/>
      <c r="P78" s="215"/>
    </row>
    <row r="79" spans="1:16" ht="12.75" customHeight="1" x14ac:dyDescent="0.2">
      <c r="A79" s="216"/>
      <c r="B79" s="228"/>
      <c r="C79" s="216" t="s">
        <v>1095</v>
      </c>
      <c r="D79" s="228"/>
      <c r="E79" s="228"/>
      <c r="F79" s="228"/>
      <c r="G79" s="579" t="s">
        <v>1111</v>
      </c>
      <c r="H79" s="216" t="s">
        <v>1097</v>
      </c>
      <c r="I79" s="574"/>
      <c r="J79" s="294" t="str">
        <f>IF(ISBLANK(HLOOKUP(CaseName,CaseData,MATCH($G79,cases!$G$4:$G$2458,0),FALSE)),"",HLOOKUP(CaseName,CaseData,MATCH($G79,cases!$G$4:$G$2458,0),FALSE))</f>
        <v/>
      </c>
      <c r="K79" s="406">
        <f>(FRorig.w2*Ksw+(1-FRorig.w2)*Ksw.alt)*(1000/RHOsolid/CORG)*L80</f>
        <v>100</v>
      </c>
      <c r="L79" s="298">
        <f t="shared" si="4"/>
        <v>100</v>
      </c>
      <c r="M79" s="216" t="s">
        <v>1098</v>
      </c>
      <c r="N79" s="228"/>
      <c r="O79" s="262"/>
      <c r="P79" s="215"/>
    </row>
    <row r="80" spans="1:16" ht="12.75" customHeight="1" x14ac:dyDescent="0.2">
      <c r="A80" s="216"/>
      <c r="B80" s="228"/>
      <c r="C80" s="216" t="s">
        <v>1099</v>
      </c>
      <c r="D80" s="228"/>
      <c r="E80" s="228"/>
      <c r="F80" s="228"/>
      <c r="G80" s="579" t="s">
        <v>1112</v>
      </c>
      <c r="H80" s="216" t="s">
        <v>296</v>
      </c>
      <c r="I80" s="574"/>
      <c r="J80" s="294" t="str">
        <f>IF(ISBLANK(HLOOKUP(CaseName,CaseData,MATCH($G80,cases!$G$4:$G$2458,0),FALSE)),"",HLOOKUP(CaseName,CaseData,MATCH($G80,cases!$G$4:$G$2458,0),FALSE))</f>
        <v/>
      </c>
      <c r="K80" s="406">
        <v>0.1</v>
      </c>
      <c r="L80" s="298">
        <f t="shared" si="4"/>
        <v>0.1</v>
      </c>
      <c r="M80" s="216" t="s">
        <v>297</v>
      </c>
      <c r="N80" s="228"/>
      <c r="O80" s="262"/>
      <c r="P80" s="215"/>
    </row>
    <row r="81" spans="1:16" ht="12.75" customHeight="1" x14ac:dyDescent="0.2">
      <c r="A81" s="216"/>
      <c r="B81" s="228"/>
      <c r="C81" s="216" t="s">
        <v>1101</v>
      </c>
      <c r="D81" s="228"/>
      <c r="E81" s="228"/>
      <c r="F81" s="228"/>
      <c r="G81" s="579" t="s">
        <v>1113</v>
      </c>
      <c r="H81" s="216" t="s">
        <v>1103</v>
      </c>
      <c r="I81" s="574"/>
      <c r="J81" s="294" t="str">
        <f>IF(ISBLANK(HLOOKUP(CaseName,CaseData,MATCH($G81,cases!$G$4:$G$2458,0),FALSE)),"",HLOOKUP(CaseName,CaseData,MATCH($G81,cases!$G$4:$G$2458,0),FALSE))</f>
        <v/>
      </c>
      <c r="K81" s="406">
        <f>0.08*D</f>
        <v>220</v>
      </c>
      <c r="L81" s="298">
        <f t="shared" si="4"/>
        <v>220</v>
      </c>
      <c r="M81" s="216" t="s">
        <v>1098</v>
      </c>
      <c r="N81" s="228"/>
      <c r="O81" s="262"/>
      <c r="P81" s="215"/>
    </row>
    <row r="82" spans="1:16" s="386" customFormat="1" ht="12.75" customHeight="1" x14ac:dyDescent="0.2">
      <c r="A82" s="568"/>
      <c r="B82" s="567"/>
      <c r="C82" s="568" t="s">
        <v>1114</v>
      </c>
      <c r="D82" s="680"/>
      <c r="E82" s="567"/>
      <c r="F82" s="567"/>
      <c r="G82" s="680" t="s">
        <v>1115</v>
      </c>
      <c r="H82" s="568" t="s">
        <v>296</v>
      </c>
      <c r="I82" s="574"/>
      <c r="J82" s="294" t="str">
        <f>IF(ISBLANK(HLOOKUP(CaseName,CaseData,MATCH($G82,cases!$G$4:$G$2458,0),FALSE)),"",HLOOKUP(CaseName,CaseData,MATCH($G82,cases!$G$4:$G$2458,0),FALSE))</f>
        <v/>
      </c>
      <c r="K82" s="751">
        <f>L45+L46*L83*RHOsolid/1000</f>
        <v>25.799999999999997</v>
      </c>
      <c r="L82" s="298">
        <f t="shared" si="4"/>
        <v>25.799999999999997</v>
      </c>
      <c r="M82" s="568" t="s">
        <v>297</v>
      </c>
      <c r="N82" s="578"/>
      <c r="O82" s="607"/>
      <c r="P82" s="578"/>
    </row>
    <row r="83" spans="1:16" s="386" customFormat="1" ht="12.75" customHeight="1" x14ac:dyDescent="0.2">
      <c r="A83" s="568"/>
      <c r="B83" s="567"/>
      <c r="C83" s="567"/>
      <c r="D83" s="568" t="s">
        <v>1116</v>
      </c>
      <c r="E83" s="567"/>
      <c r="F83" s="567"/>
      <c r="G83" s="680" t="s">
        <v>1117</v>
      </c>
      <c r="H83" s="568" t="s">
        <v>1097</v>
      </c>
      <c r="I83" s="574"/>
      <c r="J83" s="294" t="str">
        <f>IF(ISBLANK(HLOOKUP(CaseName,CaseData,MATCH($G83,cases!$G$4:$G$2458,0),FALSE)),"",HLOOKUP(CaseName,CaseData,MATCH($G83,cases!$G$4:$G$2458,0),FALSE))</f>
        <v/>
      </c>
      <c r="K83" s="751">
        <f>(FRorig.sd1*Ksw+(1-FRorig.sd1)*Ksw.alt)*(1000/RHOsolid/CORG)*L84</f>
        <v>50</v>
      </c>
      <c r="L83" s="298">
        <f t="shared" si="4"/>
        <v>50</v>
      </c>
      <c r="M83" s="568" t="s">
        <v>1098</v>
      </c>
      <c r="N83" s="578"/>
      <c r="O83" s="607"/>
      <c r="P83" s="578"/>
    </row>
    <row r="84" spans="1:16" s="386" customFormat="1" ht="12.75" customHeight="1" x14ac:dyDescent="0.2">
      <c r="A84" s="568"/>
      <c r="B84" s="567"/>
      <c r="C84" s="568" t="s">
        <v>1118</v>
      </c>
      <c r="D84" s="567"/>
      <c r="E84" s="567"/>
      <c r="F84" s="567"/>
      <c r="G84" s="680" t="s">
        <v>1119</v>
      </c>
      <c r="H84" s="568" t="s">
        <v>296</v>
      </c>
      <c r="I84" s="574"/>
      <c r="J84" s="294" t="str">
        <f>IF(ISBLANK(HLOOKUP(CaseName,CaseData,MATCH($G84,cases!$G$4:$G$2458,0),FALSE)),"",HLOOKUP(CaseName,CaseData,MATCH($G84,cases!$G$4:$G$2458,0),FALSE))</f>
        <v/>
      </c>
      <c r="K84" s="751">
        <v>0.05</v>
      </c>
      <c r="L84" s="298">
        <f t="shared" si="4"/>
        <v>0.05</v>
      </c>
      <c r="M84" s="567" t="s">
        <v>297</v>
      </c>
      <c r="N84" s="578"/>
      <c r="O84" s="607"/>
      <c r="P84" s="578"/>
    </row>
    <row r="85" spans="1:16" ht="12.75" customHeight="1" x14ac:dyDescent="0.2">
      <c r="A85" s="216"/>
      <c r="B85" s="216"/>
      <c r="C85" s="216" t="s">
        <v>1120</v>
      </c>
      <c r="D85" s="579"/>
      <c r="E85" s="228"/>
      <c r="F85" s="228"/>
      <c r="G85" s="579" t="s">
        <v>1121</v>
      </c>
      <c r="H85" s="216" t="s">
        <v>296</v>
      </c>
      <c r="I85" s="574"/>
      <c r="J85" s="294" t="str">
        <f>IF(ISBLANK(HLOOKUP(CaseName,CaseData,MATCH($G85,cases!$G$4:$G$2458,0),FALSE)),"",HLOOKUP(CaseName,CaseData,MATCH($G85,cases!$G$4:$G$2458,0),FALSE))</f>
        <v/>
      </c>
      <c r="K85" s="406">
        <f>L45+L46*L86*RHOsolid/1000</f>
        <v>25.799999999999997</v>
      </c>
      <c r="L85" s="298">
        <f t="shared" si="4"/>
        <v>25.799999999999997</v>
      </c>
      <c r="M85" s="216" t="s">
        <v>297</v>
      </c>
      <c r="N85" s="228"/>
      <c r="O85" s="262"/>
      <c r="P85" s="215"/>
    </row>
    <row r="86" spans="1:16" ht="12.75" customHeight="1" x14ac:dyDescent="0.2">
      <c r="A86" s="216"/>
      <c r="B86" s="228"/>
      <c r="C86" s="228"/>
      <c r="D86" s="216" t="s">
        <v>1122</v>
      </c>
      <c r="E86" s="228"/>
      <c r="F86" s="228"/>
      <c r="G86" s="579" t="s">
        <v>1123</v>
      </c>
      <c r="H86" s="216" t="s">
        <v>1097</v>
      </c>
      <c r="I86" s="574"/>
      <c r="J86" s="294" t="str">
        <f>IF(ISBLANK(HLOOKUP(CaseName,CaseData,MATCH($G86,cases!$G$4:$G$2458,0),FALSE)),"",HLOOKUP(CaseName,CaseData,MATCH($G86,cases!$G$4:$G$2458,0),FALSE))</f>
        <v/>
      </c>
      <c r="K86" s="406">
        <f>(FRorig.sd1*Ksw+(1-FRorig.sd1)*Ksw.alt)*(1000/RHOsolid/CORG)*L87</f>
        <v>50</v>
      </c>
      <c r="L86" s="298">
        <f t="shared" si="4"/>
        <v>50</v>
      </c>
      <c r="M86" s="216" t="s">
        <v>1098</v>
      </c>
      <c r="N86" s="228"/>
      <c r="O86" s="262"/>
      <c r="P86" s="215"/>
    </row>
    <row r="87" spans="1:16" ht="12.75" customHeight="1" x14ac:dyDescent="0.2">
      <c r="A87" s="216"/>
      <c r="B87" s="228"/>
      <c r="C87" s="216" t="s">
        <v>1124</v>
      </c>
      <c r="D87" s="228"/>
      <c r="E87" s="228"/>
      <c r="F87" s="228"/>
      <c r="G87" s="579" t="s">
        <v>1125</v>
      </c>
      <c r="H87" s="216" t="s">
        <v>296</v>
      </c>
      <c r="I87" s="574"/>
      <c r="J87" s="294" t="str">
        <f>IF(ISBLANK(HLOOKUP(CaseName,CaseData,MATCH($G87,cases!$G$4:$G$2458,0),FALSE)),"",HLOOKUP(CaseName,CaseData,MATCH($G87,cases!$G$4:$G$2458,0),FALSE))</f>
        <v/>
      </c>
      <c r="K87" s="406">
        <v>0.05</v>
      </c>
      <c r="L87" s="298">
        <f t="shared" si="4"/>
        <v>0.05</v>
      </c>
      <c r="M87" s="228" t="s">
        <v>297</v>
      </c>
      <c r="N87" s="228"/>
      <c r="O87" s="262"/>
      <c r="P87" s="215"/>
    </row>
    <row r="88" spans="1:16" ht="12.75" customHeight="1" x14ac:dyDescent="0.2">
      <c r="A88" s="216"/>
      <c r="B88" s="216"/>
      <c r="C88" s="216" t="s">
        <v>1126</v>
      </c>
      <c r="D88" s="579"/>
      <c r="E88" s="228"/>
      <c r="F88" s="228"/>
      <c r="G88" s="579" t="s">
        <v>1127</v>
      </c>
      <c r="H88" s="216" t="s">
        <v>296</v>
      </c>
      <c r="I88" s="574"/>
      <c r="J88" s="294" t="str">
        <f>IF(ISBLANK(HLOOKUP(CaseName,CaseData,MATCH($G88,cases!$G$4:$G$2458,0),FALSE)),"",HLOOKUP(CaseName,CaseData,MATCH($G88,cases!$G$4:$G$2458,0),FALSE))</f>
        <v/>
      </c>
      <c r="K88" s="406">
        <f>L45+L46*L89*RHOsolid/1000</f>
        <v>25.799999999999997</v>
      </c>
      <c r="L88" s="298">
        <f t="shared" si="4"/>
        <v>25.799999999999997</v>
      </c>
      <c r="M88" s="228" t="s">
        <v>297</v>
      </c>
      <c r="N88" s="228"/>
      <c r="O88" s="262"/>
      <c r="P88" s="215"/>
    </row>
    <row r="89" spans="1:16" ht="12.75" customHeight="1" x14ac:dyDescent="0.2">
      <c r="A89" s="216"/>
      <c r="B89" s="216"/>
      <c r="C89" s="228"/>
      <c r="D89" s="216" t="s">
        <v>1128</v>
      </c>
      <c r="E89" s="228"/>
      <c r="F89" s="228"/>
      <c r="G89" s="579" t="s">
        <v>1129</v>
      </c>
      <c r="H89" s="216" t="s">
        <v>1097</v>
      </c>
      <c r="I89" s="574"/>
      <c r="J89" s="294" t="str">
        <f>IF(ISBLANK(HLOOKUP(CaseName,CaseData,MATCH($G89,cases!$G$4:$G$2458,0),FALSE)),"",HLOOKUP(CaseName,CaseData,MATCH($G89,cases!$G$4:$G$2458,0),FALSE))</f>
        <v/>
      </c>
      <c r="K89" s="406">
        <f>(FRorig.sd2*Ksw+(1-FRorig.sd2)*Ksw.alt)*(1000/RHOsolid/CORG)*L90</f>
        <v>50</v>
      </c>
      <c r="L89" s="298">
        <f t="shared" si="4"/>
        <v>50</v>
      </c>
      <c r="M89" s="216" t="s">
        <v>1098</v>
      </c>
      <c r="N89" s="228"/>
      <c r="O89" s="262"/>
      <c r="P89" s="215"/>
    </row>
    <row r="90" spans="1:16" ht="12.75" customHeight="1" x14ac:dyDescent="0.2">
      <c r="A90" s="216"/>
      <c r="B90" s="228"/>
      <c r="C90" s="216" t="s">
        <v>1130</v>
      </c>
      <c r="D90" s="228"/>
      <c r="E90" s="228"/>
      <c r="F90" s="228"/>
      <c r="G90" s="579" t="s">
        <v>1131</v>
      </c>
      <c r="H90" s="216" t="s">
        <v>296</v>
      </c>
      <c r="I90" s="574"/>
      <c r="J90" s="294" t="str">
        <f>IF(ISBLANK(HLOOKUP(CaseName,CaseData,MATCH($G90,cases!$G$4:$G$2458,0),FALSE)),"",HLOOKUP(CaseName,CaseData,MATCH($G90,cases!$G$4:$G$2458,0),FALSE))</f>
        <v/>
      </c>
      <c r="K90" s="406">
        <v>0.05</v>
      </c>
      <c r="L90" s="298">
        <f t="shared" si="4"/>
        <v>0.05</v>
      </c>
      <c r="M90" s="228" t="s">
        <v>297</v>
      </c>
      <c r="N90" s="228"/>
      <c r="O90" s="262"/>
      <c r="P90" s="215"/>
    </row>
    <row r="91" spans="1:16" ht="12.75" customHeight="1" x14ac:dyDescent="0.2">
      <c r="A91" s="216"/>
      <c r="B91" s="216"/>
      <c r="C91" s="216" t="s">
        <v>1132</v>
      </c>
      <c r="D91" s="579"/>
      <c r="E91" s="228"/>
      <c r="F91" s="228"/>
      <c r="G91" s="579" t="s">
        <v>1133</v>
      </c>
      <c r="H91" s="216" t="s">
        <v>296</v>
      </c>
      <c r="I91" s="574"/>
      <c r="J91" s="294" t="str">
        <f>IF(ISBLANK(HLOOKUP(CaseName,CaseData,MATCH($G91,cases!$G$4:$G$2458,0),FALSE)),"",HLOOKUP(CaseName,CaseData,MATCH($G91,cases!$G$4:$G$2458,0),FALSE))</f>
        <v/>
      </c>
      <c r="K91" s="406">
        <f>L36*(L67*FRorig.s1w)+L37+L38*L94*RHOsolid/1000</f>
        <v>30.200000000000003</v>
      </c>
      <c r="L91" s="298">
        <f t="shared" si="4"/>
        <v>30.200000000000003</v>
      </c>
      <c r="M91" s="228" t="s">
        <v>297</v>
      </c>
      <c r="N91" s="228"/>
      <c r="O91" s="262"/>
      <c r="P91" s="215"/>
    </row>
    <row r="92" spans="1:16" ht="12.75" customHeight="1" x14ac:dyDescent="0.2">
      <c r="A92" s="216"/>
      <c r="B92" s="216" t="s">
        <v>1134</v>
      </c>
      <c r="C92" s="579"/>
      <c r="D92" s="228"/>
      <c r="E92" s="228"/>
      <c r="F92" s="228"/>
      <c r="G92" s="579" t="s">
        <v>1135</v>
      </c>
      <c r="H92" s="216" t="s">
        <v>296</v>
      </c>
      <c r="I92" s="574"/>
      <c r="J92" s="294" t="str">
        <f>IF(ISBLANK(HLOOKUP(CaseName,CaseData,MATCH($G92,cases!$G$4:$G$2458,0),FALSE)),"",HLOOKUP(CaseName,CaseData,MATCH($G92,cases!$G$4:$G$2458,0),FALSE))</f>
        <v/>
      </c>
      <c r="K92" s="638">
        <f>L37/(L36*(L67*FRorig.s1w)+L37+L38*L94*RHOsolid/1000)</f>
        <v>6.6225165562913907E-3</v>
      </c>
      <c r="L92" s="298">
        <f t="shared" si="4"/>
        <v>6.6225165562913907E-3</v>
      </c>
      <c r="M92" s="228"/>
      <c r="N92" s="228"/>
      <c r="O92" s="262"/>
      <c r="P92" s="215"/>
    </row>
    <row r="93" spans="1:16" ht="12.75" customHeight="1" x14ac:dyDescent="0.2">
      <c r="A93" s="216"/>
      <c r="B93" s="216" t="s">
        <v>1136</v>
      </c>
      <c r="C93" s="579"/>
      <c r="D93" s="228"/>
      <c r="E93" s="228"/>
      <c r="F93" s="228"/>
      <c r="G93" s="579" t="s">
        <v>1137</v>
      </c>
      <c r="H93" s="216" t="s">
        <v>296</v>
      </c>
      <c r="I93" s="574"/>
      <c r="J93" s="294" t="str">
        <f>IF(ISBLANK(HLOOKUP(CaseName,CaseData,MATCH($G93,cases!$G$4:$G$2458,0),FALSE)),"",HLOOKUP(CaseName,CaseData,MATCH($G93,cases!$G$4:$G$2458,0),FALSE))</f>
        <v/>
      </c>
      <c r="K93" s="638">
        <f>L38 / (L36*L67*FRorig.s1w/(L94*RHOsolid/1000)+L37 /(L94*RHOsolid/1000)+L38 )</f>
        <v>0.99337748344370858</v>
      </c>
      <c r="L93" s="298">
        <f t="shared" si="4"/>
        <v>0.99337748344370858</v>
      </c>
      <c r="M93" s="228"/>
      <c r="N93" s="228"/>
      <c r="O93" s="262"/>
      <c r="P93" s="215"/>
    </row>
    <row r="94" spans="1:16" ht="12.75" customHeight="1" x14ac:dyDescent="0.2">
      <c r="A94" s="216"/>
      <c r="B94" s="228"/>
      <c r="C94" s="216" t="s">
        <v>1138</v>
      </c>
      <c r="D94" s="228"/>
      <c r="E94" s="228"/>
      <c r="F94" s="228"/>
      <c r="G94" s="579" t="s">
        <v>1139</v>
      </c>
      <c r="H94" s="216" t="s">
        <v>1097</v>
      </c>
      <c r="I94" s="574"/>
      <c r="J94" s="294" t="str">
        <f>IF(ISBLANK(HLOOKUP(CaseName,CaseData,MATCH($G94,cases!$G$4:$G$2458,0),FALSE)),"",HLOOKUP(CaseName,CaseData,MATCH($G94,cases!$G$4:$G$2458,0),FALSE))</f>
        <v/>
      </c>
      <c r="K94" s="406">
        <f>(FRorig.s1*Ksw+(1-FRorig.s1)*Ksw.alt)*(1000/RHOsolid/CORG)*L95</f>
        <v>20</v>
      </c>
      <c r="L94" s="298">
        <f t="shared" si="4"/>
        <v>20</v>
      </c>
      <c r="M94" s="216" t="s">
        <v>1098</v>
      </c>
      <c r="N94" s="228"/>
      <c r="O94" s="262"/>
      <c r="P94" s="215"/>
    </row>
    <row r="95" spans="1:16" ht="12.75" customHeight="1" x14ac:dyDescent="0.2">
      <c r="A95" s="216"/>
      <c r="B95" s="228"/>
      <c r="C95" s="216" t="s">
        <v>1140</v>
      </c>
      <c r="D95" s="228"/>
      <c r="E95" s="228"/>
      <c r="F95" s="228"/>
      <c r="G95" s="579" t="s">
        <v>1141</v>
      </c>
      <c r="H95" s="216" t="s">
        <v>296</v>
      </c>
      <c r="I95" s="574"/>
      <c r="J95" s="294" t="str">
        <f>IF(ISBLANK(HLOOKUP(CaseName,CaseData,MATCH($G95,cases!$G$4:$G$2458,0),FALSE)),"",HLOOKUP(CaseName,CaseData,MATCH($G95,cases!$G$4:$G$2458,0),FALSE))</f>
        <v/>
      </c>
      <c r="K95" s="406">
        <v>0.02</v>
      </c>
      <c r="L95" s="298">
        <f t="shared" si="4"/>
        <v>0.02</v>
      </c>
      <c r="M95" s="228" t="s">
        <v>297</v>
      </c>
      <c r="N95" s="228"/>
      <c r="O95" s="262"/>
      <c r="P95" s="215"/>
    </row>
    <row r="96" spans="1:16" ht="12.75" customHeight="1" x14ac:dyDescent="0.2">
      <c r="A96" s="216"/>
      <c r="B96" s="216"/>
      <c r="C96" s="216" t="s">
        <v>1142</v>
      </c>
      <c r="D96" s="579"/>
      <c r="E96" s="228"/>
      <c r="F96" s="228"/>
      <c r="G96" s="579" t="s">
        <v>1143</v>
      </c>
      <c r="H96" s="216" t="s">
        <v>296</v>
      </c>
      <c r="I96" s="574"/>
      <c r="J96" s="294" t="str">
        <f>IF(ISBLANK(HLOOKUP(CaseName,CaseData,MATCH($G96,cases!$G$4:$G$2458,0),FALSE)),"",HLOOKUP(CaseName,CaseData,MATCH($G96,cases!$G$4:$G$2458,0),FALSE))</f>
        <v/>
      </c>
      <c r="K96" s="406">
        <f>L39*(L67*FRorig.s2w)+L40+L41*L99*RHOsolid/1000</f>
        <v>30.200000000000003</v>
      </c>
      <c r="L96" s="298">
        <f t="shared" si="4"/>
        <v>30.200000000000003</v>
      </c>
      <c r="M96" s="228" t="s">
        <v>297</v>
      </c>
      <c r="N96" s="228"/>
      <c r="O96" s="262"/>
      <c r="P96" s="215"/>
    </row>
    <row r="97" spans="1:16" ht="12.75" customHeight="1" x14ac:dyDescent="0.2">
      <c r="A97" s="216"/>
      <c r="B97" s="216" t="s">
        <v>1144</v>
      </c>
      <c r="C97" s="579"/>
      <c r="D97" s="228"/>
      <c r="E97" s="228"/>
      <c r="F97" s="228"/>
      <c r="G97" s="579" t="s">
        <v>1145</v>
      </c>
      <c r="H97" s="216" t="s">
        <v>296</v>
      </c>
      <c r="I97" s="574"/>
      <c r="J97" s="294" t="str">
        <f>IF(ISBLANK(HLOOKUP(CaseName,CaseData,MATCH($G97,cases!$G$4:$G$2458,0),FALSE)),"",HLOOKUP(CaseName,CaseData,MATCH($G97,cases!$G$4:$G$2458,0),FALSE))</f>
        <v/>
      </c>
      <c r="K97" s="638">
        <f>L40/(L39*(L67*FRorig.s2w)+L40+L41*L99*RHOsolid/1000)</f>
        <v>6.6225165562913907E-3</v>
      </c>
      <c r="L97" s="298">
        <f t="shared" si="4"/>
        <v>6.6225165562913907E-3</v>
      </c>
      <c r="M97" s="228" t="s">
        <v>297</v>
      </c>
      <c r="N97" s="228"/>
      <c r="O97" s="262"/>
      <c r="P97" s="215"/>
    </row>
    <row r="98" spans="1:16" ht="12.75" customHeight="1" x14ac:dyDescent="0.2">
      <c r="A98" s="216"/>
      <c r="B98" s="216" t="s">
        <v>1146</v>
      </c>
      <c r="C98" s="579"/>
      <c r="D98" s="228"/>
      <c r="E98" s="228"/>
      <c r="F98" s="228"/>
      <c r="G98" s="579" t="s">
        <v>1147</v>
      </c>
      <c r="H98" s="216" t="s">
        <v>296</v>
      </c>
      <c r="I98" s="574"/>
      <c r="J98" s="294" t="str">
        <f>IF(ISBLANK(HLOOKUP(CaseName,CaseData,MATCH($G98,cases!$G$4:$G$2458,0),FALSE)),"",HLOOKUP(CaseName,CaseData,MATCH($G98,cases!$G$4:$G$2458,0),FALSE))</f>
        <v/>
      </c>
      <c r="K98" s="638">
        <f>L41/(L39*(L67*FRorig.s2w)/(L99*RHOsolid/1000)+L40/(L99*RHOsolid/1000)+L41)</f>
        <v>0.99337748344370858</v>
      </c>
      <c r="L98" s="298">
        <f t="shared" si="4"/>
        <v>0.99337748344370858</v>
      </c>
      <c r="M98" s="639" t="s">
        <v>297</v>
      </c>
      <c r="N98" s="228"/>
      <c r="O98" s="262"/>
      <c r="P98" s="215"/>
    </row>
    <row r="99" spans="1:16" ht="12.75" customHeight="1" x14ac:dyDescent="0.2">
      <c r="A99" s="216"/>
      <c r="B99" s="228"/>
      <c r="C99" s="216" t="s">
        <v>1148</v>
      </c>
      <c r="D99" s="228"/>
      <c r="E99" s="228"/>
      <c r="F99" s="228"/>
      <c r="G99" s="579" t="s">
        <v>1149</v>
      </c>
      <c r="H99" s="216" t="s">
        <v>1097</v>
      </c>
      <c r="I99" s="574"/>
      <c r="J99" s="294" t="str">
        <f>IF(ISBLANK(HLOOKUP(CaseName,CaseData,MATCH($G99,cases!$G$4:$G$2458,0),FALSE)),"",HLOOKUP(CaseName,CaseData,MATCH($G99,cases!$G$4:$G$2458,0),FALSE))</f>
        <v/>
      </c>
      <c r="K99" s="406">
        <f>(FRorig.s2*Ksw+(1-FRorig.s2)*Ksw.alt)*(1000/RHOsolid/CORG)*L100</f>
        <v>20</v>
      </c>
      <c r="L99" s="298">
        <f t="shared" si="4"/>
        <v>20</v>
      </c>
      <c r="M99" s="216" t="s">
        <v>1098</v>
      </c>
      <c r="N99" s="228"/>
      <c r="O99" s="262"/>
      <c r="P99" s="215"/>
    </row>
    <row r="100" spans="1:16" ht="12.75" customHeight="1" x14ac:dyDescent="0.2">
      <c r="A100" s="216"/>
      <c r="B100" s="228"/>
      <c r="C100" s="216" t="s">
        <v>1150</v>
      </c>
      <c r="D100" s="228"/>
      <c r="E100" s="228"/>
      <c r="F100" s="228"/>
      <c r="G100" s="579" t="s">
        <v>1151</v>
      </c>
      <c r="H100" s="216" t="s">
        <v>296</v>
      </c>
      <c r="I100" s="574"/>
      <c r="J100" s="294" t="str">
        <f>IF(ISBLANK(HLOOKUP(CaseName,CaseData,MATCH($G100,cases!$G$4:$G$2458,0),FALSE)),"",HLOOKUP(CaseName,CaseData,MATCH($G100,cases!$G$4:$G$2458,0),FALSE))</f>
        <v/>
      </c>
      <c r="K100" s="406">
        <v>0.02</v>
      </c>
      <c r="L100" s="298">
        <f t="shared" si="4"/>
        <v>0.02</v>
      </c>
      <c r="M100" s="228" t="s">
        <v>297</v>
      </c>
      <c r="N100" s="228"/>
      <c r="O100" s="262"/>
      <c r="P100" s="215"/>
    </row>
    <row r="101" spans="1:16" ht="12.75" customHeight="1" x14ac:dyDescent="0.2">
      <c r="A101" s="216"/>
      <c r="B101" s="216"/>
      <c r="C101" s="216" t="s">
        <v>1152</v>
      </c>
      <c r="D101" s="579"/>
      <c r="E101" s="228"/>
      <c r="F101" s="228"/>
      <c r="G101" s="579" t="s">
        <v>1153</v>
      </c>
      <c r="H101" s="216" t="s">
        <v>296</v>
      </c>
      <c r="I101" s="574"/>
      <c r="J101" s="294" t="str">
        <f>IF(ISBLANK(HLOOKUP(CaseName,CaseData,MATCH($G101,cases!$G$4:$G$2458,0),FALSE)),"",HLOOKUP(CaseName,CaseData,MATCH($G101,cases!$G$4:$G$2458,0),FALSE))</f>
        <v/>
      </c>
      <c r="K101" s="406">
        <f>L42*(L67*FRorig.s3w)+L43+L44*L104*RHOsolid/1000</f>
        <v>30.200000000000003</v>
      </c>
      <c r="L101" s="298">
        <f t="shared" si="4"/>
        <v>30.200000000000003</v>
      </c>
      <c r="M101" s="228" t="s">
        <v>297</v>
      </c>
      <c r="N101" s="228"/>
      <c r="O101" s="262"/>
      <c r="P101" s="215"/>
    </row>
    <row r="102" spans="1:16" ht="12.75" customHeight="1" x14ac:dyDescent="0.2">
      <c r="A102" s="216"/>
      <c r="B102" s="216" t="s">
        <v>1154</v>
      </c>
      <c r="C102" s="579"/>
      <c r="D102" s="228"/>
      <c r="E102" s="228"/>
      <c r="F102" s="228"/>
      <c r="G102" s="579" t="s">
        <v>1155</v>
      </c>
      <c r="H102" s="216" t="s">
        <v>296</v>
      </c>
      <c r="I102" s="574"/>
      <c r="J102" s="294" t="str">
        <f>IF(ISBLANK(HLOOKUP(CaseName,CaseData,MATCH($G102,cases!$G$4:$G$2458,0),FALSE)),"",HLOOKUP(CaseName,CaseData,MATCH($G102,cases!$G$4:$G$2458,0),FALSE))</f>
        <v/>
      </c>
      <c r="K102" s="638">
        <f>L43/(L42*(L67*FRorig.s3w)+L43+L44*L104*RHOsolid/1000)</f>
        <v>6.6225165562913907E-3</v>
      </c>
      <c r="L102" s="298">
        <f t="shared" si="4"/>
        <v>6.6225165562913907E-3</v>
      </c>
      <c r="M102" s="228" t="s">
        <v>297</v>
      </c>
      <c r="N102" s="228"/>
      <c r="O102" s="262"/>
      <c r="P102" s="215"/>
    </row>
    <row r="103" spans="1:16" ht="12.75" customHeight="1" x14ac:dyDescent="0.2">
      <c r="A103" s="216"/>
      <c r="B103" s="216" t="s">
        <v>1156</v>
      </c>
      <c r="C103" s="579"/>
      <c r="D103" s="228"/>
      <c r="E103" s="228"/>
      <c r="F103" s="228"/>
      <c r="G103" s="579" t="s">
        <v>1157</v>
      </c>
      <c r="H103" s="216" t="s">
        <v>296</v>
      </c>
      <c r="I103" s="574"/>
      <c r="J103" s="294" t="str">
        <f>IF(ISBLANK(HLOOKUP(CaseName,CaseData,MATCH($G103,cases!$G$4:$G$2458,0),FALSE)),"",HLOOKUP(CaseName,CaseData,MATCH($G103,cases!$G$4:$G$2458,0),FALSE))</f>
        <v/>
      </c>
      <c r="K103" s="638">
        <f>L44/(L42*(L67*FRorig.s3w)/(L104*RHOsolid/1000)+L43/(L104*RHOsolid/1000)+L44)</f>
        <v>0.99337748344370858</v>
      </c>
      <c r="L103" s="298">
        <f t="shared" si="4"/>
        <v>0.99337748344370858</v>
      </c>
      <c r="M103" s="639" t="s">
        <v>297</v>
      </c>
      <c r="N103" s="228"/>
      <c r="O103" s="262"/>
      <c r="P103" s="215"/>
    </row>
    <row r="104" spans="1:16" ht="12.75" customHeight="1" x14ac:dyDescent="0.2">
      <c r="A104" s="216"/>
      <c r="B104" s="228"/>
      <c r="C104" s="216" t="s">
        <v>1158</v>
      </c>
      <c r="D104" s="228"/>
      <c r="E104" s="228"/>
      <c r="F104" s="228"/>
      <c r="G104" s="579" t="s">
        <v>1159</v>
      </c>
      <c r="H104" s="216" t="s">
        <v>1097</v>
      </c>
      <c r="I104" s="574"/>
      <c r="J104" s="294" t="str">
        <f>IF(ISBLANK(HLOOKUP(CaseName,CaseData,MATCH($G104,cases!$G$4:$G$2458,0),FALSE)),"",HLOOKUP(CaseName,CaseData,MATCH($G104,cases!$G$4:$G$2458,0),FALSE))</f>
        <v/>
      </c>
      <c r="K104" s="406">
        <f>(FRorig.s3*Ksw+(1-FRorig.s3)*Ksw.alt)*(1000/RHOsolid/CORG)*L105</f>
        <v>20</v>
      </c>
      <c r="L104" s="298">
        <f t="shared" si="4"/>
        <v>20</v>
      </c>
      <c r="M104" s="216" t="s">
        <v>1098</v>
      </c>
      <c r="N104" s="228"/>
      <c r="O104" s="262"/>
      <c r="P104" s="215"/>
    </row>
    <row r="105" spans="1:16" ht="12.75" customHeight="1" x14ac:dyDescent="0.2">
      <c r="A105" s="216"/>
      <c r="B105" s="228"/>
      <c r="C105" s="216" t="s">
        <v>1160</v>
      </c>
      <c r="D105" s="228"/>
      <c r="E105" s="228"/>
      <c r="F105" s="228"/>
      <c r="G105" s="579" t="s">
        <v>1161</v>
      </c>
      <c r="H105" s="216" t="s">
        <v>296</v>
      </c>
      <c r="I105" s="574"/>
      <c r="J105" s="294" t="str">
        <f>IF(ISBLANK(HLOOKUP(CaseName,CaseData,MATCH($G105,cases!$G$4:$G$2458,0),FALSE)),"",HLOOKUP(CaseName,CaseData,MATCH($G105,cases!$G$4:$G$2458,0),FALSE))</f>
        <v/>
      </c>
      <c r="K105" s="406">
        <v>0.02</v>
      </c>
      <c r="L105" s="298">
        <f t="shared" si="4"/>
        <v>0.02</v>
      </c>
      <c r="M105" s="228" t="s">
        <v>297</v>
      </c>
      <c r="N105" s="228"/>
      <c r="O105" s="262"/>
      <c r="P105" s="215"/>
    </row>
    <row r="106" spans="1:16" ht="12.75" customHeight="1" x14ac:dyDescent="0.2">
      <c r="A106" s="172"/>
      <c r="D106" s="172"/>
      <c r="G106" s="183"/>
      <c r="I106" s="612"/>
      <c r="J106" s="641"/>
      <c r="O106" s="19"/>
      <c r="P106" s="11"/>
    </row>
    <row r="107" spans="1:16" s="413" customFormat="1" ht="12.75" customHeight="1" x14ac:dyDescent="0.2">
      <c r="A107" s="631" t="s">
        <v>1162</v>
      </c>
      <c r="G107" s="631" t="s">
        <v>263</v>
      </c>
      <c r="H107" s="631" t="s">
        <v>279</v>
      </c>
      <c r="I107" s="647" t="s">
        <v>264</v>
      </c>
      <c r="J107" s="498" t="s">
        <v>280</v>
      </c>
      <c r="K107" s="648" t="s">
        <v>265</v>
      </c>
      <c r="L107" s="649" t="s">
        <v>266</v>
      </c>
      <c r="N107" s="631" t="s">
        <v>267</v>
      </c>
      <c r="O107" s="209"/>
    </row>
    <row r="108" spans="1:16" ht="12.75" customHeight="1" x14ac:dyDescent="0.2">
      <c r="I108" s="612"/>
      <c r="J108" s="641"/>
      <c r="O108" s="19"/>
      <c r="P108" s="11"/>
    </row>
    <row r="109" spans="1:16" ht="12.75" customHeight="1" x14ac:dyDescent="0.2">
      <c r="A109" s="216" t="s">
        <v>1163</v>
      </c>
      <c r="B109" s="228"/>
      <c r="C109" s="228"/>
      <c r="D109" s="228"/>
      <c r="E109" s="228"/>
      <c r="F109" s="228"/>
      <c r="G109" s="216" t="s">
        <v>1164</v>
      </c>
      <c r="H109" s="216" t="s">
        <v>624</v>
      </c>
      <c r="I109" s="570"/>
      <c r="J109" s="294" t="str">
        <f>IF(ISBLANK(HLOOKUP(CaseName,CaseData,MATCH($G109,cases!$G$4:$G$2458,0),FALSE)),"",HLOOKUP(CaseName,CaseData,MATCH($G109,cases!$G$4:$G$2458,0),FALSE))</f>
        <v/>
      </c>
      <c r="K109" s="406">
        <f>(L121+L132/L23)*L17</f>
        <v>1.7089774649089481E-8</v>
      </c>
      <c r="L109" s="298">
        <f t="shared" ref="L109:L124" si="5">IF(ISBLANK(I109),IF(ISNUMBER(J109)=FALSE,K109,J109),I109)</f>
        <v>1.7089774649089481E-8</v>
      </c>
      <c r="M109" s="228" t="s">
        <v>1048</v>
      </c>
      <c r="N109" s="384"/>
      <c r="O109" s="262"/>
      <c r="P109" s="215"/>
    </row>
    <row r="110" spans="1:16" ht="12.75" customHeight="1" x14ac:dyDescent="0.2">
      <c r="A110" s="216" t="s">
        <v>1165</v>
      </c>
      <c r="B110" s="228"/>
      <c r="C110" s="228"/>
      <c r="D110" s="228"/>
      <c r="E110" s="228"/>
      <c r="F110" s="228"/>
      <c r="G110" s="216" t="s">
        <v>1166</v>
      </c>
      <c r="H110" s="216" t="s">
        <v>624</v>
      </c>
      <c r="I110" s="570"/>
      <c r="J110" s="294" t="str">
        <f>IF(ISBLANK(HLOOKUP(CaseName,CaseData,MATCH($G110,cases!$G$4:$G$2458,0),FALSE)),"",HLOOKUP(CaseName,CaseData,MATCH($G110,cases!$G$4:$G$2458,0),FALSE))</f>
        <v/>
      </c>
      <c r="K110" s="406">
        <f>(L121+L132/L23)*L18</f>
        <v>1.8798752113998428E-7</v>
      </c>
      <c r="L110" s="298">
        <f t="shared" si="5"/>
        <v>1.8798752113998428E-7</v>
      </c>
      <c r="M110" s="228" t="s">
        <v>1048</v>
      </c>
      <c r="N110" s="384"/>
      <c r="O110" s="262"/>
      <c r="P110" s="215"/>
    </row>
    <row r="111" spans="1:16" ht="12.75" customHeight="1" x14ac:dyDescent="0.2">
      <c r="A111" s="216" t="s">
        <v>1167</v>
      </c>
      <c r="B111" s="228"/>
      <c r="C111" s="228"/>
      <c r="D111" s="228"/>
      <c r="E111" s="228"/>
      <c r="F111" s="228"/>
      <c r="G111" s="216" t="s">
        <v>1168</v>
      </c>
      <c r="H111" s="216" t="s">
        <v>624</v>
      </c>
      <c r="I111" s="570"/>
      <c r="J111" s="294" t="str">
        <f>IF(ISBLANK(HLOOKUP(CaseName,CaseData,MATCH($G111,cases!$G$4:$G$2458,0),FALSE)),"",HLOOKUP(CaseName,CaseData,MATCH($G111,cases!$G$4:$G$2458,0),FALSE))</f>
        <v/>
      </c>
      <c r="K111" s="407">
        <f>(L121+L132/L23)*L22</f>
        <v>2.99072925564851E-8</v>
      </c>
      <c r="L111" s="298">
        <f t="shared" si="5"/>
        <v>2.99072925564851E-8</v>
      </c>
      <c r="M111" s="228" t="s">
        <v>1048</v>
      </c>
      <c r="N111" s="384"/>
      <c r="O111" s="262"/>
      <c r="P111" s="215"/>
    </row>
    <row r="112" spans="1:16" ht="12.75" customHeight="1" x14ac:dyDescent="0.2">
      <c r="A112" s="216" t="s">
        <v>1169</v>
      </c>
      <c r="B112" s="228"/>
      <c r="C112" s="228"/>
      <c r="D112" s="228"/>
      <c r="E112" s="228"/>
      <c r="F112" s="228"/>
      <c r="G112" s="216" t="s">
        <v>1170</v>
      </c>
      <c r="H112" s="216" t="s">
        <v>624</v>
      </c>
      <c r="I112" s="570"/>
      <c r="J112" s="294" t="str">
        <f>IF(ISBLANK(HLOOKUP(CaseName,CaseData,MATCH($G112,cases!$G$4:$G$2458,0),FALSE)),"",HLOOKUP(CaseName,CaseData,MATCH($G112,cases!$G$4:$G$2458,0),FALSE))</f>
        <v/>
      </c>
      <c r="K112" s="407">
        <f>(L121+L133/L23)*L19</f>
        <v>1.8456956621010431E-6</v>
      </c>
      <c r="L112" s="298">
        <f t="shared" si="5"/>
        <v>1.8456956621010431E-6</v>
      </c>
      <c r="M112" s="228" t="s">
        <v>1048</v>
      </c>
      <c r="N112" s="384"/>
      <c r="O112" s="262"/>
      <c r="P112" s="215"/>
    </row>
    <row r="113" spans="1:16" ht="12.75" customHeight="1" x14ac:dyDescent="0.2">
      <c r="A113" s="216" t="s">
        <v>1171</v>
      </c>
      <c r="B113" s="228"/>
      <c r="C113" s="228"/>
      <c r="D113" s="228"/>
      <c r="E113" s="228"/>
      <c r="F113" s="228"/>
      <c r="G113" s="216" t="s">
        <v>1172</v>
      </c>
      <c r="H113" s="216" t="s">
        <v>624</v>
      </c>
      <c r="I113" s="570"/>
      <c r="J113" s="294" t="str">
        <f>IF(ISBLANK(HLOOKUP(CaseName,CaseData,MATCH($G113,cases!$G$4:$G$2458,0),FALSE)),"",HLOOKUP(CaseName,CaseData,MATCH($G113,cases!$G$4:$G$2458,0),FALSE))</f>
        <v/>
      </c>
      <c r="K113" s="406">
        <f>(L121+L133/L23)*L20</f>
        <v>4.1015459157800947E-6</v>
      </c>
      <c r="L113" s="298">
        <f t="shared" si="5"/>
        <v>4.1015459157800947E-6</v>
      </c>
      <c r="M113" s="228" t="s">
        <v>1048</v>
      </c>
      <c r="N113" s="384"/>
      <c r="O113" s="262"/>
      <c r="P113" s="215"/>
    </row>
    <row r="114" spans="1:16" ht="12.75" customHeight="1" x14ac:dyDescent="0.2">
      <c r="A114" s="216" t="s">
        <v>1173</v>
      </c>
      <c r="B114" s="228"/>
      <c r="C114" s="228"/>
      <c r="D114" s="228"/>
      <c r="E114" s="228"/>
      <c r="F114" s="228"/>
      <c r="G114" s="216" t="s">
        <v>1174</v>
      </c>
      <c r="H114" s="216" t="s">
        <v>624</v>
      </c>
      <c r="I114" s="570"/>
      <c r="J114" s="294" t="str">
        <f>IF(ISBLANK(HLOOKUP(CaseName,CaseData,MATCH($G114,cases!$G$4:$G$2458,0),FALSE)),"",HLOOKUP(CaseName,CaseData,MATCH($G114,cases!$G$4:$G$2458,0),FALSE))</f>
        <v/>
      </c>
      <c r="K114" s="406">
        <f>(L121+L133/L23)*L21</f>
        <v>6.8359098596334912E-7</v>
      </c>
      <c r="L114" s="298">
        <f t="shared" si="5"/>
        <v>6.8359098596334912E-7</v>
      </c>
      <c r="M114" s="228" t="s">
        <v>1048</v>
      </c>
      <c r="N114" s="384"/>
      <c r="O114" s="262"/>
      <c r="P114" s="215"/>
    </row>
    <row r="115" spans="1:16" ht="12.75" customHeight="1" x14ac:dyDescent="0.2">
      <c r="A115" s="216" t="s">
        <v>1175</v>
      </c>
      <c r="B115" s="228"/>
      <c r="C115" s="228"/>
      <c r="D115" s="228"/>
      <c r="E115" s="228"/>
      <c r="F115" s="228"/>
      <c r="G115" s="216" t="s">
        <v>1176</v>
      </c>
      <c r="H115" s="216" t="s">
        <v>624</v>
      </c>
      <c r="I115" s="570"/>
      <c r="J115" s="294" t="str">
        <f>IF(ISBLANK(HLOOKUP(CaseName,CaseData,MATCH($G115,cases!$G$4:$G$2458,0),FALSE)),"",HLOOKUP(CaseName,CaseData,MATCH($G115,cases!$G$4:$G$2458,0),FALSE))</f>
        <v/>
      </c>
      <c r="K115" s="406">
        <f>L134/L24</f>
        <v>7.3594070844008963E-28</v>
      </c>
      <c r="L115" s="298">
        <f t="shared" si="5"/>
        <v>7.3594070844008963E-28</v>
      </c>
      <c r="M115" s="228" t="s">
        <v>1048</v>
      </c>
      <c r="N115" s="384"/>
      <c r="O115" s="262"/>
      <c r="P115" s="215"/>
    </row>
    <row r="116" spans="1:16" ht="12.75" customHeight="1" x14ac:dyDescent="0.2">
      <c r="A116" s="216" t="s">
        <v>1177</v>
      </c>
      <c r="B116" s="228"/>
      <c r="C116" s="228"/>
      <c r="D116" s="228"/>
      <c r="E116" s="228"/>
      <c r="F116" s="228"/>
      <c r="G116" s="216" t="s">
        <v>1178</v>
      </c>
      <c r="H116" s="216" t="s">
        <v>624</v>
      </c>
      <c r="I116" s="570"/>
      <c r="J116" s="294" t="str">
        <f>IF(ISBLANK(HLOOKUP(CaseName,CaseData,MATCH($G116,cases!$G$4:$G$2458,0),FALSE)),"",HLOOKUP(CaseName,CaseData,MATCH($G116,cases!$G$4:$G$2458,0),FALSE))</f>
        <v/>
      </c>
      <c r="K116" s="406">
        <f>L135/L25</f>
        <v>2.4495847556581632E-26</v>
      </c>
      <c r="L116" s="298">
        <f t="shared" si="5"/>
        <v>2.4495847556581632E-26</v>
      </c>
      <c r="M116" s="228" t="s">
        <v>1048</v>
      </c>
      <c r="N116" s="384"/>
      <c r="O116" s="262"/>
      <c r="P116" s="215"/>
    </row>
    <row r="117" spans="1:16" ht="12.75" customHeight="1" x14ac:dyDescent="0.2">
      <c r="A117" s="216" t="s">
        <v>1179</v>
      </c>
      <c r="B117" s="228"/>
      <c r="C117" s="228"/>
      <c r="D117" s="228"/>
      <c r="E117" s="228"/>
      <c r="F117" s="228"/>
      <c r="G117" s="216" t="s">
        <v>1180</v>
      </c>
      <c r="H117" s="216" t="s">
        <v>624</v>
      </c>
      <c r="I117" s="570"/>
      <c r="J117" s="294" t="str">
        <f>IF(ISBLANK(HLOOKUP(CaseName,CaseData,MATCH($G117,cases!$G$4:$G$2458,0),FALSE)),"",HLOOKUP(CaseName,CaseData,MATCH($G117,cases!$G$4:$G$2458,0),FALSE))</f>
        <v/>
      </c>
      <c r="K117" s="406">
        <f>L136/L26</f>
        <v>7.3560977339452445E-27</v>
      </c>
      <c r="L117" s="298">
        <f t="shared" si="5"/>
        <v>7.3560977339452445E-27</v>
      </c>
      <c r="M117" s="228" t="s">
        <v>1048</v>
      </c>
      <c r="N117" s="384"/>
      <c r="O117" s="262"/>
      <c r="P117" s="215"/>
    </row>
    <row r="118" spans="1:16" ht="12.75" customHeight="1" x14ac:dyDescent="0.2">
      <c r="A118" s="216" t="s">
        <v>1181</v>
      </c>
      <c r="B118" s="228"/>
      <c r="C118" s="228"/>
      <c r="D118" s="228"/>
      <c r="E118" s="228"/>
      <c r="F118" s="228"/>
      <c r="G118" s="216" t="s">
        <v>1182</v>
      </c>
      <c r="H118" s="216" t="s">
        <v>624</v>
      </c>
      <c r="I118" s="570"/>
      <c r="J118" s="294" t="str">
        <f>IF(ISBLANK(HLOOKUP(CaseName,CaseData,MATCH($G118,cases!$G$4:$G$2458,0),FALSE)),"",HLOOKUP(CaseName,CaseData,MATCH($G118,cases!$G$4:$G$2458,0),FALSE))</f>
        <v/>
      </c>
      <c r="K118" s="407">
        <f>L139/L30</f>
        <v>9.9730623667322376E-27</v>
      </c>
      <c r="L118" s="298">
        <f t="shared" si="5"/>
        <v>9.9730623667322376E-27</v>
      </c>
      <c r="M118" s="228" t="s">
        <v>1048</v>
      </c>
      <c r="N118" s="384"/>
      <c r="O118" s="262"/>
      <c r="P118" s="215"/>
    </row>
    <row r="119" spans="1:16" ht="12.75" customHeight="1" x14ac:dyDescent="0.2">
      <c r="A119" s="216" t="s">
        <v>1183</v>
      </c>
      <c r="B119" s="228"/>
      <c r="C119" s="228"/>
      <c r="D119" s="228"/>
      <c r="E119" s="228"/>
      <c r="F119" s="228"/>
      <c r="G119" s="216" t="s">
        <v>1184</v>
      </c>
      <c r="H119" s="216" t="s">
        <v>624</v>
      </c>
      <c r="I119" s="570"/>
      <c r="J119" s="294" t="str">
        <f>IF(ISBLANK(HLOOKUP(CaseName,CaseData,MATCH($G119,cases!$G$4:$G$2458,0),FALSE)),"",HLOOKUP(CaseName,CaseData,MATCH($G119,cases!$G$4:$G$2458,0),FALSE))</f>
        <v/>
      </c>
      <c r="K119" s="407">
        <f>L140/L31</f>
        <v>4.5382842551637416E-27</v>
      </c>
      <c r="L119" s="298">
        <f t="shared" si="5"/>
        <v>4.5382842551637416E-27</v>
      </c>
      <c r="M119" s="228" t="s">
        <v>1048</v>
      </c>
      <c r="N119" s="384"/>
      <c r="O119" s="262"/>
      <c r="P119" s="215"/>
    </row>
    <row r="120" spans="1:16" ht="12.75" customHeight="1" x14ac:dyDescent="0.2">
      <c r="A120" s="216" t="s">
        <v>1185</v>
      </c>
      <c r="B120" s="228"/>
      <c r="C120" s="228"/>
      <c r="D120" s="228"/>
      <c r="E120" s="228"/>
      <c r="F120" s="228"/>
      <c r="G120" s="216" t="s">
        <v>1186</v>
      </c>
      <c r="H120" s="216" t="s">
        <v>624</v>
      </c>
      <c r="I120" s="570"/>
      <c r="J120" s="294" t="str">
        <f>IF(ISBLANK(HLOOKUP(CaseName,CaseData,MATCH($G120,cases!$G$4:$G$2458,0),FALSE)),"",HLOOKUP(CaseName,CaseData,MATCH($G120,cases!$G$4:$G$2458,0),FALSE))</f>
        <v/>
      </c>
      <c r="K120" s="407">
        <f>L141/L32</f>
        <v>9.9730623667322376E-27</v>
      </c>
      <c r="L120" s="298">
        <f t="shared" si="5"/>
        <v>9.9730623667322376E-27</v>
      </c>
      <c r="M120" s="228" t="s">
        <v>1048</v>
      </c>
      <c r="N120" s="384"/>
      <c r="O120" s="262"/>
      <c r="P120" s="215"/>
    </row>
    <row r="121" spans="1:16" ht="12.75" customHeight="1" x14ac:dyDescent="0.2">
      <c r="A121" s="216"/>
      <c r="B121" s="216" t="s">
        <v>1187</v>
      </c>
      <c r="C121" s="228"/>
      <c r="D121" s="228"/>
      <c r="E121" s="228"/>
      <c r="F121" s="228"/>
      <c r="G121" s="642" t="s">
        <v>1188</v>
      </c>
      <c r="H121" s="216" t="s">
        <v>624</v>
      </c>
      <c r="I121" s="570"/>
      <c r="J121" s="294" t="str">
        <f>IF(ISBLANK(HLOOKUP(CaseName,CaseData,MATCH($G121,cases!$G$4:$G$2458,0),FALSE)),"",HLOOKUP(CaseName,CaseData,MATCH($G121,cases!$G$4:$G$2458,0),FALSE))</f>
        <v/>
      </c>
      <c r="K121" s="406">
        <f>L122-SUM((L132*(L17+L18+L22)+L133*(L19+L20+L21))/L23,L202,L48)</f>
        <v>6.8658171521895227E-6</v>
      </c>
      <c r="L121" s="298">
        <f t="shared" si="5"/>
        <v>6.8658171521895227E-6</v>
      </c>
      <c r="M121" s="228"/>
      <c r="N121" s="384"/>
      <c r="O121" s="262"/>
      <c r="P121" s="215"/>
    </row>
    <row r="122" spans="1:16" ht="12.75" customHeight="1" x14ac:dyDescent="0.2">
      <c r="A122" s="216"/>
      <c r="B122" s="216"/>
      <c r="C122" s="228" t="s">
        <v>1189</v>
      </c>
      <c r="D122" s="228"/>
      <c r="E122" s="228"/>
      <c r="F122" s="228"/>
      <c r="G122" s="642" t="s">
        <v>1190</v>
      </c>
      <c r="H122" s="216" t="s">
        <v>624</v>
      </c>
      <c r="I122" s="570"/>
      <c r="J122" s="294" t="str">
        <f>IF(ISBLANK(HLOOKUP(CaseName,CaseData,MATCH($G122,cases!$G$4:$G$2458,0),FALSE)),"",HLOOKUP(CaseName,CaseData,MATCH($G122,cases!$G$4:$G$2458,0),FALSE))</f>
        <v/>
      </c>
      <c r="K122" s="406">
        <f>((1/L123)*L125/(L125+L126)+(1/L124)*L126/(L125+L126)-((1/L124-1/L123)^2/(L125+L126))*(1-EXP(-L123*L125))*(1-EXP(-L124*L126))/(1-EXP(-L123*L125-L124*L126)))^-1</f>
        <v>1.6285959891839182E-5</v>
      </c>
      <c r="L122" s="298">
        <f t="shared" si="5"/>
        <v>1.6285959891839182E-5</v>
      </c>
      <c r="M122" s="228"/>
      <c r="N122" s="384"/>
      <c r="O122" s="262"/>
      <c r="P122" s="215"/>
    </row>
    <row r="123" spans="1:16" ht="12.75" customHeight="1" x14ac:dyDescent="0.2">
      <c r="A123" s="216"/>
      <c r="B123" s="216"/>
      <c r="C123" s="216"/>
      <c r="D123" s="216" t="s">
        <v>1191</v>
      </c>
      <c r="E123" s="228"/>
      <c r="F123" s="228"/>
      <c r="G123" s="216" t="s">
        <v>1192</v>
      </c>
      <c r="H123" s="216" t="s">
        <v>624</v>
      </c>
      <c r="I123" s="573"/>
      <c r="J123" s="294" t="str">
        <f>IF(ISBLANK(HLOOKUP(CaseName,CaseData,MATCH($G123,cases!$G$4:$G$2458,0),FALSE)),"",HLOOKUP(CaseName,CaseData,MATCH($G123,cases!$G$4:$G$2458,0),FALSE))</f>
        <v/>
      </c>
      <c r="K123" s="407">
        <f>L127/L23  + SUM((L132*(L17+L18+L22)+L133*(L19+L20+L21))/L23,L202,L48)</f>
        <v>1.0420142739649236E-5</v>
      </c>
      <c r="L123" s="298">
        <f t="shared" si="5"/>
        <v>1.0420142739649236E-5</v>
      </c>
      <c r="M123" s="228" t="s">
        <v>1048</v>
      </c>
      <c r="N123" s="228"/>
      <c r="O123" s="262"/>
      <c r="P123" s="215"/>
    </row>
    <row r="124" spans="1:16" ht="12.75" customHeight="1" x14ac:dyDescent="0.2">
      <c r="A124" s="216"/>
      <c r="B124" s="216"/>
      <c r="C124" s="216"/>
      <c r="D124" s="216" t="s">
        <v>1193</v>
      </c>
      <c r="E124" s="228"/>
      <c r="F124" s="228"/>
      <c r="G124" s="216" t="s">
        <v>1194</v>
      </c>
      <c r="H124" s="216" t="s">
        <v>624</v>
      </c>
      <c r="I124" s="573"/>
      <c r="J124" s="294" t="str">
        <f>IF(ISBLANK(HLOOKUP(CaseName,CaseData,MATCH($G124,cases!$G$4:$G$2458,0),FALSE)),"",HLOOKUP(CaseName,CaseData,MATCH($G124,cases!$G$4:$G$2458,0),FALSE))</f>
        <v/>
      </c>
      <c r="K124" s="407">
        <f>(L128+L129)/L23+SUM((L132*(L17+L18+L22)+L133*(L19+L20+L21))/L23,L202,L48)</f>
        <v>13.844441892401528</v>
      </c>
      <c r="L124" s="298">
        <f t="shared" si="5"/>
        <v>13.844441892401528</v>
      </c>
      <c r="M124" s="228" t="s">
        <v>1048</v>
      </c>
      <c r="N124" s="228"/>
      <c r="O124" s="262"/>
      <c r="P124" s="215"/>
    </row>
    <row r="125" spans="1:16" ht="12.75" customHeight="1" x14ac:dyDescent="0.2">
      <c r="A125" s="216"/>
      <c r="B125" s="216"/>
      <c r="C125" s="228"/>
      <c r="D125" s="228" t="s">
        <v>1195</v>
      </c>
      <c r="E125" s="228"/>
      <c r="F125" s="228"/>
      <c r="G125" s="228" t="s">
        <v>1196</v>
      </c>
      <c r="H125" s="228" t="s">
        <v>1197</v>
      </c>
      <c r="I125" s="573"/>
      <c r="J125" s="294" t="str">
        <f>IF(ISBLANK(HLOOKUP(CaseName,CaseData,MATCH($G125,cases!$G$4:$G$2458,0),FALSE)),"",HLOOKUP(CaseName,CaseData,MATCH($G125,cases!$G$4:$G$2458,0),FALSE))</f>
        <v/>
      </c>
      <c r="K125" s="752">
        <f>3.3*24</f>
        <v>79.199999999999989</v>
      </c>
      <c r="L125" s="298">
        <f>IF(ISBLANK(I125),IF(ISNUMBER(J125)=FALSE,K125*3600,J125*3600),I125*3600)</f>
        <v>285119.99999999994</v>
      </c>
      <c r="M125" s="228" t="s">
        <v>1052</v>
      </c>
      <c r="N125" s="228"/>
      <c r="O125" s="262"/>
      <c r="P125" s="215"/>
    </row>
    <row r="126" spans="1:16" ht="12.75" customHeight="1" x14ac:dyDescent="0.2">
      <c r="A126" s="216"/>
      <c r="B126" s="216"/>
      <c r="C126" s="228"/>
      <c r="D126" s="228" t="s">
        <v>1198</v>
      </c>
      <c r="E126" s="228"/>
      <c r="F126" s="228"/>
      <c r="G126" s="228" t="s">
        <v>1199</v>
      </c>
      <c r="H126" s="228" t="s">
        <v>1197</v>
      </c>
      <c r="I126" s="573"/>
      <c r="J126" s="294" t="str">
        <f>IF(ISBLANK(HLOOKUP(CaseName,CaseData,MATCH($G126,cases!$G$4:$G$2458,0),FALSE)),"",HLOOKUP(CaseName,CaseData,MATCH($G126,cases!$G$4:$G$2458,0),FALSE))</f>
        <v/>
      </c>
      <c r="K126" s="752">
        <f>3.3*24*(0.06/(1-0.06))</f>
        <v>5.0553191489361691</v>
      </c>
      <c r="L126" s="298">
        <f>IF(ISBLANK(I126),IF(ISNUMBER(J126)=FALSE,K126*3600,J126*3600),I126*3600)</f>
        <v>18199.148936170208</v>
      </c>
      <c r="M126" s="228" t="s">
        <v>1052</v>
      </c>
      <c r="N126" s="228"/>
      <c r="O126" s="262"/>
      <c r="P126" s="215"/>
    </row>
    <row r="127" spans="1:16" ht="12.75" customHeight="1" x14ac:dyDescent="0.2">
      <c r="A127" s="216"/>
      <c r="B127" s="216"/>
      <c r="C127" s="216" t="s">
        <v>1200</v>
      </c>
      <c r="D127" s="228"/>
      <c r="E127" s="228"/>
      <c r="F127" s="228"/>
      <c r="G127" s="579" t="s">
        <v>1201</v>
      </c>
      <c r="H127" s="579" t="s">
        <v>1202</v>
      </c>
      <c r="I127" s="573"/>
      <c r="J127" s="294" t="str">
        <f>IF(ISBLANK(HLOOKUP(CaseName,CaseData,MATCH($G127,cases!$G$4:$G$2458,0),FALSE)),"",HLOOKUP(CaseName,CaseData,MATCH($G127,cases!$G$4:$G$2458,0),FALSE))</f>
        <v/>
      </c>
      <c r="K127" s="407">
        <f>L130*(L65+L66)</f>
        <v>9.9999999999957675E-4</v>
      </c>
      <c r="L127" s="298">
        <f>IF(ISBLANK(I130),IF(ISNUMBER(J127)=FALSE,K127,J127),I130)</f>
        <v>9.9999999999957675E-4</v>
      </c>
      <c r="M127" s="228" t="s">
        <v>697</v>
      </c>
      <c r="N127" s="228"/>
      <c r="O127" s="262"/>
      <c r="P127" s="215"/>
    </row>
    <row r="128" spans="1:16" ht="12.75" customHeight="1" x14ac:dyDescent="0.2">
      <c r="A128" s="216"/>
      <c r="B128" s="216"/>
      <c r="C128" s="216" t="s">
        <v>1203</v>
      </c>
      <c r="D128" s="228"/>
      <c r="E128" s="228"/>
      <c r="F128" s="228"/>
      <c r="G128" s="216" t="s">
        <v>1204</v>
      </c>
      <c r="H128" s="579" t="s">
        <v>1202</v>
      </c>
      <c r="I128" s="573"/>
      <c r="J128" s="294" t="str">
        <f>IF(ISBLANK(HLOOKUP(CaseName,CaseData,MATCH($G128,cases!$G$4:$G$2458,0),FALSE)),"",HLOOKUP(CaseName,CaseData,MATCH($G128,cases!$G$4:$G$2458,0),FALSE))</f>
        <v/>
      </c>
      <c r="K128" s="407">
        <f>L66*(L125+L126)/L126*L131*RAINrate.R</f>
        <v>1.8605026301177423E-2</v>
      </c>
      <c r="L128" s="298">
        <f t="shared" ref="L128:L146" si="6">IF(ISBLANK(I128),IF(ISNUMBER(J128)=FALSE,K128,J128),I128)</f>
        <v>1.8605026301177423E-2</v>
      </c>
      <c r="M128" s="228" t="s">
        <v>697</v>
      </c>
      <c r="N128" s="228"/>
      <c r="O128" s="262"/>
      <c r="P128" s="215"/>
    </row>
    <row r="129" spans="1:16" ht="12.75" customHeight="1" x14ac:dyDescent="0.2">
      <c r="A129" s="216"/>
      <c r="B129" s="216"/>
      <c r="C129" s="216" t="s">
        <v>1205</v>
      </c>
      <c r="D129" s="228"/>
      <c r="E129" s="228"/>
      <c r="F129" s="228"/>
      <c r="G129" s="216" t="s">
        <v>1206</v>
      </c>
      <c r="H129" s="579" t="s">
        <v>1202</v>
      </c>
      <c r="I129" s="574"/>
      <c r="J129" s="294" t="str">
        <f>IF(ISBLANK(HLOOKUP(CaseName,CaseData,MATCH($G129,cases!$G$4:$G$2458,0),FALSE)),"",HLOOKUP(CaseName,CaseData,MATCH($G129,cases!$G$4:$G$2458,0),FALSE))</f>
        <v/>
      </c>
      <c r="K129" s="407">
        <f>L64*(L125+L126)/L126*RAINrate.R/(L67*FRorig.aerw)</f>
        <v>13844.413867232486</v>
      </c>
      <c r="L129" s="298">
        <f t="shared" si="6"/>
        <v>13844.413867232486</v>
      </c>
      <c r="M129" s="228" t="s">
        <v>697</v>
      </c>
      <c r="N129" s="228"/>
      <c r="O129" s="262"/>
      <c r="P129" s="215"/>
    </row>
    <row r="130" spans="1:16" ht="12.75" customHeight="1" x14ac:dyDescent="0.2">
      <c r="A130" s="216"/>
      <c r="B130" s="216"/>
      <c r="C130" s="228"/>
      <c r="D130" s="579" t="s">
        <v>1207</v>
      </c>
      <c r="E130" s="579"/>
      <c r="F130" s="579"/>
      <c r="G130" s="579" t="s">
        <v>1208</v>
      </c>
      <c r="H130" s="579" t="s">
        <v>1202</v>
      </c>
      <c r="I130" s="574"/>
      <c r="J130" s="294" t="str">
        <f>IF(ISBLANK(HLOOKUP(CaseName,CaseData,MATCH($G130,cases!$G$4:$G$2458,0),FALSE)),"",HLOOKUP(CaseName,CaseData,MATCH($G130,cases!$G$4:$G$2458,0),FALSE))</f>
        <v/>
      </c>
      <c r="K130" s="752">
        <v>1E-3</v>
      </c>
      <c r="L130" s="298">
        <f t="shared" si="6"/>
        <v>1E-3</v>
      </c>
      <c r="M130" s="228" t="s">
        <v>697</v>
      </c>
      <c r="N130" s="384"/>
      <c r="O130" s="262"/>
      <c r="P130" s="215"/>
    </row>
    <row r="131" spans="1:16" ht="12.75" customHeight="1" x14ac:dyDescent="0.2">
      <c r="A131" s="216"/>
      <c r="B131" s="216"/>
      <c r="C131" s="228"/>
      <c r="D131" s="216" t="s">
        <v>1209</v>
      </c>
      <c r="E131" s="228"/>
      <c r="F131" s="228"/>
      <c r="G131" s="579" t="s">
        <v>1210</v>
      </c>
      <c r="H131" s="216" t="s">
        <v>296</v>
      </c>
      <c r="I131" s="574"/>
      <c r="J131" s="294" t="str">
        <f>IF(ISBLANK(HLOOKUP(CaseName,CaseData,MATCH($G131,cases!$G$4:$G$2458,0),FALSE)),"",HLOOKUP(CaseName,CaseData,MATCH($G131,cases!$G$4:$G$2458,0),FALSE))</f>
        <v/>
      </c>
      <c r="K131" s="407">
        <v>200000</v>
      </c>
      <c r="L131" s="298">
        <f t="shared" si="6"/>
        <v>200000</v>
      </c>
      <c r="M131" s="216" t="s">
        <v>297</v>
      </c>
      <c r="N131" s="228"/>
      <c r="O131" s="262"/>
      <c r="P131" s="215"/>
    </row>
    <row r="132" spans="1:16" ht="12.75" customHeight="1" x14ac:dyDescent="0.2">
      <c r="A132" s="216"/>
      <c r="B132" s="216"/>
      <c r="C132" s="216" t="s">
        <v>1211</v>
      </c>
      <c r="D132" s="216"/>
      <c r="E132" s="228"/>
      <c r="F132" s="228"/>
      <c r="G132" s="642" t="s">
        <v>1212</v>
      </c>
      <c r="H132" s="216" t="s">
        <v>1202</v>
      </c>
      <c r="I132" s="574"/>
      <c r="J132" s="294" t="str">
        <f>IF(ISBLANK(HLOOKUP(CaseName,CaseData,MATCH($G132,cases!$G$4:$G$2458,0),FALSE)),"",HLOOKUP(CaseName,CaseData,MATCH($G132,cases!$G$4:$G$2458,0),FALSE))</f>
        <v/>
      </c>
      <c r="K132" s="407">
        <f>L64*(L137*L138/(L137*(L67*FRorig.w1)+L138))</f>
        <v>2.7548278268381724E-15</v>
      </c>
      <c r="L132" s="298">
        <f t="shared" si="6"/>
        <v>2.7548278268381724E-15</v>
      </c>
      <c r="M132" s="216"/>
      <c r="N132" s="228"/>
      <c r="O132" s="262"/>
      <c r="P132" s="215"/>
    </row>
    <row r="133" spans="1:16" ht="12.75" customHeight="1" x14ac:dyDescent="0.2">
      <c r="A133" s="216"/>
      <c r="B133" s="216"/>
      <c r="C133" s="216" t="s">
        <v>1213</v>
      </c>
      <c r="D133" s="216"/>
      <c r="E133" s="228"/>
      <c r="F133" s="228"/>
      <c r="G133" s="642" t="s">
        <v>1214</v>
      </c>
      <c r="H133" s="216" t="s">
        <v>1202</v>
      </c>
      <c r="I133" s="574"/>
      <c r="J133" s="294" t="str">
        <f>IF(ISBLANK(HLOOKUP(CaseName,CaseData,MATCH($G133,cases!$G$4:$G$2458,0),FALSE)),"",HLOOKUP(CaseName,CaseData,MATCH($G133,cases!$G$4:$G$2458,0),FALSE))</f>
        <v/>
      </c>
      <c r="K133" s="407">
        <f>L64*(L142*L143)/(L142*((L67*FRorig.s1w)/L91)+L143)</f>
        <v>4.4348686949202964E-16</v>
      </c>
      <c r="L133" s="298">
        <f t="shared" si="6"/>
        <v>4.4348686949202964E-16</v>
      </c>
      <c r="M133" s="216"/>
      <c r="N133" s="228"/>
      <c r="O133" s="262"/>
      <c r="P133" s="215"/>
    </row>
    <row r="134" spans="1:16" ht="12.75" customHeight="1" x14ac:dyDescent="0.2">
      <c r="A134" s="216"/>
      <c r="B134" s="216"/>
      <c r="C134" s="216" t="s">
        <v>1215</v>
      </c>
      <c r="D134" s="216"/>
      <c r="E134" s="228"/>
      <c r="F134" s="228"/>
      <c r="G134" s="642" t="s">
        <v>1216</v>
      </c>
      <c r="H134" s="216" t="s">
        <v>1202</v>
      </c>
      <c r="I134" s="574"/>
      <c r="J134" s="294" t="str">
        <f>IF(ISBLANK(HLOOKUP(CaseName,CaseData,MATCH($G134,cases!$G$4:$G$2458,0),FALSE)),"",HLOOKUP(CaseName,CaseData,MATCH($G134,cases!$G$4:$G$2458,0),FALSE))</f>
        <v/>
      </c>
      <c r="K134" s="407">
        <f>(L137*L138/(L137*(L67*FRorig.w1)+L138))*(L67*FRorig.w1)*L70</f>
        <v>7.3594070844008964E-26</v>
      </c>
      <c r="L134" s="298">
        <f t="shared" si="6"/>
        <v>7.3594070844008964E-26</v>
      </c>
      <c r="M134" s="216" t="s">
        <v>1217</v>
      </c>
      <c r="N134" s="228"/>
      <c r="O134" s="262"/>
      <c r="P134" s="215"/>
    </row>
    <row r="135" spans="1:16" ht="12.75" customHeight="1" x14ac:dyDescent="0.2">
      <c r="A135" s="216"/>
      <c r="B135" s="216"/>
      <c r="C135" s="216" t="s">
        <v>1218</v>
      </c>
      <c r="D135" s="216"/>
      <c r="E135" s="228"/>
      <c r="F135" s="228"/>
      <c r="G135" s="642" t="s">
        <v>1219</v>
      </c>
      <c r="H135" s="216" t="s">
        <v>1202</v>
      </c>
      <c r="I135" s="574"/>
      <c r="J135" s="294" t="str">
        <f>IF(ISBLANK(HLOOKUP(CaseName,CaseData,MATCH($G135,cases!$G$4:$G$2458,0),FALSE)),"",HLOOKUP(CaseName,CaseData,MATCH($G135,cases!$G$4:$G$2458,0),FALSE))</f>
        <v/>
      </c>
      <c r="K135" s="407">
        <f>(L137*L138/(L137*(L67*FRorig.w1)+L138))*(L67*FRorig.w1)*L74</f>
        <v>7.3487542669744894E-26</v>
      </c>
      <c r="L135" s="298">
        <f t="shared" si="6"/>
        <v>7.3487542669744894E-26</v>
      </c>
      <c r="M135" s="216" t="s">
        <v>1217</v>
      </c>
      <c r="N135" s="228"/>
      <c r="O135" s="262"/>
      <c r="P135" s="215"/>
    </row>
    <row r="136" spans="1:16" ht="12.75" customHeight="1" x14ac:dyDescent="0.2">
      <c r="A136" s="216"/>
      <c r="B136" s="216"/>
      <c r="C136" s="216" t="s">
        <v>1220</v>
      </c>
      <c r="D136" s="216"/>
      <c r="E136" s="228"/>
      <c r="F136" s="228"/>
      <c r="G136" s="642" t="s">
        <v>1221</v>
      </c>
      <c r="H136" s="216" t="s">
        <v>1202</v>
      </c>
      <c r="I136" s="574"/>
      <c r="J136" s="294" t="str">
        <f>IF(ISBLANK(HLOOKUP(CaseName,CaseData,MATCH($G136,cases!$G$4:$G$2458,0),FALSE)),"",HLOOKUP(CaseName,CaseData,MATCH($G136,cases!$G$4:$G$2458,0),FALSE))</f>
        <v/>
      </c>
      <c r="K136" s="407">
        <f>(L137*L138/(L137*(L67*FRorig.w2)+L138))*(L67*FRorig.w2)*L78</f>
        <v>7.356097733945245E-26</v>
      </c>
      <c r="L136" s="298">
        <f t="shared" si="6"/>
        <v>7.356097733945245E-26</v>
      </c>
      <c r="M136" s="216" t="s">
        <v>1217</v>
      </c>
      <c r="N136" s="228"/>
      <c r="O136" s="262"/>
      <c r="P136" s="215"/>
    </row>
    <row r="137" spans="1:16" ht="12.75" customHeight="1" x14ac:dyDescent="0.2">
      <c r="A137" s="216"/>
      <c r="B137" s="216"/>
      <c r="C137" s="228"/>
      <c r="D137" s="228" t="s">
        <v>1222</v>
      </c>
      <c r="E137" s="579"/>
      <c r="F137" s="579"/>
      <c r="G137" s="228" t="s">
        <v>1223</v>
      </c>
      <c r="H137" s="579" t="s">
        <v>1202</v>
      </c>
      <c r="I137" s="574"/>
      <c r="J137" s="294" t="str">
        <f>IF(ISBLANK(HLOOKUP(CaseName,CaseData,MATCH($G137,cases!$G$4:$G$2458,0),FALSE)),"",HLOOKUP(CaseName,CaseData,MATCH($G137,cases!$G$4:$G$2458,0),FALSE))</f>
        <v/>
      </c>
      <c r="K137" s="407">
        <f>0.01*(0.3+0.2*WINDspeed.R)*((0.018/Molweight)^(0.67*0.5))</f>
        <v>6.508402137399746E-3</v>
      </c>
      <c r="L137" s="298">
        <f t="shared" si="6"/>
        <v>6.508402137399746E-3</v>
      </c>
      <c r="M137" s="228" t="s">
        <v>697</v>
      </c>
      <c r="N137" s="228"/>
      <c r="O137" s="262"/>
      <c r="P137" s="215"/>
    </row>
    <row r="138" spans="1:16" ht="12.75" customHeight="1" x14ac:dyDescent="0.2">
      <c r="A138" s="216"/>
      <c r="B138" s="216"/>
      <c r="C138" s="228"/>
      <c r="D138" s="228" t="s">
        <v>1224</v>
      </c>
      <c r="E138" s="579"/>
      <c r="F138" s="579"/>
      <c r="G138" s="228" t="s">
        <v>1225</v>
      </c>
      <c r="H138" s="579" t="s">
        <v>1202</v>
      </c>
      <c r="I138" s="574"/>
      <c r="J138" s="294" t="str">
        <f>IF(ISBLANK(HLOOKUP(CaseName,CaseData,MATCH($G138,cases!$G$4:$G$2458,0),FALSE)),"",HLOOKUP(CaseName,CaseData,MATCH($G138,cases!$G$4:$G$2458,0),FALSE))</f>
        <v/>
      </c>
      <c r="K138" s="407">
        <f>0.01*(0.0004+0.00004*WINDspeed.R^2)*((0.032/Molweight)^(0.5*0.5))</f>
        <v>6.8902045811906283E-6</v>
      </c>
      <c r="L138" s="298">
        <f t="shared" si="6"/>
        <v>6.8902045811906283E-6</v>
      </c>
      <c r="M138" s="228" t="s">
        <v>697</v>
      </c>
      <c r="N138" s="228"/>
      <c r="O138" s="262"/>
      <c r="P138" s="215"/>
    </row>
    <row r="139" spans="1:16" ht="12.75" customHeight="1" x14ac:dyDescent="0.2">
      <c r="A139" s="216"/>
      <c r="B139" s="216" t="s">
        <v>1226</v>
      </c>
      <c r="C139" s="228"/>
      <c r="D139" s="228"/>
      <c r="E139" s="579"/>
      <c r="F139" s="579"/>
      <c r="G139" s="642" t="s">
        <v>1227</v>
      </c>
      <c r="H139" s="216" t="s">
        <v>1202</v>
      </c>
      <c r="I139" s="574"/>
      <c r="J139" s="294" t="str">
        <f>IF(ISBLANK(HLOOKUP(CaseName,CaseData,MATCH($G139,cases!$G$4:$G$2458,0),FALSE)),"",HLOOKUP(CaseName,CaseData,MATCH($G139,cases!$G$4:$G$2458,0),FALSE))</f>
        <v/>
      </c>
      <c r="K139" s="407">
        <f>(L142*L143)/(L142+L143/((L67*FRorig.s1w)/L91))*L144</f>
        <v>4.9865311833661188E-28</v>
      </c>
      <c r="L139" s="298">
        <f t="shared" si="6"/>
        <v>4.9865311833661188E-28</v>
      </c>
      <c r="M139" s="216" t="s">
        <v>1217</v>
      </c>
      <c r="N139" s="228"/>
      <c r="O139" s="262"/>
      <c r="P139" s="215"/>
    </row>
    <row r="140" spans="1:16" ht="12.75" customHeight="1" x14ac:dyDescent="0.2">
      <c r="A140" s="216"/>
      <c r="B140" s="216" t="s">
        <v>1228</v>
      </c>
      <c r="C140" s="228"/>
      <c r="D140" s="228"/>
      <c r="E140" s="579"/>
      <c r="F140" s="579"/>
      <c r="G140" s="642" t="s">
        <v>1229</v>
      </c>
      <c r="H140" s="216" t="s">
        <v>1202</v>
      </c>
      <c r="I140" s="574"/>
      <c r="J140" s="294" t="str">
        <f>IF(ISBLANK(HLOOKUP(CaseName,CaseData,MATCH($G140,cases!$G$4:$G$2458,0),FALSE)),"",HLOOKUP(CaseName,CaseData,MATCH($G140,cases!$G$4:$G$2458,0),FALSE))</f>
        <v/>
      </c>
      <c r="K140" s="407">
        <f>(L142*L143)/(L142+L143/((L67*FRorig.s2w)/L96))*L145</f>
        <v>9.0765685103274836E-28</v>
      </c>
      <c r="L140" s="298">
        <f t="shared" si="6"/>
        <v>9.0765685103274836E-28</v>
      </c>
      <c r="M140" s="216" t="s">
        <v>1217</v>
      </c>
      <c r="N140" s="228"/>
      <c r="O140" s="262"/>
      <c r="P140" s="215"/>
    </row>
    <row r="141" spans="1:16" ht="12.75" customHeight="1" x14ac:dyDescent="0.2">
      <c r="A141" s="216"/>
      <c r="B141" s="216" t="s">
        <v>1230</v>
      </c>
      <c r="C141" s="228"/>
      <c r="D141" s="228"/>
      <c r="E141" s="579"/>
      <c r="F141" s="579"/>
      <c r="G141" s="642" t="s">
        <v>1231</v>
      </c>
      <c r="H141" s="216" t="s">
        <v>1202</v>
      </c>
      <c r="I141" s="574"/>
      <c r="J141" s="294" t="str">
        <f>IF(ISBLANK(HLOOKUP(CaseName,CaseData,MATCH($G141,cases!$G$4:$G$2458,0),FALSE)),"",HLOOKUP(CaseName,CaseData,MATCH($G141,cases!$G$4:$G$2458,0),FALSE))</f>
        <v/>
      </c>
      <c r="K141" s="407">
        <f>(L142*L143)/(L142+L143/((L67*FRorig.s3w)/L101))*L146</f>
        <v>4.9865311833661188E-28</v>
      </c>
      <c r="L141" s="298">
        <f t="shared" si="6"/>
        <v>4.9865311833661188E-28</v>
      </c>
      <c r="M141" s="216" t="s">
        <v>1217</v>
      </c>
      <c r="N141" s="228"/>
      <c r="O141" s="262"/>
      <c r="P141" s="215"/>
    </row>
    <row r="142" spans="1:16" ht="12.75" customHeight="1" x14ac:dyDescent="0.2">
      <c r="A142" s="216"/>
      <c r="B142" s="216"/>
      <c r="C142" s="228" t="s">
        <v>1232</v>
      </c>
      <c r="D142" s="228"/>
      <c r="E142" s="228"/>
      <c r="F142" s="579"/>
      <c r="G142" s="228" t="s">
        <v>1233</v>
      </c>
      <c r="H142" s="579" t="s">
        <v>1202</v>
      </c>
      <c r="I142" s="574"/>
      <c r="J142" s="294" t="str">
        <f>IF(ISBLANK(HLOOKUP(CaseName,CaseData,MATCH($G142,cases!$G$4:$G$2458,0),FALSE)),"",HLOOKUP(CaseName,CaseData,MATCH($G142,cases!$G$4:$G$2458,0),FALSE))</f>
        <v/>
      </c>
      <c r="K142" s="407">
        <f>0.43/(24*3600)/0.00475</f>
        <v>1.0477582846003899E-3</v>
      </c>
      <c r="L142" s="298">
        <f t="shared" si="6"/>
        <v>1.0477582846003899E-3</v>
      </c>
      <c r="M142" s="228" t="s">
        <v>697</v>
      </c>
      <c r="N142" s="228"/>
      <c r="O142" s="262"/>
      <c r="P142" s="215"/>
    </row>
    <row r="143" spans="1:16" ht="12.75" customHeight="1" x14ac:dyDescent="0.2">
      <c r="A143" s="216"/>
      <c r="B143" s="216"/>
      <c r="C143" s="228" t="s">
        <v>1234</v>
      </c>
      <c r="D143" s="228"/>
      <c r="E143" s="579"/>
      <c r="F143" s="579"/>
      <c r="G143" s="228" t="s">
        <v>1235</v>
      </c>
      <c r="H143" s="579" t="s">
        <v>1202</v>
      </c>
      <c r="I143" s="574"/>
      <c r="J143" s="294" t="str">
        <f>IF(ISBLANK(HLOOKUP(CaseName,CaseData,MATCH($G143,cases!$G$4:$G$2458,0),FALSE)),"",HLOOKUP(CaseName,CaseData,MATCH($G143,cases!$G$4:$G$2458,0),FALSE))</f>
        <v/>
      </c>
      <c r="K143" s="407">
        <f>0.1*L215</f>
        <v>4.0612619817811774E-22</v>
      </c>
      <c r="L143" s="298">
        <f t="shared" si="6"/>
        <v>4.0612619817811774E-22</v>
      </c>
      <c r="M143" s="228" t="s">
        <v>697</v>
      </c>
      <c r="N143" s="228"/>
      <c r="O143" s="262"/>
      <c r="P143" s="215"/>
    </row>
    <row r="144" spans="1:16" ht="12.75" customHeight="1" x14ac:dyDescent="0.2">
      <c r="A144" s="216"/>
      <c r="B144" s="216"/>
      <c r="C144" s="228" t="s">
        <v>1236</v>
      </c>
      <c r="D144" s="228"/>
      <c r="E144" s="579"/>
      <c r="F144" s="579"/>
      <c r="G144" s="216" t="s">
        <v>1237</v>
      </c>
      <c r="H144" s="228" t="s">
        <v>296</v>
      </c>
      <c r="I144" s="574"/>
      <c r="J144" s="294" t="str">
        <f>IF(ISBLANK(HLOOKUP(CaseName,CaseData,MATCH($G144,cases!$G$4:$G$2458,0),FALSE)),"",HLOOKUP(CaseName,CaseData,MATCH($G144,cases!$G$4:$G$2458,0),FALSE))</f>
        <v/>
      </c>
      <c r="K144" s="407">
        <f>(EXP((-1/0.1)*0)*(1/0.1)*L30/(1-EXP((-1/0.1)*L30)))</f>
        <v>1.2707470412683992</v>
      </c>
      <c r="L144" s="298">
        <f t="shared" si="6"/>
        <v>1.2707470412683992</v>
      </c>
      <c r="M144" s="228" t="s">
        <v>297</v>
      </c>
      <c r="N144" s="228" t="s">
        <v>1238</v>
      </c>
      <c r="O144" s="262"/>
      <c r="P144" s="215"/>
    </row>
    <row r="145" spans="1:17" ht="12.75" customHeight="1" x14ac:dyDescent="0.2">
      <c r="A145" s="216"/>
      <c r="B145" s="216"/>
      <c r="C145" s="228" t="s">
        <v>1236</v>
      </c>
      <c r="D145" s="228"/>
      <c r="E145" s="579"/>
      <c r="F145" s="579"/>
      <c r="G145" s="216" t="s">
        <v>1239</v>
      </c>
      <c r="H145" s="228" t="s">
        <v>296</v>
      </c>
      <c r="I145" s="574"/>
      <c r="J145" s="294" t="str">
        <f>IF(ISBLANK(HLOOKUP(CaseName,CaseData,MATCH($G145,cases!$G$4:$G$2458,0),FALSE)),"",HLOOKUP(CaseName,CaseData,MATCH($G145,cases!$G$4:$G$2458,0),FALSE))</f>
        <v/>
      </c>
      <c r="K145" s="407">
        <f>(EXP((-1/0.1)*0)*(1/0.1)*L31/(1-EXP((-1/0.1)*L31)))</f>
        <v>2.3130352854993315</v>
      </c>
      <c r="L145" s="298">
        <f t="shared" si="6"/>
        <v>2.3130352854993315</v>
      </c>
      <c r="M145" s="228" t="s">
        <v>297</v>
      </c>
      <c r="N145" s="228" t="s">
        <v>1238</v>
      </c>
      <c r="O145" s="262"/>
      <c r="P145" s="215"/>
      <c r="Q145" s="11"/>
    </row>
    <row r="146" spans="1:17" ht="12.75" customHeight="1" x14ac:dyDescent="0.2">
      <c r="A146" s="216"/>
      <c r="B146" s="216"/>
      <c r="C146" s="228" t="s">
        <v>1236</v>
      </c>
      <c r="D146" s="228"/>
      <c r="E146" s="579"/>
      <c r="F146" s="579"/>
      <c r="G146" s="216" t="s">
        <v>1240</v>
      </c>
      <c r="H146" s="228" t="s">
        <v>296</v>
      </c>
      <c r="I146" s="574"/>
      <c r="J146" s="294" t="str">
        <f>IF(ISBLANK(HLOOKUP(CaseName,CaseData,MATCH($G146,cases!$G$4:$G$2458,0),FALSE)),"",HLOOKUP(CaseName,CaseData,MATCH($G146,cases!$G$4:$G$2458,0),FALSE))</f>
        <v/>
      </c>
      <c r="K146" s="407">
        <f>(EXP((-1/0.1)*0)*(1/0.1)*L32/(1-EXP((-1/0.1)*L32)))</f>
        <v>1.2707470412683992</v>
      </c>
      <c r="L146" s="298">
        <f t="shared" si="6"/>
        <v>1.2707470412683992</v>
      </c>
      <c r="M146" s="228" t="s">
        <v>297</v>
      </c>
      <c r="N146" s="228" t="s">
        <v>1238</v>
      </c>
      <c r="O146" s="262"/>
      <c r="P146" s="215"/>
      <c r="Q146" s="11"/>
    </row>
    <row r="147" spans="1:17" ht="12.75" customHeight="1" x14ac:dyDescent="0.2">
      <c r="I147" s="612"/>
      <c r="O147" s="19"/>
      <c r="P147" s="11"/>
      <c r="Q147" s="11"/>
    </row>
    <row r="148" spans="1:17" s="386" customFormat="1" ht="12.75" customHeight="1" x14ac:dyDescent="0.2">
      <c r="A148" s="568" t="s">
        <v>1241</v>
      </c>
      <c r="B148" s="567"/>
      <c r="C148" s="567"/>
      <c r="D148" s="567"/>
      <c r="E148" s="567"/>
      <c r="F148" s="567"/>
      <c r="G148" s="568" t="s">
        <v>1242</v>
      </c>
      <c r="H148" s="568" t="s">
        <v>624</v>
      </c>
      <c r="I148" s="570"/>
      <c r="J148" s="294" t="str">
        <f>IF(ISBLANK(HLOOKUP(CaseName,CaseData,MATCH($G148,cases!$G$4:$G$2458,0),FALSE)),"",HLOOKUP(CaseName,CaseData,MATCH($G148,cases!$G$4:$G$2458,0),FALSE))</f>
        <v/>
      </c>
      <c r="K148" s="577">
        <f>(L154)/L24</f>
        <v>7.9386697328305655E-11</v>
      </c>
      <c r="L148" s="298">
        <f t="shared" ref="L148:L166" si="7">IF(ISBLANK(I148),IF(ISNUMBER(J148)=FALSE,K148,J148),I148)</f>
        <v>7.9386697328305655E-11</v>
      </c>
      <c r="M148" s="567" t="s">
        <v>1048</v>
      </c>
      <c r="N148" s="567" t="s">
        <v>1243</v>
      </c>
      <c r="O148" s="610"/>
      <c r="P148" s="611"/>
      <c r="Q148" s="640"/>
    </row>
    <row r="149" spans="1:17" ht="12.75" customHeight="1" x14ac:dyDescent="0.2">
      <c r="A149" s="216" t="s">
        <v>1244</v>
      </c>
      <c r="B149" s="228"/>
      <c r="C149" s="228"/>
      <c r="D149" s="228"/>
      <c r="E149" s="228"/>
      <c r="F149" s="228"/>
      <c r="G149" s="216" t="s">
        <v>1245</v>
      </c>
      <c r="H149" s="216" t="s">
        <v>624</v>
      </c>
      <c r="I149" s="570"/>
      <c r="J149" s="294" t="str">
        <f>IF(ISBLANK(HLOOKUP(CaseName,CaseData,MATCH($G149,cases!$G$4:$G$2458,0),FALSE)),"",HLOOKUP(CaseName,CaseData,MATCH($G149,cases!$G$4:$G$2458,0),FALSE))</f>
        <v/>
      </c>
      <c r="K149" s="407">
        <f>(L156+L169)/L25</f>
        <v>2.5985595260531316E-8</v>
      </c>
      <c r="L149" s="298">
        <f t="shared" si="7"/>
        <v>2.5985595260531316E-8</v>
      </c>
      <c r="M149" s="228" t="s">
        <v>1048</v>
      </c>
      <c r="N149" s="228"/>
      <c r="O149" s="959"/>
      <c r="P149" s="960"/>
      <c r="Q149" s="961"/>
    </row>
    <row r="150" spans="1:17" ht="12.75" customHeight="1" x14ac:dyDescent="0.2">
      <c r="A150" s="216" t="s">
        <v>1246</v>
      </c>
      <c r="B150" s="228"/>
      <c r="C150" s="228"/>
      <c r="D150" s="228"/>
      <c r="E150" s="228"/>
      <c r="F150" s="228"/>
      <c r="G150" s="216" t="s">
        <v>1247</v>
      </c>
      <c r="H150" s="216" t="s">
        <v>624</v>
      </c>
      <c r="I150" s="570"/>
      <c r="J150" s="294" t="str">
        <f>IF(ISBLANK(HLOOKUP(CaseName,CaseData,MATCH($G150,cases!$G$4:$G$2458,0),FALSE)),"",HLOOKUP(CaseName,CaseData,MATCH($G150,cases!$G$4:$G$2458,0),FALSE))</f>
        <v/>
      </c>
      <c r="K150" s="407">
        <f>(L158+L171)/L26</f>
        <v>4.8645427583599371E-9</v>
      </c>
      <c r="L150" s="298">
        <f t="shared" si="7"/>
        <v>4.8645427583599371E-9</v>
      </c>
      <c r="M150" s="228" t="s">
        <v>1048</v>
      </c>
      <c r="N150" s="228"/>
      <c r="O150" s="959"/>
      <c r="P150" s="960"/>
      <c r="Q150" s="961"/>
    </row>
    <row r="151" spans="1:17" s="386" customFormat="1" ht="12.75" customHeight="1" x14ac:dyDescent="0.2">
      <c r="A151" s="568" t="s">
        <v>1248</v>
      </c>
      <c r="B151" s="567"/>
      <c r="C151" s="567"/>
      <c r="D151" s="567"/>
      <c r="E151" s="567"/>
      <c r="F151" s="567"/>
      <c r="G151" s="568" t="s">
        <v>1249</v>
      </c>
      <c r="H151" s="568" t="s">
        <v>624</v>
      </c>
      <c r="I151" s="570"/>
      <c r="J151" s="294" t="str">
        <f>IF(ISBLANK(HLOOKUP(CaseName,CaseData,MATCH($G151,cases!$G$4:$G$2458,0),FALSE)),"",HLOOKUP(CaseName,CaseData,MATCH($G151,cases!$G$4:$G$2458,0),FALSE))</f>
        <v/>
      </c>
      <c r="K151" s="577">
        <f>(L155)/L27</f>
        <v>0</v>
      </c>
      <c r="L151" s="298">
        <f t="shared" si="7"/>
        <v>0</v>
      </c>
      <c r="M151" s="567" t="s">
        <v>1048</v>
      </c>
      <c r="N151" s="567" t="s">
        <v>1250</v>
      </c>
      <c r="O151" s="610"/>
      <c r="P151" s="611"/>
      <c r="Q151" s="640"/>
    </row>
    <row r="152" spans="1:17" ht="12.75" customHeight="1" x14ac:dyDescent="0.2">
      <c r="A152" s="216" t="s">
        <v>1251</v>
      </c>
      <c r="B152" s="228"/>
      <c r="C152" s="228"/>
      <c r="D152" s="228"/>
      <c r="E152" s="228"/>
      <c r="F152" s="228"/>
      <c r="G152" s="216" t="s">
        <v>1252</v>
      </c>
      <c r="H152" s="216" t="s">
        <v>624</v>
      </c>
      <c r="I152" s="570"/>
      <c r="J152" s="294" t="str">
        <f>IF(ISBLANK(HLOOKUP(CaseName,CaseData,MATCH($G152,cases!$G$4:$G$2458,0),FALSE)),"",HLOOKUP(CaseName,CaseData,MATCH($G152,cases!$G$4:$G$2458,0),FALSE))</f>
        <v/>
      </c>
      <c r="K152" s="407">
        <f>(L157+L170)/L28</f>
        <v>6.2051162656002384E-8</v>
      </c>
      <c r="L152" s="298">
        <f t="shared" si="7"/>
        <v>6.2051162656002384E-8</v>
      </c>
      <c r="M152" s="228" t="s">
        <v>1048</v>
      </c>
      <c r="N152" s="228"/>
      <c r="O152" s="959"/>
      <c r="P152" s="960"/>
      <c r="Q152" s="961"/>
    </row>
    <row r="153" spans="1:17" ht="12.75" customHeight="1" x14ac:dyDescent="0.2">
      <c r="A153" s="216" t="s">
        <v>1253</v>
      </c>
      <c r="B153" s="228"/>
      <c r="C153" s="228"/>
      <c r="D153" s="228"/>
      <c r="E153" s="228"/>
      <c r="F153" s="228"/>
      <c r="G153" s="216" t="s">
        <v>1254</v>
      </c>
      <c r="H153" s="216" t="s">
        <v>624</v>
      </c>
      <c r="I153" s="570"/>
      <c r="J153" s="294" t="str">
        <f>IF(ISBLANK(HLOOKUP(CaseName,CaseData,MATCH($G153,cases!$G$4:$G$2458,0),FALSE)),"",HLOOKUP(CaseName,CaseData,MATCH($G153,cases!$G$4:$G$2458,0),FALSE))</f>
        <v/>
      </c>
      <c r="K153" s="407">
        <f>(L159+L172)/L29</f>
        <v>4.4425291563015679E-8</v>
      </c>
      <c r="L153" s="298">
        <f t="shared" si="7"/>
        <v>4.4425291563015679E-8</v>
      </c>
      <c r="M153" s="228" t="s">
        <v>1048</v>
      </c>
      <c r="N153" s="228"/>
      <c r="O153" s="959"/>
      <c r="P153" s="960"/>
      <c r="Q153" s="961"/>
    </row>
    <row r="154" spans="1:17" s="386" customFormat="1" ht="12.75" customHeight="1" x14ac:dyDescent="0.2">
      <c r="A154" s="568"/>
      <c r="B154" s="568" t="s">
        <v>1255</v>
      </c>
      <c r="C154" s="567"/>
      <c r="D154" s="567"/>
      <c r="E154" s="567"/>
      <c r="F154" s="567"/>
      <c r="G154" s="568" t="s">
        <v>1256</v>
      </c>
      <c r="H154" s="680" t="s">
        <v>1202</v>
      </c>
      <c r="I154" s="570"/>
      <c r="J154" s="294" t="str">
        <f>IF(ISBLANK(HLOOKUP(CaseName,CaseData,MATCH($G154,cases!$G$4:$G$2458,0),FALSE)),"",HLOOKUP(CaseName,CaseData,MATCH($G154,cases!$G$4:$G$2458,0),FALSE))</f>
        <v/>
      </c>
      <c r="K154" s="577">
        <f>L163*(1-L70)</f>
        <v>7.938669732830565E-9</v>
      </c>
      <c r="L154" s="298">
        <f t="shared" si="7"/>
        <v>7.938669732830565E-9</v>
      </c>
      <c r="M154" s="567" t="s">
        <v>1257</v>
      </c>
      <c r="N154" s="567"/>
      <c r="O154" s="610"/>
      <c r="P154" s="611"/>
      <c r="Q154" s="640"/>
    </row>
    <row r="155" spans="1:17" s="386" customFormat="1" ht="12.75" customHeight="1" x14ac:dyDescent="0.2">
      <c r="A155" s="568"/>
      <c r="B155" s="568" t="s">
        <v>1258</v>
      </c>
      <c r="C155" s="567"/>
      <c r="D155" s="567"/>
      <c r="E155" s="567"/>
      <c r="F155" s="567"/>
      <c r="G155" s="568" t="s">
        <v>1259</v>
      </c>
      <c r="H155" s="680" t="s">
        <v>1202</v>
      </c>
      <c r="I155" s="570"/>
      <c r="J155" s="294" t="str">
        <f>IF(ISBLANK(HLOOKUP(CaseName,CaseData,MATCH($G155,cases!$G$4:$G$2458,0),FALSE)),"",HLOOKUP(CaseName,CaseData,MATCH($G155,cases!$G$4:$G$2458,0),FALSE))</f>
        <v/>
      </c>
      <c r="K155" s="577">
        <f>L160-L164</f>
        <v>0</v>
      </c>
      <c r="L155" s="298">
        <f t="shared" si="7"/>
        <v>0</v>
      </c>
      <c r="M155" s="567" t="s">
        <v>1257</v>
      </c>
      <c r="N155" s="567"/>
      <c r="O155" s="610"/>
      <c r="P155" s="611"/>
      <c r="Q155" s="640"/>
    </row>
    <row r="156" spans="1:17" ht="12.75" customHeight="1" x14ac:dyDescent="0.2">
      <c r="A156" s="216"/>
      <c r="B156" s="216" t="s">
        <v>1255</v>
      </c>
      <c r="C156" s="228"/>
      <c r="D156" s="228"/>
      <c r="E156" s="228"/>
      <c r="F156" s="228"/>
      <c r="G156" s="642" t="s">
        <v>1260</v>
      </c>
      <c r="H156" s="579" t="s">
        <v>1202</v>
      </c>
      <c r="I156" s="570"/>
      <c r="J156" s="294" t="str">
        <f>IF(ISBLANK(HLOOKUP(CaseName,CaseData,MATCH($G156,cases!$G$4:$G$2458,0),FALSE)),"",HLOOKUP(CaseName,CaseData,MATCH($G156,cases!$G$4:$G$2458,0),FALSE))</f>
        <v/>
      </c>
      <c r="K156" s="407">
        <f>L163*(1-L74)</f>
        <v>5.0499062570467585E-8</v>
      </c>
      <c r="L156" s="298">
        <f t="shared" si="7"/>
        <v>5.0499062570467585E-8</v>
      </c>
      <c r="M156" s="228" t="s">
        <v>1257</v>
      </c>
      <c r="N156" s="228"/>
      <c r="O156" s="959"/>
      <c r="P156" s="960"/>
      <c r="Q156" s="961"/>
    </row>
    <row r="157" spans="1:17" ht="12.75" customHeight="1" x14ac:dyDescent="0.2">
      <c r="A157" s="216"/>
      <c r="B157" s="216" t="s">
        <v>1258</v>
      </c>
      <c r="C157" s="228"/>
      <c r="D157" s="228"/>
      <c r="E157" s="228"/>
      <c r="F157" s="228"/>
      <c r="G157" s="642" t="s">
        <v>1261</v>
      </c>
      <c r="H157" s="579" t="s">
        <v>1202</v>
      </c>
      <c r="I157" s="570"/>
      <c r="J157" s="294" t="str">
        <f>IF(ISBLANK(HLOOKUP(CaseName,CaseData,MATCH($G157,cases!$G$4:$G$2458,0),FALSE)),"",HLOOKUP(CaseName,CaseData,MATCH($G157,cases!$G$4:$G$2458,0),FALSE))</f>
        <v/>
      </c>
      <c r="K157" s="407">
        <f>L161-L165</f>
        <v>7.954515271587726E-10</v>
      </c>
      <c r="L157" s="298">
        <f t="shared" si="7"/>
        <v>7.954515271587726E-10</v>
      </c>
      <c r="M157" s="228" t="s">
        <v>1257</v>
      </c>
      <c r="N157" s="228"/>
      <c r="O157" s="959"/>
      <c r="P157" s="960"/>
      <c r="Q157" s="961"/>
    </row>
    <row r="158" spans="1:17" ht="12.75" customHeight="1" x14ac:dyDescent="0.2">
      <c r="A158" s="216"/>
      <c r="B158" s="216" t="s">
        <v>1262</v>
      </c>
      <c r="C158" s="228"/>
      <c r="D158" s="228"/>
      <c r="E158" s="228"/>
      <c r="F158" s="228"/>
      <c r="G158" s="642" t="s">
        <v>1263</v>
      </c>
      <c r="H158" s="579" t="s">
        <v>1202</v>
      </c>
      <c r="I158" s="570"/>
      <c r="J158" s="294" t="str">
        <f>IF(ISBLANK(HLOOKUP(CaseName,CaseData,MATCH($G158,cases!$G$4:$G$2458,0),FALSE)),"",HLOOKUP(CaseName,CaseData,MATCH($G158,cases!$G$4:$G$2458,0),FALSE))</f>
        <v/>
      </c>
      <c r="K158" s="407">
        <f>L163*(1-L78)</f>
        <v>2.1160266404598745E-8</v>
      </c>
      <c r="L158" s="298">
        <f t="shared" si="7"/>
        <v>2.1160266404598745E-8</v>
      </c>
      <c r="M158" s="228" t="s">
        <v>1257</v>
      </c>
      <c r="N158" s="228"/>
      <c r="O158" s="959"/>
      <c r="P158" s="960"/>
      <c r="Q158" s="961"/>
    </row>
    <row r="159" spans="1:17" ht="12.75" customHeight="1" x14ac:dyDescent="0.2">
      <c r="A159" s="216"/>
      <c r="B159" s="216" t="s">
        <v>1264</v>
      </c>
      <c r="C159" s="228"/>
      <c r="D159" s="228"/>
      <c r="E159" s="228"/>
      <c r="F159" s="228"/>
      <c r="G159" s="642" t="s">
        <v>1265</v>
      </c>
      <c r="H159" s="579" t="s">
        <v>1202</v>
      </c>
      <c r="I159" s="570"/>
      <c r="J159" s="294" t="str">
        <f>IF(ISBLANK(HLOOKUP(CaseName,CaseData,MATCH($G159,cases!$G$4:$G$2458,0),FALSE)),"",HLOOKUP(CaseName,CaseData,MATCH($G159,cases!$G$4:$G$2458,0),FALSE))</f>
        <v/>
      </c>
      <c r="K159" s="407">
        <f>L162-L166</f>
        <v>2.666753943691715E-10</v>
      </c>
      <c r="L159" s="298">
        <f t="shared" si="7"/>
        <v>2.666753943691715E-10</v>
      </c>
      <c r="M159" s="228" t="s">
        <v>1257</v>
      </c>
      <c r="N159" s="228"/>
      <c r="O159" s="959"/>
      <c r="P159" s="960"/>
      <c r="Q159" s="961"/>
    </row>
    <row r="160" spans="1:17" s="386" customFormat="1" ht="12.75" customHeight="1" x14ac:dyDescent="0.2">
      <c r="A160" s="568"/>
      <c r="B160" s="568"/>
      <c r="C160" s="568" t="s">
        <v>1266</v>
      </c>
      <c r="D160" s="567"/>
      <c r="E160" s="567"/>
      <c r="F160" s="567"/>
      <c r="G160" s="680" t="s">
        <v>1267</v>
      </c>
      <c r="H160" s="680" t="s">
        <v>1202</v>
      </c>
      <c r="I160" s="570"/>
      <c r="J160" s="294" t="str">
        <f>IF(ISBLANK(HLOOKUP(CaseName,CaseData,MATCH($G160,cases!$G$4:$G$2458,0),FALSE)),"",HLOOKUP(CaseName,CaseData,MATCH($G160,cases!$G$4:$G$2458,0),FALSE))</f>
        <v/>
      </c>
      <c r="K160" s="577">
        <f>IF(L163*input!L281/(L46*RHOsolid)&gt;L164,L163*input!L281/(L46*RHOsolid),L164)</f>
        <v>8.6861047691527194E-11</v>
      </c>
      <c r="L160" s="298">
        <f t="shared" si="7"/>
        <v>8.6861047691527194E-11</v>
      </c>
      <c r="M160" s="567" t="s">
        <v>697</v>
      </c>
      <c r="N160" s="578"/>
      <c r="O160" s="610"/>
      <c r="P160" s="611"/>
      <c r="Q160" s="640"/>
    </row>
    <row r="161" spans="1:17" ht="12.75" customHeight="1" x14ac:dyDescent="0.2">
      <c r="A161" s="216"/>
      <c r="B161" s="216"/>
      <c r="C161" s="216" t="s">
        <v>1268</v>
      </c>
      <c r="D161" s="228"/>
      <c r="E161" s="228"/>
      <c r="F161" s="228"/>
      <c r="G161" s="579" t="s">
        <v>1269</v>
      </c>
      <c r="H161" s="579" t="s">
        <v>1202</v>
      </c>
      <c r="I161" s="570"/>
      <c r="J161" s="294" t="str">
        <f>IF(ISBLANK(HLOOKUP(CaseName,CaseData,MATCH($G161,cases!$G$4:$G$2458,0),FALSE)),"",HLOOKUP(CaseName,CaseData,MATCH($G161,cases!$G$4:$G$2458,0),FALSE))</f>
        <v/>
      </c>
      <c r="K161" s="407">
        <f>IF(L163*input!L282/(L46*RHOsolid)&gt;L165,L163*input!L282/(L46*RHOsolid),L165)</f>
        <v>8.8231257485029977E-10</v>
      </c>
      <c r="L161" s="298">
        <f t="shared" si="7"/>
        <v>8.8231257485029977E-10</v>
      </c>
      <c r="M161" s="228" t="s">
        <v>697</v>
      </c>
      <c r="N161" s="228"/>
      <c r="O161" s="959"/>
      <c r="P161" s="960"/>
      <c r="Q161" s="961"/>
    </row>
    <row r="162" spans="1:17" ht="12.75" customHeight="1" x14ac:dyDescent="0.2">
      <c r="A162" s="216"/>
      <c r="B162" s="216"/>
      <c r="C162" s="216" t="s">
        <v>1270</v>
      </c>
      <c r="D162" s="228"/>
      <c r="E162" s="579"/>
      <c r="F162" s="579"/>
      <c r="G162" s="579" t="s">
        <v>1271</v>
      </c>
      <c r="H162" s="579" t="s">
        <v>1202</v>
      </c>
      <c r="I162" s="570"/>
      <c r="J162" s="294" t="str">
        <f>IF(ISBLANK(HLOOKUP(CaseName,CaseData,MATCH($G162,cases!$G$4:$G$2458,0),FALSE)),"",HLOOKUP(CaseName,CaseData,MATCH($G162,cases!$G$4:$G$2458,0),FALSE))</f>
        <v/>
      </c>
      <c r="K162" s="407">
        <f>IF(L163*input!L283/(L46*RHOsolid)&gt;L166,L163*input!L283/(L46*RHOsolid),L166)</f>
        <v>2.9410419161676659E-10</v>
      </c>
      <c r="L162" s="298">
        <f t="shared" si="7"/>
        <v>2.9410419161676659E-10</v>
      </c>
      <c r="M162" s="228" t="s">
        <v>697</v>
      </c>
      <c r="N162" s="228"/>
      <c r="O162" s="959"/>
      <c r="P162" s="960"/>
      <c r="Q162" s="961"/>
    </row>
    <row r="163" spans="1:17" ht="12.75" customHeight="1" x14ac:dyDescent="0.2">
      <c r="A163" s="216"/>
      <c r="B163" s="216"/>
      <c r="C163" s="228"/>
      <c r="D163" s="216" t="s">
        <v>1272</v>
      </c>
      <c r="E163" s="579"/>
      <c r="F163" s="579"/>
      <c r="G163" s="579" t="s">
        <v>1273</v>
      </c>
      <c r="H163" s="579" t="s">
        <v>1202</v>
      </c>
      <c r="I163" s="570"/>
      <c r="J163" s="294" t="str">
        <f>IF(ISBLANK(HLOOKUP(CaseName,CaseData,MATCH($G163,cases!$G$4:$G$2458,0),FALSE)),"",HLOOKUP(CaseName,CaseData,MATCH($G163,cases!$G$4:$G$2458,0),FALSE))</f>
        <v/>
      </c>
      <c r="K163" s="407">
        <f>SetVelSPM.w</f>
        <v>2.9410419161676656E-5</v>
      </c>
      <c r="L163" s="298">
        <f t="shared" si="7"/>
        <v>2.9410419161676656E-5</v>
      </c>
      <c r="M163" s="228" t="s">
        <v>697</v>
      </c>
      <c r="N163" s="716" t="s">
        <v>1274</v>
      </c>
      <c r="O163" s="959"/>
      <c r="P163" s="643"/>
      <c r="Q163" s="402"/>
    </row>
    <row r="164" spans="1:17" s="386" customFormat="1" ht="12.75" customHeight="1" x14ac:dyDescent="0.2">
      <c r="A164" s="568"/>
      <c r="B164" s="568"/>
      <c r="C164" s="567"/>
      <c r="D164" s="568" t="s">
        <v>1275</v>
      </c>
      <c r="E164" s="680"/>
      <c r="F164" s="680"/>
      <c r="G164" s="680" t="s">
        <v>1276</v>
      </c>
      <c r="H164" s="680" t="s">
        <v>873</v>
      </c>
      <c r="I164" s="570"/>
      <c r="J164" s="294" t="str">
        <f>IF(ISBLANK(HLOOKUP(CaseName,CaseData,MATCH($G164,cases!$G$4:$G$2458,0),FALSE)),"",HLOOKUP(CaseName,CaseData,MATCH($G164,cases!$G$4:$G$2458,0),FALSE))</f>
        <v/>
      </c>
      <c r="K164" s="577">
        <f>L165</f>
        <v>8.6861047691527194E-11</v>
      </c>
      <c r="L164" s="298">
        <f t="shared" si="7"/>
        <v>8.6861047691527194E-11</v>
      </c>
      <c r="M164" s="567" t="s">
        <v>697</v>
      </c>
      <c r="N164" s="578"/>
      <c r="O164" s="610"/>
      <c r="P164" s="611"/>
      <c r="Q164" s="640"/>
    </row>
    <row r="165" spans="1:17" ht="12.75" customHeight="1" x14ac:dyDescent="0.2">
      <c r="A165" s="216"/>
      <c r="B165" s="216"/>
      <c r="C165" s="228"/>
      <c r="D165" s="216" t="s">
        <v>1277</v>
      </c>
      <c r="E165" s="579"/>
      <c r="F165" s="216"/>
      <c r="G165" s="579" t="s">
        <v>1278</v>
      </c>
      <c r="H165" s="579" t="s">
        <v>1202</v>
      </c>
      <c r="I165" s="570"/>
      <c r="J165" s="294" t="str">
        <f>IF(ISBLANK(HLOOKUP(CaseName,CaseData,MATCH($G165,cases!$G$4:$G$2458,0),FALSE)),"",HLOOKUP(CaseName,CaseData,MATCH($G165,cases!$G$4:$G$2458,0),FALSE))</f>
        <v/>
      </c>
      <c r="K165" s="407">
        <v>8.6861047691527194E-11</v>
      </c>
      <c r="L165" s="298">
        <f t="shared" si="7"/>
        <v>8.6861047691527194E-11</v>
      </c>
      <c r="M165" s="228" t="s">
        <v>697</v>
      </c>
      <c r="N165" s="38" t="s">
        <v>1279</v>
      </c>
      <c r="O165" s="644"/>
      <c r="P165" s="645"/>
      <c r="Q165" s="961"/>
    </row>
    <row r="166" spans="1:17" ht="12.75" customHeight="1" x14ac:dyDescent="0.2">
      <c r="A166" s="216"/>
      <c r="B166" s="216"/>
      <c r="C166" s="228"/>
      <c r="D166" s="216" t="s">
        <v>1280</v>
      </c>
      <c r="E166" s="579"/>
      <c r="F166" s="216"/>
      <c r="G166" s="579" t="s">
        <v>1281</v>
      </c>
      <c r="H166" s="579" t="s">
        <v>1202</v>
      </c>
      <c r="I166" s="573"/>
      <c r="J166" s="294" t="str">
        <f>IF(ISBLANK(HLOOKUP(CaseName,CaseData,MATCH($G166,cases!$G$4:$G$2458,0),FALSE)),"",HLOOKUP(CaseName,CaseData,MATCH($G166,cases!$G$4:$G$2458,0),FALSE))</f>
        <v/>
      </c>
      <c r="K166" s="407">
        <v>2.7428797247595103E-11</v>
      </c>
      <c r="L166" s="298">
        <f t="shared" si="7"/>
        <v>2.7428797247595103E-11</v>
      </c>
      <c r="M166" s="228" t="s">
        <v>697</v>
      </c>
      <c r="N166" s="38" t="s">
        <v>1279</v>
      </c>
      <c r="O166" s="644"/>
      <c r="P166" s="645"/>
      <c r="Q166" s="961"/>
    </row>
    <row r="167" spans="1:17" ht="12.75" customHeight="1" x14ac:dyDescent="0.2">
      <c r="A167" s="216"/>
      <c r="B167" s="216"/>
      <c r="C167" s="228"/>
      <c r="D167" s="228"/>
      <c r="E167" s="216" t="s">
        <v>1282</v>
      </c>
      <c r="F167" s="579"/>
      <c r="G167" s="579" t="s">
        <v>1283</v>
      </c>
      <c r="H167" s="216" t="s">
        <v>1284</v>
      </c>
      <c r="I167" s="570"/>
      <c r="J167" s="294" t="str">
        <f>IF(ISBLANK(HLOOKUP(CaseName,CaseData,MATCH($G167,cases!$G$4:$G$2458,0),FALSE)),"",HLOOKUP(CaseName,CaseData,MATCH($G167,cases!$G$4:$G$2458,0),FALSE))</f>
        <v/>
      </c>
      <c r="K167" s="407">
        <v>10</v>
      </c>
      <c r="L167" s="298">
        <f>IF(ISBLANK(I167),IF(ISNUMBER(J167)=FALSE,K167/(1000*3600*24*365)*L18*L16,J167/(1000*3600*24*365)*L18*L16),I167/(1000*3600*24*365)*L18*L16)</f>
        <v>1.9931744672754947</v>
      </c>
      <c r="M167" s="228" t="s">
        <v>1285</v>
      </c>
      <c r="N167" s="384"/>
      <c r="O167" s="646"/>
      <c r="P167" s="960"/>
      <c r="Q167" s="961"/>
    </row>
    <row r="168" spans="1:17" ht="12.75" customHeight="1" x14ac:dyDescent="0.2">
      <c r="A168" s="216"/>
      <c r="B168" s="216"/>
      <c r="C168" s="228"/>
      <c r="D168" s="228"/>
      <c r="E168" s="216" t="s">
        <v>1286</v>
      </c>
      <c r="F168" s="228"/>
      <c r="G168" s="579" t="s">
        <v>1287</v>
      </c>
      <c r="H168" s="216" t="s">
        <v>1284</v>
      </c>
      <c r="I168" s="570"/>
      <c r="J168" s="294" t="str">
        <f>IF(ISBLANK(HLOOKUP(CaseName,CaseData,MATCH($G168,cases!$G$4:$G$2458,0),FALSE)),"",HLOOKUP(CaseName,CaseData,MATCH($G168,cases!$G$4:$G$2458,0),FALSE))</f>
        <v/>
      </c>
      <c r="K168" s="407">
        <v>10</v>
      </c>
      <c r="L168" s="298">
        <f>IF(ISBLANK(I168),IF(ISNUMBER(J168)=FALSE,K168/(1000*3600*24*365)*L16*L22,J168/(1000*3600*24*365)*L16*L22),I168/(1000*3600*24*365)*L16*L22)</f>
        <v>0.31709791983764618</v>
      </c>
      <c r="M168" s="228" t="s">
        <v>1285</v>
      </c>
      <c r="N168" s="384"/>
      <c r="O168" s="646"/>
      <c r="P168" s="960"/>
      <c r="Q168" s="961"/>
    </row>
    <row r="169" spans="1:17" ht="12.75" customHeight="1" x14ac:dyDescent="0.2">
      <c r="A169" s="228"/>
      <c r="B169" s="228" t="s">
        <v>1288</v>
      </c>
      <c r="C169" s="579"/>
      <c r="D169" s="579"/>
      <c r="E169" s="228"/>
      <c r="F169" s="228"/>
      <c r="G169" s="642" t="s">
        <v>1289</v>
      </c>
      <c r="H169" s="579" t="s">
        <v>1202</v>
      </c>
      <c r="I169" s="570"/>
      <c r="J169" s="294" t="str">
        <f>IF(ISBLANK(HLOOKUP(CaseName,CaseData,MATCH($G169,cases!$G$4:$G$2458,0),FALSE)),"",HLOOKUP(CaseName,CaseData,MATCH($G169,cases!$G$4:$G$2458,0),FALSE))</f>
        <v/>
      </c>
      <c r="K169" s="407">
        <f>(L173*L174)/(L173+L174)*L74</f>
        <v>2.7457723211126368E-8</v>
      </c>
      <c r="L169" s="298">
        <f t="shared" ref="L169:L174" si="8">IF(ISBLANK(I169),IF(ISNUMBER(J169)=FALSE,K169,J169),I169)</f>
        <v>2.7457723211126368E-8</v>
      </c>
      <c r="M169" s="228" t="s">
        <v>1257</v>
      </c>
      <c r="N169" s="228"/>
      <c r="O169" s="959"/>
      <c r="P169" s="960"/>
      <c r="Q169" s="961"/>
    </row>
    <row r="170" spans="1:17" ht="12.75" customHeight="1" x14ac:dyDescent="0.2">
      <c r="A170" s="228"/>
      <c r="B170" s="228" t="s">
        <v>1290</v>
      </c>
      <c r="C170" s="579"/>
      <c r="D170" s="579"/>
      <c r="E170" s="228"/>
      <c r="F170" s="228"/>
      <c r="G170" s="642" t="s">
        <v>1291</v>
      </c>
      <c r="H170" s="579" t="s">
        <v>1202</v>
      </c>
      <c r="I170" s="570"/>
      <c r="J170" s="294" t="str">
        <f>IF(ISBLANK(HLOOKUP(CaseName,CaseData,MATCH($G170,cases!$G$4:$G$2458,0),FALSE)),"",HLOOKUP(CaseName,CaseData,MATCH($G170,cases!$G$4:$G$2458,0),FALSE))</f>
        <v/>
      </c>
      <c r="K170" s="407">
        <f>((L173*L174)/(L173+L174))/L85</f>
        <v>1.066083352521299E-9</v>
      </c>
      <c r="L170" s="298">
        <f t="shared" si="8"/>
        <v>1.066083352521299E-9</v>
      </c>
      <c r="M170" s="228" t="s">
        <v>1257</v>
      </c>
      <c r="N170" s="228"/>
      <c r="O170" s="959"/>
      <c r="P170" s="960"/>
      <c r="Q170" s="961"/>
    </row>
    <row r="171" spans="1:17" ht="12.75" customHeight="1" x14ac:dyDescent="0.2">
      <c r="A171" s="228"/>
      <c r="B171" s="228" t="s">
        <v>1292</v>
      </c>
      <c r="C171" s="579"/>
      <c r="D171" s="579"/>
      <c r="E171" s="228"/>
      <c r="F171" s="579"/>
      <c r="G171" s="642" t="s">
        <v>1293</v>
      </c>
      <c r="H171" s="579" t="s">
        <v>1202</v>
      </c>
      <c r="I171" s="570"/>
      <c r="J171" s="294" t="str">
        <f>IF(ISBLANK(HLOOKUP(CaseName,CaseData,MATCH($G171,cases!$G$4:$G$2458,0),FALSE)),"",HLOOKUP(CaseName,CaseData,MATCH($G171,cases!$G$4:$G$2458,0),FALSE))</f>
        <v/>
      </c>
      <c r="K171" s="407">
        <f>(L173*L174)/(L173+L174)*L78</f>
        <v>2.7485161179000627E-8</v>
      </c>
      <c r="L171" s="298">
        <f t="shared" si="8"/>
        <v>2.7485161179000627E-8</v>
      </c>
      <c r="M171" s="228" t="s">
        <v>1257</v>
      </c>
      <c r="N171" s="228"/>
      <c r="O171" s="959"/>
      <c r="P171" s="960"/>
      <c r="Q171" s="961"/>
    </row>
    <row r="172" spans="1:17" ht="12.75" customHeight="1" x14ac:dyDescent="0.2">
      <c r="A172" s="228"/>
      <c r="B172" s="228" t="s">
        <v>1294</v>
      </c>
      <c r="C172" s="579"/>
      <c r="D172" s="579"/>
      <c r="E172" s="228"/>
      <c r="F172" s="579"/>
      <c r="G172" s="642" t="s">
        <v>1295</v>
      </c>
      <c r="H172" s="579" t="s">
        <v>1202</v>
      </c>
      <c r="I172" s="570"/>
      <c r="J172" s="294" t="str">
        <f>IF(ISBLANK(HLOOKUP(CaseName,CaseData,MATCH($G172,cases!$G$4:$G$2458,0),FALSE)),"",HLOOKUP(CaseName,CaseData,MATCH($G172,cases!$G$4:$G$2458,0),FALSE))</f>
        <v/>
      </c>
      <c r="K172" s="407">
        <f>((L173*L174)/(L173+L174))/L88</f>
        <v>1.066083352521299E-9</v>
      </c>
      <c r="L172" s="298">
        <f t="shared" si="8"/>
        <v>1.066083352521299E-9</v>
      </c>
      <c r="M172" s="228" t="s">
        <v>1257</v>
      </c>
      <c r="N172" s="228"/>
      <c r="O172" s="959"/>
      <c r="P172" s="960"/>
      <c r="Q172" s="961"/>
    </row>
    <row r="173" spans="1:17" ht="12.75" customHeight="1" x14ac:dyDescent="0.2">
      <c r="A173" s="216"/>
      <c r="B173" s="216"/>
      <c r="C173" s="228" t="s">
        <v>1296</v>
      </c>
      <c r="D173" s="228"/>
      <c r="E173" s="579"/>
      <c r="F173" s="579"/>
      <c r="G173" s="228" t="s">
        <v>1297</v>
      </c>
      <c r="H173" s="579" t="s">
        <v>1202</v>
      </c>
      <c r="I173" s="570"/>
      <c r="J173" s="294" t="str">
        <f>IF(ISBLANK(HLOOKUP(CaseName,CaseData,MATCH($G173,cases!$G$4:$G$2458,0),FALSE)),"",HLOOKUP(CaseName,CaseData,MATCH($G173,cases!$G$4:$G$2458,0),FALSE))</f>
        <v/>
      </c>
      <c r="K173" s="407">
        <v>2.7779999999999999E-6</v>
      </c>
      <c r="L173" s="298">
        <f t="shared" si="8"/>
        <v>2.7779999999999999E-6</v>
      </c>
      <c r="M173" s="228" t="s">
        <v>697</v>
      </c>
      <c r="N173" s="228"/>
      <c r="O173" s="959"/>
      <c r="P173" s="960"/>
      <c r="Q173" s="961"/>
    </row>
    <row r="174" spans="1:17" ht="12.75" customHeight="1" x14ac:dyDescent="0.2">
      <c r="A174" s="216"/>
      <c r="B174" s="216"/>
      <c r="C174" s="228" t="s">
        <v>1298</v>
      </c>
      <c r="D174" s="228"/>
      <c r="E174" s="579"/>
      <c r="F174" s="228"/>
      <c r="G174" s="228" t="s">
        <v>1299</v>
      </c>
      <c r="H174" s="579" t="s">
        <v>1202</v>
      </c>
      <c r="I174" s="570"/>
      <c r="J174" s="294" t="str">
        <f>IF(ISBLANK(HLOOKUP(CaseName,CaseData,MATCH($G174,cases!$G$4:$G$2458,0),FALSE)),"",HLOOKUP(CaseName,CaseData,MATCH($G174,cases!$G$4:$G$2458,0),FALSE))</f>
        <v/>
      </c>
      <c r="K174" s="407">
        <v>2.7780000000000001E-8</v>
      </c>
      <c r="L174" s="298">
        <f t="shared" si="8"/>
        <v>2.7780000000000001E-8</v>
      </c>
      <c r="M174" s="228" t="s">
        <v>697</v>
      </c>
      <c r="N174" s="228"/>
      <c r="O174" s="959"/>
      <c r="P174" s="960"/>
      <c r="Q174" s="961"/>
    </row>
    <row r="175" spans="1:17" ht="12.75" customHeight="1" x14ac:dyDescent="0.2">
      <c r="A175" s="216"/>
      <c r="B175" s="228"/>
      <c r="C175" s="228"/>
      <c r="D175" s="228"/>
      <c r="E175" s="228"/>
      <c r="F175" s="228"/>
      <c r="G175" s="579"/>
      <c r="H175" s="216"/>
      <c r="I175" s="711"/>
      <c r="J175" s="294"/>
      <c r="K175" s="432"/>
      <c r="L175" s="715"/>
      <c r="M175" s="216"/>
      <c r="N175" s="228"/>
      <c r="O175" s="262"/>
      <c r="P175" s="215"/>
      <c r="Q175" s="11"/>
    </row>
    <row r="176" spans="1:17" ht="12.75" customHeight="1" x14ac:dyDescent="0.2">
      <c r="A176" s="216" t="s">
        <v>1300</v>
      </c>
      <c r="B176" s="228"/>
      <c r="C176" s="228"/>
      <c r="D176" s="228"/>
      <c r="E176" s="228"/>
      <c r="F176" s="228"/>
      <c r="G176" s="216" t="s">
        <v>1301</v>
      </c>
      <c r="H176" s="216" t="s">
        <v>624</v>
      </c>
      <c r="I176" s="570"/>
      <c r="J176" s="294" t="str">
        <f>IF(ISBLANK(HLOOKUP(CaseName,CaseData,MATCH($G176,cases!$G$4:$G$2458,0),FALSE)),"",HLOOKUP(CaseName,CaseData,MATCH($G176,cases!$G$4:$G$2458,0),FALSE))</f>
        <v/>
      </c>
      <c r="K176" s="407">
        <f>(RAINrate.R*L182/L91+L179)*L185/L30</f>
        <v>4.6941418162982244E-9</v>
      </c>
      <c r="L176" s="298">
        <f t="shared" ref="L176:L187" si="9">IF(ISBLANK(I176),IF(ISNUMBER(J176)=FALSE,K176,J176),I176)</f>
        <v>4.6941418162982244E-9</v>
      </c>
      <c r="M176" s="228" t="s">
        <v>1048</v>
      </c>
      <c r="N176" s="384"/>
      <c r="O176" s="262"/>
      <c r="P176" s="215"/>
      <c r="Q176" s="11"/>
    </row>
    <row r="177" spans="1:16" ht="12.75" customHeight="1" x14ac:dyDescent="0.2">
      <c r="A177" s="216" t="s">
        <v>1302</v>
      </c>
      <c r="B177" s="228"/>
      <c r="C177" s="228"/>
      <c r="D177" s="228"/>
      <c r="E177" s="228"/>
      <c r="F177" s="228"/>
      <c r="G177" s="216" t="s">
        <v>1303</v>
      </c>
      <c r="H177" s="216" t="s">
        <v>624</v>
      </c>
      <c r="I177" s="570"/>
      <c r="J177" s="294" t="str">
        <f>IF(ISBLANK(HLOOKUP(CaseName,CaseData,MATCH($G177,cases!$G$4:$G$2458,0),FALSE)),"",HLOOKUP(CaseName,CaseData,MATCH($G177,cases!$G$4:$G$2458,0),FALSE))</f>
        <v/>
      </c>
      <c r="K177" s="407">
        <f>(RAINrate.R*L183/L96+L180)*L186 /L31</f>
        <v>2.1360891081434388E-9</v>
      </c>
      <c r="L177" s="298">
        <f t="shared" si="9"/>
        <v>2.1360891081434388E-9</v>
      </c>
      <c r="M177" s="228" t="s">
        <v>1048</v>
      </c>
      <c r="N177" s="384"/>
      <c r="O177" s="262"/>
      <c r="P177" s="215"/>
    </row>
    <row r="178" spans="1:16" ht="12.75" customHeight="1" x14ac:dyDescent="0.2">
      <c r="A178" s="216" t="s">
        <v>1304</v>
      </c>
      <c r="B178" s="228"/>
      <c r="C178" s="228"/>
      <c r="D178" s="228"/>
      <c r="E178" s="228"/>
      <c r="F178" s="228"/>
      <c r="G178" s="216" t="s">
        <v>1305</v>
      </c>
      <c r="H178" s="216" t="s">
        <v>624</v>
      </c>
      <c r="I178" s="570"/>
      <c r="J178" s="294" t="str">
        <f>IF(ISBLANK(HLOOKUP(CaseName,CaseData,MATCH($G178,cases!$G$4:$G$2458,0),FALSE)),"",HLOOKUP(CaseName,CaseData,MATCH($G178,cases!$G$4:$G$2458,0),FALSE))</f>
        <v/>
      </c>
      <c r="K178" s="407">
        <f>(RAINrate.R*L184/L101+L181)*L187/L32</f>
        <v>4.6941418162982244E-9</v>
      </c>
      <c r="L178" s="298">
        <f t="shared" si="9"/>
        <v>4.6941418162982244E-9</v>
      </c>
      <c r="M178" s="228" t="s">
        <v>1048</v>
      </c>
      <c r="N178" s="384"/>
      <c r="O178" s="262"/>
      <c r="P178" s="215"/>
    </row>
    <row r="179" spans="1:16" ht="12.75" customHeight="1" x14ac:dyDescent="0.2">
      <c r="A179" s="216"/>
      <c r="B179" s="216"/>
      <c r="C179" s="579" t="s">
        <v>1306</v>
      </c>
      <c r="D179" s="228"/>
      <c r="E179" s="579"/>
      <c r="F179" s="579"/>
      <c r="G179" s="579" t="s">
        <v>1307</v>
      </c>
      <c r="H179" s="216" t="s">
        <v>1202</v>
      </c>
      <c r="I179" s="574"/>
      <c r="J179" s="294" t="str">
        <f>IF(ISBLANK(HLOOKUP(CaseName,CaseData,MATCH($G179,cases!$G$4:$G$2458,0),FALSE)),"",HLOOKUP(CaseName,CaseData,MATCH($G179,cases!$G$4:$G$2458,0),FALSE))</f>
        <v/>
      </c>
      <c r="K179" s="407">
        <f>EROSION.R</f>
        <v>9.5129375951293754E-13</v>
      </c>
      <c r="L179" s="298">
        <f t="shared" si="9"/>
        <v>9.5129375951293754E-13</v>
      </c>
      <c r="M179" s="228" t="s">
        <v>697</v>
      </c>
      <c r="N179" s="228"/>
      <c r="O179" s="262"/>
      <c r="P179" s="215"/>
    </row>
    <row r="180" spans="1:16" ht="12.75" customHeight="1" x14ac:dyDescent="0.2">
      <c r="A180" s="216"/>
      <c r="B180" s="216"/>
      <c r="C180" s="579" t="s">
        <v>1308</v>
      </c>
      <c r="D180" s="228"/>
      <c r="E180" s="579"/>
      <c r="F180" s="579"/>
      <c r="G180" s="579" t="s">
        <v>1309</v>
      </c>
      <c r="H180" s="216" t="s">
        <v>1202</v>
      </c>
      <c r="I180" s="570"/>
      <c r="J180" s="294" t="str">
        <f>IF(ISBLANK(HLOOKUP(CaseName,CaseData,MATCH($G180,cases!$G$4:$G$2458,0),FALSE)),"",HLOOKUP(CaseName,CaseData,MATCH($G180,cases!$G$4:$G$2458,0),FALSE))</f>
        <v/>
      </c>
      <c r="K180" s="407">
        <f>EROSION.R</f>
        <v>9.5129375951293754E-13</v>
      </c>
      <c r="L180" s="298">
        <f t="shared" si="9"/>
        <v>9.5129375951293754E-13</v>
      </c>
      <c r="M180" s="228" t="s">
        <v>697</v>
      </c>
      <c r="N180" s="228"/>
      <c r="O180" s="262"/>
      <c r="P180" s="215"/>
    </row>
    <row r="181" spans="1:16" ht="12.75" customHeight="1" x14ac:dyDescent="0.2">
      <c r="A181" s="216"/>
      <c r="B181" s="216"/>
      <c r="C181" s="579" t="s">
        <v>1310</v>
      </c>
      <c r="D181" s="228"/>
      <c r="E181" s="579"/>
      <c r="F181" s="579"/>
      <c r="G181" s="579" t="s">
        <v>1311</v>
      </c>
      <c r="H181" s="216" t="s">
        <v>1202</v>
      </c>
      <c r="I181" s="570"/>
      <c r="J181" s="294" t="str">
        <f>IF(ISBLANK(HLOOKUP(CaseName,CaseData,MATCH($G181,cases!$G$4:$G$2458,0),FALSE)),"",HLOOKUP(CaseName,CaseData,MATCH($G181,cases!$G$4:$G$2458,0),FALSE))</f>
        <v/>
      </c>
      <c r="K181" s="407">
        <f>EROSION.R</f>
        <v>9.5129375951293754E-13</v>
      </c>
      <c r="L181" s="298">
        <f t="shared" si="9"/>
        <v>9.5129375951293754E-13</v>
      </c>
      <c r="M181" s="228" t="s">
        <v>697</v>
      </c>
      <c r="N181" s="228"/>
      <c r="O181" s="262"/>
      <c r="P181" s="215"/>
    </row>
    <row r="182" spans="1:16" ht="12.75" customHeight="1" x14ac:dyDescent="0.2">
      <c r="A182" s="216"/>
      <c r="B182" s="216"/>
      <c r="C182" s="216" t="s">
        <v>1312</v>
      </c>
      <c r="D182" s="228"/>
      <c r="E182" s="579"/>
      <c r="F182" s="579"/>
      <c r="G182" s="579" t="s">
        <v>1313</v>
      </c>
      <c r="H182" s="216" t="s">
        <v>296</v>
      </c>
      <c r="I182" s="574"/>
      <c r="J182" s="294" t="str">
        <f>IF(ISBLANK(HLOOKUP(CaseName,CaseData,MATCH($G182,cases!$G$4:$G$2458,0),FALSE)),"",HLOOKUP(CaseName,CaseData,MATCH($G182,cases!$G$4:$G$2458,0),FALSE))</f>
        <v/>
      </c>
      <c r="K182" s="407">
        <f>FRACrun.R</f>
        <v>0.25</v>
      </c>
      <c r="L182" s="298">
        <f t="shared" si="9"/>
        <v>0.25</v>
      </c>
      <c r="M182" s="228" t="s">
        <v>297</v>
      </c>
      <c r="N182" s="228"/>
      <c r="O182" s="262"/>
      <c r="P182" s="215"/>
    </row>
    <row r="183" spans="1:16" ht="12.75" customHeight="1" x14ac:dyDescent="0.2">
      <c r="A183" s="216"/>
      <c r="B183" s="216"/>
      <c r="C183" s="216" t="s">
        <v>1314</v>
      </c>
      <c r="D183" s="228"/>
      <c r="E183" s="579"/>
      <c r="F183" s="579"/>
      <c r="G183" s="579" t="s">
        <v>1315</v>
      </c>
      <c r="H183" s="216" t="s">
        <v>296</v>
      </c>
      <c r="I183" s="570"/>
      <c r="J183" s="294" t="str">
        <f>IF(ISBLANK(HLOOKUP(CaseName,CaseData,MATCH($G183,cases!$G$4:$G$2458,0),FALSE)),"",HLOOKUP(CaseName,CaseData,MATCH($G183,cases!$G$4:$G$2458,0),FALSE))</f>
        <v/>
      </c>
      <c r="K183" s="407">
        <f>FRACrun.R</f>
        <v>0.25</v>
      </c>
      <c r="L183" s="298">
        <f t="shared" si="9"/>
        <v>0.25</v>
      </c>
      <c r="M183" s="228" t="s">
        <v>297</v>
      </c>
      <c r="N183" s="228"/>
      <c r="O183" s="262"/>
      <c r="P183" s="215"/>
    </row>
    <row r="184" spans="1:16" ht="12.75" customHeight="1" x14ac:dyDescent="0.2">
      <c r="A184" s="216"/>
      <c r="B184" s="216"/>
      <c r="C184" s="216" t="s">
        <v>1316</v>
      </c>
      <c r="D184" s="228"/>
      <c r="E184" s="579"/>
      <c r="F184" s="579"/>
      <c r="G184" s="579" t="s">
        <v>1317</v>
      </c>
      <c r="H184" s="216" t="s">
        <v>296</v>
      </c>
      <c r="I184" s="570"/>
      <c r="J184" s="294" t="str">
        <f>IF(ISBLANK(HLOOKUP(CaseName,CaseData,MATCH($G184,cases!$G$4:$G$2458,0),FALSE)),"",HLOOKUP(CaseName,CaseData,MATCH($G184,cases!$G$4:$G$2458,0),FALSE))</f>
        <v/>
      </c>
      <c r="K184" s="407">
        <f>FRACrun.R</f>
        <v>0.25</v>
      </c>
      <c r="L184" s="298">
        <f t="shared" si="9"/>
        <v>0.25</v>
      </c>
      <c r="M184" s="228" t="s">
        <v>297</v>
      </c>
      <c r="N184" s="228"/>
      <c r="O184" s="262"/>
      <c r="P184" s="215"/>
    </row>
    <row r="185" spans="1:16" ht="12.75" customHeight="1" x14ac:dyDescent="0.2">
      <c r="A185" s="216"/>
      <c r="B185" s="216"/>
      <c r="C185" s="228" t="s">
        <v>1236</v>
      </c>
      <c r="D185" s="228"/>
      <c r="E185" s="579"/>
      <c r="F185" s="579"/>
      <c r="G185" s="216" t="s">
        <v>1318</v>
      </c>
      <c r="H185" s="228" t="s">
        <v>296</v>
      </c>
      <c r="I185" s="570"/>
      <c r="J185" s="294" t="str">
        <f>IF(ISBLANK(HLOOKUP(CaseName,CaseData,MATCH($G185,cases!$G$4:$G$2458,0),FALSE)),"",HLOOKUP(CaseName,CaseData,MATCH($G185,cases!$G$4:$G$2458,0),FALSE))</f>
        <v/>
      </c>
      <c r="K185" s="407">
        <f>(EXP((-1/0.1)*0)*(1/0.1)*L30/(1-EXP((-1/0.1)*L30)))</f>
        <v>1.2707470412683992</v>
      </c>
      <c r="L185" s="298">
        <f t="shared" si="9"/>
        <v>1.2707470412683992</v>
      </c>
      <c r="M185" s="228" t="s">
        <v>297</v>
      </c>
      <c r="N185" s="228" t="s">
        <v>1238</v>
      </c>
      <c r="O185" s="262"/>
      <c r="P185" s="215"/>
    </row>
    <row r="186" spans="1:16" ht="12.75" customHeight="1" x14ac:dyDescent="0.2">
      <c r="A186" s="216"/>
      <c r="B186" s="216"/>
      <c r="C186" s="228" t="s">
        <v>1236</v>
      </c>
      <c r="D186" s="228"/>
      <c r="E186" s="579"/>
      <c r="F186" s="579"/>
      <c r="G186" s="216" t="s">
        <v>1319</v>
      </c>
      <c r="H186" s="228" t="s">
        <v>296</v>
      </c>
      <c r="I186" s="570"/>
      <c r="J186" s="294" t="str">
        <f>IF(ISBLANK(HLOOKUP(CaseName,CaseData,MATCH($G186,cases!$G$4:$G$2458,0),FALSE)),"",HLOOKUP(CaseName,CaseData,MATCH($G186,cases!$G$4:$G$2458,0),FALSE))</f>
        <v/>
      </c>
      <c r="K186" s="407">
        <f>(EXP((-1/0.1)*0)*(1/0.1)*L31/(1-EXP((-1/0.1)*L31)))</f>
        <v>2.3130352854993315</v>
      </c>
      <c r="L186" s="298">
        <f t="shared" si="9"/>
        <v>2.3130352854993315</v>
      </c>
      <c r="M186" s="228" t="s">
        <v>297</v>
      </c>
      <c r="N186" s="228" t="s">
        <v>1238</v>
      </c>
      <c r="O186" s="262"/>
      <c r="P186" s="215"/>
    </row>
    <row r="187" spans="1:16" ht="12.75" customHeight="1" x14ac:dyDescent="0.2">
      <c r="A187" s="216"/>
      <c r="B187" s="216"/>
      <c r="C187" s="228" t="s">
        <v>1236</v>
      </c>
      <c r="D187" s="228"/>
      <c r="E187" s="579"/>
      <c r="F187" s="579"/>
      <c r="G187" s="216" t="s">
        <v>1320</v>
      </c>
      <c r="H187" s="228" t="s">
        <v>296</v>
      </c>
      <c r="I187" s="570"/>
      <c r="J187" s="294" t="str">
        <f>IF(ISBLANK(HLOOKUP(CaseName,CaseData,MATCH($G187,cases!$G$4:$G$2458,0),FALSE)),"",HLOOKUP(CaseName,CaseData,MATCH($G187,cases!$G$4:$G$2458,0),FALSE))</f>
        <v/>
      </c>
      <c r="K187" s="407">
        <f>(EXP((-1/0.1)*0)*(1/0.1)*L32/(1-EXP((-1/0.1)*L32)))</f>
        <v>1.2707470412683992</v>
      </c>
      <c r="L187" s="298">
        <f t="shared" si="9"/>
        <v>1.2707470412683992</v>
      </c>
      <c r="M187" s="228" t="s">
        <v>297</v>
      </c>
      <c r="N187" s="228" t="s">
        <v>1238</v>
      </c>
      <c r="O187" s="262"/>
      <c r="P187" s="215"/>
    </row>
    <row r="188" spans="1:16" ht="12.75" customHeight="1" x14ac:dyDescent="0.2">
      <c r="I188" s="612"/>
      <c r="J188" s="641"/>
      <c r="O188" s="19"/>
      <c r="P188" s="11"/>
    </row>
    <row r="189" spans="1:16" s="413" customFormat="1" ht="12.75" customHeight="1" x14ac:dyDescent="0.2">
      <c r="A189" s="631" t="s">
        <v>1321</v>
      </c>
      <c r="G189" s="631" t="s">
        <v>263</v>
      </c>
      <c r="H189" s="631" t="s">
        <v>279</v>
      </c>
      <c r="I189" s="647" t="s">
        <v>264</v>
      </c>
      <c r="J189" s="498" t="s">
        <v>280</v>
      </c>
      <c r="K189" s="648" t="s">
        <v>265</v>
      </c>
      <c r="L189" s="649" t="s">
        <v>266</v>
      </c>
      <c r="N189" s="631" t="s">
        <v>267</v>
      </c>
      <c r="O189" s="209"/>
    </row>
    <row r="190" spans="1:16" ht="12.75" customHeight="1" x14ac:dyDescent="0.2">
      <c r="A190" s="172"/>
      <c r="I190" s="612"/>
      <c r="J190" s="641"/>
      <c r="K190" s="650"/>
      <c r="L190" s="185"/>
      <c r="O190" s="19"/>
      <c r="P190" s="11"/>
    </row>
    <row r="191" spans="1:16" ht="12.75" customHeight="1" x14ac:dyDescent="0.2">
      <c r="A191" s="216" t="s">
        <v>1322</v>
      </c>
      <c r="B191" s="228"/>
      <c r="C191" s="228"/>
      <c r="D191" s="228"/>
      <c r="E191" s="228"/>
      <c r="F191" s="228"/>
      <c r="G191" s="216" t="s">
        <v>1323</v>
      </c>
      <c r="H191" s="216" t="s">
        <v>624</v>
      </c>
      <c r="I191" s="570"/>
      <c r="J191" s="294" t="str">
        <f>IF(ISBLANK(HLOOKUP(CaseName,CaseData,MATCH($G191,cases!$G$4:$G$2458,0),FALSE)),"",HLOOKUP(CaseName,CaseData,MATCH($G191,cases!$G$4:$G$2458,0),FALSE))</f>
        <v/>
      </c>
      <c r="K191" s="407">
        <f>L201+L202</f>
        <v>3.663258818281463E-10</v>
      </c>
      <c r="L191" s="298">
        <f t="shared" ref="L191:L223" si="10">IF(ISBLANK(I191),IF(ISNUMBER(J191)=FALSE,K191,J191),I191)</f>
        <v>3.663258818281463E-10</v>
      </c>
      <c r="M191" s="228" t="s">
        <v>1048</v>
      </c>
      <c r="N191" s="228"/>
      <c r="O191" s="262"/>
      <c r="P191" s="215"/>
    </row>
    <row r="192" spans="1:16" ht="12.75" customHeight="1" x14ac:dyDescent="0.2">
      <c r="A192" s="216" t="s">
        <v>1324</v>
      </c>
      <c r="B192" s="228"/>
      <c r="C192" s="228"/>
      <c r="D192" s="228"/>
      <c r="E192" s="228"/>
      <c r="F192" s="228"/>
      <c r="G192" s="216" t="s">
        <v>1325</v>
      </c>
      <c r="H192" s="216" t="s">
        <v>624</v>
      </c>
      <c r="I192" s="570"/>
      <c r="J192" s="294" t="str">
        <f>IF(ISBLANK(HLOOKUP(CaseName,CaseData,MATCH($G192,cases!$G$4:$G$2458,0),FALSE)),"",HLOOKUP(CaseName,CaseData,MATCH($G192,cases!$G$4:$G$2458,0),FALSE))</f>
        <v/>
      </c>
      <c r="K192" s="407">
        <f>L205</f>
        <v>4.0601657370321782E-21</v>
      </c>
      <c r="L192" s="298">
        <f t="shared" si="10"/>
        <v>4.0601657370321782E-21</v>
      </c>
      <c r="M192" s="228" t="s">
        <v>1048</v>
      </c>
      <c r="N192" s="228"/>
      <c r="O192" s="262"/>
      <c r="P192" s="215"/>
    </row>
    <row r="193" spans="1:16" ht="12.75" customHeight="1" x14ac:dyDescent="0.2">
      <c r="A193" s="216" t="s">
        <v>1326</v>
      </c>
      <c r="B193" s="228"/>
      <c r="C193" s="228"/>
      <c r="D193" s="228"/>
      <c r="E193" s="228"/>
      <c r="F193" s="228"/>
      <c r="G193" s="216" t="s">
        <v>1327</v>
      </c>
      <c r="H193" s="216" t="s">
        <v>624</v>
      </c>
      <c r="I193" s="570"/>
      <c r="J193" s="294" t="str">
        <f>IF(ISBLANK(HLOOKUP(CaseName,CaseData,MATCH($G193,cases!$G$4:$G$2458,0),FALSE)),"",HLOOKUP(CaseName,CaseData,MATCH($G193,cases!$G$4:$G$2458,0),FALSE))</f>
        <v/>
      </c>
      <c r="K193" s="407">
        <f>L206</f>
        <v>4.0542886053799232E-21</v>
      </c>
      <c r="L193" s="298">
        <f t="shared" si="10"/>
        <v>4.0542886053799232E-21</v>
      </c>
      <c r="M193" s="228" t="s">
        <v>1048</v>
      </c>
      <c r="N193" s="228"/>
      <c r="O193" s="262"/>
      <c r="P193" s="215"/>
    </row>
    <row r="194" spans="1:16" ht="12.75" customHeight="1" x14ac:dyDescent="0.2">
      <c r="A194" s="216" t="s">
        <v>1328</v>
      </c>
      <c r="B194" s="228"/>
      <c r="C194" s="228"/>
      <c r="D194" s="228"/>
      <c r="E194" s="228"/>
      <c r="F194" s="228"/>
      <c r="G194" s="216" t="s">
        <v>1329</v>
      </c>
      <c r="H194" s="216" t="s">
        <v>624</v>
      </c>
      <c r="I194" s="570"/>
      <c r="J194" s="294" t="str">
        <f>IF(ISBLANK(HLOOKUP(CaseName,CaseData,MATCH($G194,cases!$G$4:$G$2458,0),FALSE)),"",HLOOKUP(CaseName,CaseData,MATCH($G194,cases!$G$4:$G$2458,0),FALSE))</f>
        <v/>
      </c>
      <c r="K194" s="407">
        <f>L207</f>
        <v>4.0583399769977389E-21</v>
      </c>
      <c r="L194" s="298">
        <f t="shared" si="10"/>
        <v>4.0583399769977389E-21</v>
      </c>
      <c r="M194" s="228" t="s">
        <v>1048</v>
      </c>
      <c r="N194" s="228"/>
      <c r="O194" s="262"/>
      <c r="P194" s="215"/>
    </row>
    <row r="195" spans="1:16" s="386" customFormat="1" ht="12.75" customHeight="1" x14ac:dyDescent="0.2">
      <c r="A195" s="568" t="s">
        <v>1330</v>
      </c>
      <c r="B195" s="567"/>
      <c r="C195" s="567"/>
      <c r="D195" s="567"/>
      <c r="E195" s="567"/>
      <c r="F195" s="567"/>
      <c r="G195" s="568" t="s">
        <v>1331</v>
      </c>
      <c r="H195" s="568" t="s">
        <v>624</v>
      </c>
      <c r="I195" s="570"/>
      <c r="J195" s="294" t="str">
        <f>IF(ISBLANK(HLOOKUP(CaseName,CaseData,MATCH($G195,cases!$G$4:$G$2458,0),FALSE)),"",HLOOKUP(CaseName,CaseData,MATCH($G195,cases!$G$4:$G$2458,0),FALSE))</f>
        <v/>
      </c>
      <c r="K195" s="577">
        <f>L212+L164/L27</f>
        <v>2.8953682563883014E-9</v>
      </c>
      <c r="L195" s="298">
        <f t="shared" si="10"/>
        <v>2.8953682563883014E-9</v>
      </c>
      <c r="M195" s="567" t="s">
        <v>1048</v>
      </c>
      <c r="N195" s="578"/>
      <c r="O195" s="607"/>
      <c r="P195" s="578"/>
    </row>
    <row r="196" spans="1:16" ht="12.75" customHeight="1" x14ac:dyDescent="0.2">
      <c r="A196" s="216" t="s">
        <v>1332</v>
      </c>
      <c r="B196" s="228"/>
      <c r="C196" s="228"/>
      <c r="D196" s="228"/>
      <c r="E196" s="228"/>
      <c r="F196" s="228"/>
      <c r="G196" s="216" t="s">
        <v>1333</v>
      </c>
      <c r="H196" s="216" t="s">
        <v>624</v>
      </c>
      <c r="I196" s="570"/>
      <c r="J196" s="294" t="str">
        <f>IF(ISBLANK(HLOOKUP(CaseName,CaseData,MATCH($G196,cases!$G$4:$G$2458,0),FALSE)),"",HLOOKUP(CaseName,CaseData,MATCH($G196,cases!$G$4:$G$2458,0),FALSE))</f>
        <v/>
      </c>
      <c r="K196" s="407">
        <f>L213+L165/L28</f>
        <v>2.8953682563883014E-9</v>
      </c>
      <c r="L196" s="298">
        <f t="shared" si="10"/>
        <v>2.8953682563883014E-9</v>
      </c>
      <c r="M196" s="228" t="s">
        <v>1048</v>
      </c>
      <c r="N196" s="228"/>
      <c r="O196" s="262"/>
      <c r="P196" s="215"/>
    </row>
    <row r="197" spans="1:16" ht="12.75" customHeight="1" x14ac:dyDescent="0.2">
      <c r="A197" s="216" t="s">
        <v>1334</v>
      </c>
      <c r="B197" s="228"/>
      <c r="C197" s="228"/>
      <c r="D197" s="228"/>
      <c r="E197" s="228"/>
      <c r="F197" s="228"/>
      <c r="G197" s="216" t="s">
        <v>1335</v>
      </c>
      <c r="H197" s="216" t="s">
        <v>624</v>
      </c>
      <c r="I197" s="570"/>
      <c r="J197" s="294" t="str">
        <f>IF(ISBLANK(HLOOKUP(CaseName,CaseData,MATCH($G197,cases!$G$4:$G$2458,0),FALSE)),"",HLOOKUP(CaseName,CaseData,MATCH($G197,cases!$G$4:$G$2458,0),FALSE))</f>
        <v/>
      </c>
      <c r="K197" s="407">
        <f>L214+L166/L29</f>
        <v>9.1429324159056473E-10</v>
      </c>
      <c r="L197" s="298">
        <f t="shared" si="10"/>
        <v>9.1429324159056473E-10</v>
      </c>
      <c r="M197" s="228" t="s">
        <v>1048</v>
      </c>
      <c r="N197" s="228"/>
      <c r="O197" s="262"/>
      <c r="P197" s="215"/>
    </row>
    <row r="198" spans="1:16" ht="12.75" customHeight="1" x14ac:dyDescent="0.2">
      <c r="A198" s="216" t="s">
        <v>1336</v>
      </c>
      <c r="B198" s="228"/>
      <c r="C198" s="228"/>
      <c r="D198" s="228"/>
      <c r="E198" s="228"/>
      <c r="F198" s="228"/>
      <c r="G198" s="216" t="s">
        <v>1337</v>
      </c>
      <c r="H198" s="216" t="s">
        <v>624</v>
      </c>
      <c r="I198" s="570"/>
      <c r="J198" s="294" t="str">
        <f>IF(ISBLANK(HLOOKUP(CaseName,CaseData,MATCH($G198,cases!$G$4:$G$2458,0),FALSE)),"",HLOOKUP(CaseName,CaseData,MATCH($G198,cases!$G$4:$G$2458,0),FALSE))</f>
        <v/>
      </c>
      <c r="K198" s="407">
        <f>L215+L218*RAINrate.R/L91*L221/L30</f>
        <v>3.1465974921184272E-11</v>
      </c>
      <c r="L198" s="298">
        <f t="shared" si="10"/>
        <v>3.1465974921184272E-11</v>
      </c>
      <c r="M198" s="228" t="s">
        <v>1048</v>
      </c>
      <c r="N198" s="228"/>
      <c r="O198" s="262"/>
      <c r="P198" s="215"/>
    </row>
    <row r="199" spans="1:16" ht="12.75" customHeight="1" x14ac:dyDescent="0.2">
      <c r="A199" s="216" t="s">
        <v>1338</v>
      </c>
      <c r="B199" s="228"/>
      <c r="C199" s="228"/>
      <c r="D199" s="228"/>
      <c r="E199" s="228"/>
      <c r="F199" s="228"/>
      <c r="G199" s="216" t="s">
        <v>1339</v>
      </c>
      <c r="H199" s="216" t="s">
        <v>624</v>
      </c>
      <c r="I199" s="570"/>
      <c r="J199" s="294" t="str">
        <f>IF(ISBLANK(HLOOKUP(CaseName,CaseData,MATCH($G199,cases!$G$4:$G$2458,0),FALSE)),"",HLOOKUP(CaseName,CaseData,MATCH($G199,cases!$G$4:$G$2458,0),FALSE))</f>
        <v/>
      </c>
      <c r="K199" s="407">
        <f>L216+L219*RAINrate.R/L96*L222/L31</f>
        <v>1.4318725114625945E-11</v>
      </c>
      <c r="L199" s="298">
        <f t="shared" si="10"/>
        <v>1.4318725114625945E-11</v>
      </c>
      <c r="M199" s="228" t="s">
        <v>1048</v>
      </c>
      <c r="N199" s="228"/>
      <c r="O199" s="262"/>
      <c r="P199" s="215"/>
    </row>
    <row r="200" spans="1:16" ht="12.75" customHeight="1" x14ac:dyDescent="0.2">
      <c r="A200" s="216" t="s">
        <v>1340</v>
      </c>
      <c r="B200" s="228"/>
      <c r="C200" s="228"/>
      <c r="D200" s="228"/>
      <c r="E200" s="228"/>
      <c r="F200" s="228"/>
      <c r="G200" s="216" t="s">
        <v>1341</v>
      </c>
      <c r="H200" s="216" t="s">
        <v>624</v>
      </c>
      <c r="I200" s="570"/>
      <c r="J200" s="294" t="str">
        <f>IF(ISBLANK(HLOOKUP(CaseName,CaseData,MATCH($G200,cases!$G$4:$G$2458,0),FALSE)),"",HLOOKUP(CaseName,CaseData,MATCH($G200,cases!$G$4:$G$2458,0),FALSE))</f>
        <v/>
      </c>
      <c r="K200" s="407">
        <f>L217+L220*RAINrate.R/L101*L223/L32</f>
        <v>3.1465974921184272E-11</v>
      </c>
      <c r="L200" s="298">
        <f t="shared" si="10"/>
        <v>3.1465974921184272E-11</v>
      </c>
      <c r="M200" s="228" t="s">
        <v>1048</v>
      </c>
      <c r="N200" s="228"/>
      <c r="O200" s="262"/>
      <c r="P200" s="215"/>
    </row>
    <row r="201" spans="1:16" ht="12.75" customHeight="1" x14ac:dyDescent="0.2">
      <c r="A201" s="216"/>
      <c r="B201" s="216" t="s">
        <v>1342</v>
      </c>
      <c r="C201" s="579"/>
      <c r="D201" s="228"/>
      <c r="E201" s="228"/>
      <c r="F201" s="228"/>
      <c r="G201" s="579" t="s">
        <v>1343</v>
      </c>
      <c r="H201" s="216" t="s">
        <v>624</v>
      </c>
      <c r="I201" s="570"/>
      <c r="J201" s="294" t="str">
        <f>IF(ISBLANK(HLOOKUP(CaseName,CaseData,MATCH($G201,cases!$G$4:$G$2458,0),FALSE)),"",HLOOKUP(CaseName,CaseData,MATCH($G201,cases!$G$4:$G$2458,0),FALSE))</f>
        <v/>
      </c>
      <c r="K201" s="407">
        <f>LN(2)/(60*365*24*3600)</f>
        <v>3.663258818281463E-10</v>
      </c>
      <c r="L201" s="298">
        <f t="shared" si="10"/>
        <v>3.663258818281463E-10</v>
      </c>
      <c r="M201" s="216" t="s">
        <v>1048</v>
      </c>
      <c r="N201" s="228"/>
      <c r="O201" s="262"/>
      <c r="P201" s="215"/>
    </row>
    <row r="202" spans="1:16" ht="12.75" customHeight="1" x14ac:dyDescent="0.2">
      <c r="A202" s="216"/>
      <c r="B202" s="216" t="s">
        <v>1344</v>
      </c>
      <c r="C202" s="228"/>
      <c r="D202" s="228"/>
      <c r="E202" s="228"/>
      <c r="F202" s="228"/>
      <c r="G202" s="216" t="s">
        <v>1345</v>
      </c>
      <c r="H202" s="216" t="s">
        <v>624</v>
      </c>
      <c r="I202" s="570"/>
      <c r="J202" s="294" t="str">
        <f>IF(ISBLANK(HLOOKUP(CaseName,CaseData,MATCH($G202,cases!$G$4:$G$2458,0),FALSE)),"",HLOOKUP(CaseName,CaseData,MATCH($G202,cases!$G$4:$G$2458,0),FALSE))</f>
        <v/>
      </c>
      <c r="K202" s="407">
        <f>L64*kdegG.air*(L203/C.OHrad)*L204</f>
        <v>3.8083662994282794E-33</v>
      </c>
      <c r="L202" s="298">
        <f t="shared" si="10"/>
        <v>3.8083662994282794E-33</v>
      </c>
      <c r="M202" s="216" t="s">
        <v>1048</v>
      </c>
      <c r="N202" s="228"/>
      <c r="O202" s="262"/>
      <c r="P202" s="215"/>
    </row>
    <row r="203" spans="1:16" ht="12.75" customHeight="1" x14ac:dyDescent="0.2">
      <c r="A203" s="579"/>
      <c r="B203" s="579"/>
      <c r="C203" s="216" t="s">
        <v>1346</v>
      </c>
      <c r="D203" s="228"/>
      <c r="E203" s="228"/>
      <c r="F203" s="228"/>
      <c r="G203" s="216" t="s">
        <v>1347</v>
      </c>
      <c r="H203" s="216" t="s">
        <v>627</v>
      </c>
      <c r="I203" s="570"/>
      <c r="J203" s="294" t="str">
        <f>IF(ISBLANK(HLOOKUP(CaseName,CaseData,MATCH($G203,cases!$G$4:$G$2458,0),FALSE)),"",HLOOKUP(CaseName,CaseData,MATCH($G203,cases!$G$4:$G$2458,0),FALSE))</f>
        <v/>
      </c>
      <c r="K203" s="407">
        <v>500000</v>
      </c>
      <c r="L203" s="298">
        <f t="shared" si="10"/>
        <v>500000</v>
      </c>
      <c r="M203" s="216" t="s">
        <v>1348</v>
      </c>
      <c r="N203" s="228"/>
      <c r="O203" s="262"/>
      <c r="P203" s="215"/>
    </row>
    <row r="204" spans="1:16" ht="12.75" customHeight="1" x14ac:dyDescent="0.2">
      <c r="A204" s="579"/>
      <c r="B204" s="579"/>
      <c r="C204" s="216" t="s">
        <v>1349</v>
      </c>
      <c r="D204" s="228"/>
      <c r="E204" s="228"/>
      <c r="F204" s="228"/>
      <c r="G204" s="216" t="s">
        <v>1350</v>
      </c>
      <c r="H204" s="216" t="s">
        <v>296</v>
      </c>
      <c r="I204" s="570"/>
      <c r="J204" s="294" t="str">
        <f>IF(ISBLANK(HLOOKUP(CaseName,CaseData,MATCH($G204,cases!$G$4:$G$2458,0),FALSE)),"",HLOOKUP(CaseName,CaseData,MATCH($G204,cases!$G$4:$G$2458,0),FALSE))</f>
        <v/>
      </c>
      <c r="K204" s="407">
        <f>EXP((Ea.OHrad/8.314)*(TEMP.R-298)/298^2)</f>
        <v>0.89974332049812744</v>
      </c>
      <c r="L204" s="298">
        <f t="shared" si="10"/>
        <v>0.89974332049812744</v>
      </c>
      <c r="M204" s="216" t="s">
        <v>297</v>
      </c>
      <c r="N204" s="228"/>
      <c r="O204" s="262"/>
      <c r="P204" s="215"/>
    </row>
    <row r="205" spans="1:16" ht="12.75" customHeight="1" x14ac:dyDescent="0.2">
      <c r="A205" s="216"/>
      <c r="B205" s="216" t="s">
        <v>1351</v>
      </c>
      <c r="C205" s="228"/>
      <c r="D205" s="228"/>
      <c r="E205" s="228"/>
      <c r="F205" s="228"/>
      <c r="G205" s="216" t="s">
        <v>1352</v>
      </c>
      <c r="H205" s="216" t="s">
        <v>624</v>
      </c>
      <c r="I205" s="570"/>
      <c r="J205" s="294" t="str">
        <f>IF(ISBLANK(HLOOKUP(CaseName,CaseData,MATCH($G205,cases!$G$4:$G$2458,0),FALSE)),"",HLOOKUP(CaseName,CaseData,MATCH($G205,cases!$G$4:$G$2458,0),FALSE))</f>
        <v/>
      </c>
      <c r="K205" s="407">
        <f>kdeg.water*L211*(L208/BACT.test)*L70</f>
        <v>4.0601657370321782E-21</v>
      </c>
      <c r="L205" s="298">
        <f t="shared" si="10"/>
        <v>4.0601657370321782E-21</v>
      </c>
      <c r="M205" s="216" t="s">
        <v>1048</v>
      </c>
      <c r="N205" s="228"/>
      <c r="O205" s="262"/>
      <c r="P205" s="215"/>
    </row>
    <row r="206" spans="1:16" ht="12.75" customHeight="1" x14ac:dyDescent="0.2">
      <c r="A206" s="216"/>
      <c r="B206" s="216" t="s">
        <v>1353</v>
      </c>
      <c r="C206" s="228"/>
      <c r="D206" s="228"/>
      <c r="E206" s="228"/>
      <c r="F206" s="228"/>
      <c r="G206" s="216" t="s">
        <v>1354</v>
      </c>
      <c r="H206" s="216" t="s">
        <v>624</v>
      </c>
      <c r="I206" s="570"/>
      <c r="J206" s="294" t="str">
        <f>IF(ISBLANK(HLOOKUP(CaseName,CaseData,MATCH($G206,cases!$G$4:$G$2458,0),FALSE)),"",HLOOKUP(CaseName,CaseData,MATCH($G206,cases!$G$4:$G$2458,0),FALSE))</f>
        <v/>
      </c>
      <c r="K206" s="407">
        <f>kdeg.water*L211*(L209/BACT.test)*L74</f>
        <v>4.0542886053799232E-21</v>
      </c>
      <c r="L206" s="298">
        <f t="shared" si="10"/>
        <v>4.0542886053799232E-21</v>
      </c>
      <c r="M206" s="216" t="s">
        <v>1048</v>
      </c>
      <c r="N206" s="228"/>
      <c r="O206" s="262"/>
      <c r="P206" s="215"/>
    </row>
    <row r="207" spans="1:16" ht="12.75" customHeight="1" x14ac:dyDescent="0.2">
      <c r="A207" s="216"/>
      <c r="B207" s="216" t="s">
        <v>1355</v>
      </c>
      <c r="C207" s="228"/>
      <c r="D207" s="228"/>
      <c r="E207" s="228"/>
      <c r="F207" s="228"/>
      <c r="G207" s="216" t="s">
        <v>1356</v>
      </c>
      <c r="H207" s="216" t="s">
        <v>624</v>
      </c>
      <c r="I207" s="570"/>
      <c r="J207" s="294" t="str">
        <f>IF(ISBLANK(HLOOKUP(CaseName,CaseData,MATCH($G207,cases!$G$4:$G$2458,0),FALSE)),"",HLOOKUP(CaseName,CaseData,MATCH($G207,cases!$G$4:$G$2458,0),FALSE))</f>
        <v/>
      </c>
      <c r="K207" s="407">
        <f>kdeg.water*L211*(L210/BACT.test)*L78</f>
        <v>4.0583399769977389E-21</v>
      </c>
      <c r="L207" s="298">
        <f t="shared" si="10"/>
        <v>4.0583399769977389E-21</v>
      </c>
      <c r="M207" s="216" t="s">
        <v>1048</v>
      </c>
      <c r="N207" s="228"/>
      <c r="O207" s="262"/>
      <c r="P207" s="215"/>
    </row>
    <row r="208" spans="1:16" ht="12.75" customHeight="1" x14ac:dyDescent="0.2">
      <c r="A208" s="216"/>
      <c r="B208" s="216"/>
      <c r="C208" s="216" t="s">
        <v>1357</v>
      </c>
      <c r="D208" s="228"/>
      <c r="E208" s="228"/>
      <c r="F208" s="228"/>
      <c r="G208" s="579" t="s">
        <v>1358</v>
      </c>
      <c r="H208" s="216" t="s">
        <v>1359</v>
      </c>
      <c r="I208" s="570"/>
      <c r="J208" s="294" t="str">
        <f>IF(ISBLANK(HLOOKUP(CaseName,CaseData,MATCH($G208,cases!$G$4:$G$2458,0),FALSE)),"",HLOOKUP(CaseName,CaseData,MATCH($G208,cases!$G$4:$G$2458,0),FALSE))</f>
        <v/>
      </c>
      <c r="K208" s="407">
        <v>40000</v>
      </c>
      <c r="L208" s="298">
        <f t="shared" si="10"/>
        <v>40000</v>
      </c>
      <c r="M208" s="216" t="s">
        <v>1360</v>
      </c>
      <c r="N208" s="228"/>
      <c r="O208" s="262"/>
      <c r="P208" s="215"/>
    </row>
    <row r="209" spans="1:16" ht="12.75" customHeight="1" x14ac:dyDescent="0.2">
      <c r="A209" s="216"/>
      <c r="B209" s="216"/>
      <c r="C209" s="216" t="s">
        <v>1361</v>
      </c>
      <c r="D209" s="228"/>
      <c r="E209" s="228"/>
      <c r="F209" s="228"/>
      <c r="G209" s="579" t="s">
        <v>1362</v>
      </c>
      <c r="H209" s="216" t="s">
        <v>1359</v>
      </c>
      <c r="I209" s="570"/>
      <c r="J209" s="294" t="str">
        <f>IF(ISBLANK(HLOOKUP(CaseName,CaseData,MATCH($G209,cases!$G$4:$G$2458,0),FALSE)),"",HLOOKUP(CaseName,CaseData,MATCH($G209,cases!$G$4:$G$2458,0),FALSE))</f>
        <v/>
      </c>
      <c r="K209" s="407">
        <v>40000</v>
      </c>
      <c r="L209" s="298">
        <f t="shared" si="10"/>
        <v>40000</v>
      </c>
      <c r="M209" s="216" t="s">
        <v>1360</v>
      </c>
      <c r="N209" s="228"/>
      <c r="O209" s="262"/>
      <c r="P209" s="215"/>
    </row>
    <row r="210" spans="1:16" ht="12.75" customHeight="1" x14ac:dyDescent="0.2">
      <c r="A210" s="216"/>
      <c r="B210" s="216"/>
      <c r="C210" s="216" t="s">
        <v>1363</v>
      </c>
      <c r="D210" s="228"/>
      <c r="E210" s="228"/>
      <c r="F210" s="228"/>
      <c r="G210" s="579" t="s">
        <v>1364</v>
      </c>
      <c r="H210" s="216" t="s">
        <v>1359</v>
      </c>
      <c r="I210" s="570"/>
      <c r="J210" s="294" t="str">
        <f>IF(ISBLANK(HLOOKUP(CaseName,CaseData,MATCH($G210,cases!$G$4:$G$2458,0),FALSE)),"",HLOOKUP(CaseName,CaseData,MATCH($G210,cases!$G$4:$G$2458,0),FALSE))</f>
        <v/>
      </c>
      <c r="K210" s="407">
        <v>40000</v>
      </c>
      <c r="L210" s="298">
        <f t="shared" si="10"/>
        <v>40000</v>
      </c>
      <c r="M210" s="216" t="s">
        <v>1360</v>
      </c>
      <c r="N210" s="228"/>
      <c r="O210" s="262"/>
      <c r="P210" s="215"/>
    </row>
    <row r="211" spans="1:16" ht="12.75" customHeight="1" x14ac:dyDescent="0.2">
      <c r="A211" s="579"/>
      <c r="B211" s="579"/>
      <c r="C211" s="216" t="s">
        <v>1365</v>
      </c>
      <c r="D211" s="228"/>
      <c r="E211" s="228"/>
      <c r="F211" s="228"/>
      <c r="G211" s="216" t="s">
        <v>1366</v>
      </c>
      <c r="H211" s="216" t="s">
        <v>296</v>
      </c>
      <c r="I211" s="570"/>
      <c r="J211" s="294" t="str">
        <f>IF(ISBLANK(HLOOKUP(CaseName,CaseData,MATCH($G211,cases!$G$4:$G$2458,0),FALSE)),"",HLOOKUP(CaseName,CaseData,MATCH($G211,cases!$G$4:$G$2458,0),FALSE))</f>
        <v/>
      </c>
      <c r="K211" s="407">
        <f>Q.10^((TEMP.R-298)/10)</f>
        <v>0.40612619817811774</v>
      </c>
      <c r="L211" s="298">
        <f t="shared" si="10"/>
        <v>0.40612619817811774</v>
      </c>
      <c r="M211" s="216" t="s">
        <v>297</v>
      </c>
      <c r="N211" s="228"/>
      <c r="O211" s="262"/>
      <c r="P211" s="215"/>
    </row>
    <row r="212" spans="1:16" ht="12.75" customHeight="1" x14ac:dyDescent="0.2">
      <c r="A212" s="568"/>
      <c r="B212" s="568" t="s">
        <v>1367</v>
      </c>
      <c r="C212" s="567"/>
      <c r="D212" s="567"/>
      <c r="E212" s="567"/>
      <c r="F212" s="567"/>
      <c r="G212" s="568" t="s">
        <v>1368</v>
      </c>
      <c r="H212" s="568" t="s">
        <v>624</v>
      </c>
      <c r="I212" s="570"/>
      <c r="J212" s="294" t="str">
        <f>IF(ISBLANK(HLOOKUP(CaseName,CaseData,MATCH($G212,cases!$G$4:$G$2458,0),FALSE)),"",HLOOKUP(CaseName,CaseData,MATCH($G212,cases!$G$4:$G$2458,0),FALSE))</f>
        <v/>
      </c>
      <c r="K212" s="577">
        <f>L211*kdeg.sed</f>
        <v>4.0612619817811774E-21</v>
      </c>
      <c r="L212" s="298">
        <f t="shared" si="10"/>
        <v>4.0612619817811774E-21</v>
      </c>
      <c r="M212" s="568" t="s">
        <v>1048</v>
      </c>
      <c r="N212" s="567"/>
      <c r="O212" s="606"/>
      <c r="P212" s="585"/>
    </row>
    <row r="213" spans="1:16" ht="12.75" customHeight="1" x14ac:dyDescent="0.2">
      <c r="A213" s="216"/>
      <c r="B213" s="216" t="s">
        <v>1369</v>
      </c>
      <c r="C213" s="228"/>
      <c r="D213" s="228"/>
      <c r="E213" s="228"/>
      <c r="F213" s="228"/>
      <c r="G213" s="216" t="s">
        <v>1370</v>
      </c>
      <c r="H213" s="216" t="s">
        <v>624</v>
      </c>
      <c r="I213" s="570"/>
      <c r="J213" s="294" t="str">
        <f>IF(ISBLANK(HLOOKUP(CaseName,CaseData,MATCH($G213,cases!$G$4:$G$2458,0),FALSE)),"",HLOOKUP(CaseName,CaseData,MATCH($G213,cases!$G$4:$G$2458,0),FALSE))</f>
        <v/>
      </c>
      <c r="K213" s="407">
        <f>L211*kdeg.sed</f>
        <v>4.0612619817811774E-21</v>
      </c>
      <c r="L213" s="298">
        <f t="shared" si="10"/>
        <v>4.0612619817811774E-21</v>
      </c>
      <c r="M213" s="216" t="s">
        <v>1048</v>
      </c>
      <c r="N213" s="228"/>
      <c r="O213" s="262"/>
      <c r="P213" s="215"/>
    </row>
    <row r="214" spans="1:16" ht="12.75" customHeight="1" x14ac:dyDescent="0.2">
      <c r="A214" s="216"/>
      <c r="B214" s="216" t="s">
        <v>1371</v>
      </c>
      <c r="C214" s="228"/>
      <c r="D214" s="228"/>
      <c r="E214" s="228"/>
      <c r="F214" s="228"/>
      <c r="G214" s="216" t="s">
        <v>1372</v>
      </c>
      <c r="H214" s="216" t="s">
        <v>624</v>
      </c>
      <c r="I214" s="570"/>
      <c r="J214" s="294" t="str">
        <f>IF(ISBLANK(HLOOKUP(CaseName,CaseData,MATCH($G214,cases!$G$4:$G$2458,0),FALSE)),"",HLOOKUP(CaseName,CaseData,MATCH($G214,cases!$G$4:$G$2458,0),FALSE))</f>
        <v/>
      </c>
      <c r="K214" s="407">
        <f>L211*kdeg.sed</f>
        <v>4.0612619817811774E-21</v>
      </c>
      <c r="L214" s="298">
        <f t="shared" si="10"/>
        <v>4.0612619817811774E-21</v>
      </c>
      <c r="M214" s="216" t="s">
        <v>1048</v>
      </c>
      <c r="N214" s="228"/>
      <c r="O214" s="262"/>
      <c r="P214" s="215"/>
    </row>
    <row r="215" spans="1:16" ht="12.75" customHeight="1" x14ac:dyDescent="0.2">
      <c r="A215" s="216"/>
      <c r="B215" s="216" t="s">
        <v>1373</v>
      </c>
      <c r="C215" s="228"/>
      <c r="D215" s="228"/>
      <c r="E215" s="228"/>
      <c r="F215" s="228"/>
      <c r="G215" s="216" t="s">
        <v>1374</v>
      </c>
      <c r="H215" s="216" t="s">
        <v>624</v>
      </c>
      <c r="I215" s="570"/>
      <c r="J215" s="294" t="str">
        <f>IF(ISBLANK(HLOOKUP(CaseName,CaseData,MATCH($G215,cases!$G$4:$G$2458,0),FALSE)),"",HLOOKUP(CaseName,CaseData,MATCH($G215,cases!$G$4:$G$2458,0),FALSE))</f>
        <v/>
      </c>
      <c r="K215" s="407">
        <f>L211*kdeg.soil</f>
        <v>4.0612619817811774E-21</v>
      </c>
      <c r="L215" s="298">
        <f t="shared" si="10"/>
        <v>4.0612619817811774E-21</v>
      </c>
      <c r="M215" s="216" t="s">
        <v>1048</v>
      </c>
      <c r="N215" s="228"/>
      <c r="O215" s="262"/>
      <c r="P215" s="215"/>
    </row>
    <row r="216" spans="1:16" ht="12.75" customHeight="1" x14ac:dyDescent="0.2">
      <c r="A216" s="216"/>
      <c r="B216" s="216" t="s">
        <v>1375</v>
      </c>
      <c r="C216" s="228"/>
      <c r="D216" s="228"/>
      <c r="E216" s="228"/>
      <c r="F216" s="228"/>
      <c r="G216" s="216" t="s">
        <v>1376</v>
      </c>
      <c r="H216" s="216" t="s">
        <v>624</v>
      </c>
      <c r="I216" s="570"/>
      <c r="J216" s="294" t="str">
        <f>IF(ISBLANK(HLOOKUP(CaseName,CaseData,MATCH($G216,cases!$G$4:$G$2458,0),FALSE)),"",HLOOKUP(CaseName,CaseData,MATCH($G216,cases!$G$4:$G$2458,0),FALSE))</f>
        <v/>
      </c>
      <c r="K216" s="407">
        <f>L211*kdeg.soil</f>
        <v>4.0612619817811774E-21</v>
      </c>
      <c r="L216" s="298">
        <f t="shared" si="10"/>
        <v>4.0612619817811774E-21</v>
      </c>
      <c r="M216" s="216" t="s">
        <v>1048</v>
      </c>
      <c r="N216" s="228"/>
      <c r="O216" s="262"/>
      <c r="P216" s="215"/>
    </row>
    <row r="217" spans="1:16" ht="12.75" customHeight="1" x14ac:dyDescent="0.2">
      <c r="A217" s="216"/>
      <c r="B217" s="216" t="s">
        <v>1377</v>
      </c>
      <c r="C217" s="228"/>
      <c r="D217" s="228"/>
      <c r="E217" s="228"/>
      <c r="F217" s="228"/>
      <c r="G217" s="216" t="s">
        <v>1378</v>
      </c>
      <c r="H217" s="216" t="s">
        <v>624</v>
      </c>
      <c r="I217" s="570"/>
      <c r="J217" s="294" t="str">
        <f>IF(ISBLANK(HLOOKUP(CaseName,CaseData,MATCH($G217,cases!$G$4:$G$2458,0),FALSE)),"",HLOOKUP(CaseName,CaseData,MATCH($G217,cases!$G$4:$G$2458,0),FALSE))</f>
        <v/>
      </c>
      <c r="K217" s="407">
        <f>L211*kdeg.soil</f>
        <v>4.0612619817811774E-21</v>
      </c>
      <c r="L217" s="298">
        <f t="shared" si="10"/>
        <v>4.0612619817811774E-21</v>
      </c>
      <c r="M217" s="216" t="s">
        <v>1048</v>
      </c>
      <c r="N217" s="228"/>
      <c r="O217" s="262"/>
      <c r="P217" s="215"/>
    </row>
    <row r="218" spans="1:16" ht="12.75" customHeight="1" x14ac:dyDescent="0.2">
      <c r="A218" s="216"/>
      <c r="B218" s="216"/>
      <c r="C218" s="216" t="s">
        <v>1379</v>
      </c>
      <c r="D218" s="228"/>
      <c r="E218" s="228"/>
      <c r="F218" s="228"/>
      <c r="G218" s="579" t="s">
        <v>1380</v>
      </c>
      <c r="H218" s="216" t="s">
        <v>296</v>
      </c>
      <c r="I218" s="570"/>
      <c r="J218" s="294" t="str">
        <f>IF(ISBLANK(HLOOKUP(CaseName,CaseData,MATCH($G218,cases!$G$4:$G$2458,0),FALSE)),"",HLOOKUP(CaseName,CaseData,MATCH($G218,cases!$G$4:$G$2458,0),FALSE))</f>
        <v/>
      </c>
      <c r="K218" s="407">
        <f>FRACinf.R</f>
        <v>0.25</v>
      </c>
      <c r="L218" s="298">
        <f t="shared" si="10"/>
        <v>0.25</v>
      </c>
      <c r="M218" s="216" t="s">
        <v>297</v>
      </c>
      <c r="N218" s="228"/>
      <c r="O218" s="262"/>
      <c r="P218" s="215"/>
    </row>
    <row r="219" spans="1:16" ht="12.75" customHeight="1" x14ac:dyDescent="0.2">
      <c r="A219" s="216"/>
      <c r="B219" s="216"/>
      <c r="C219" s="216" t="s">
        <v>1381</v>
      </c>
      <c r="D219" s="228"/>
      <c r="E219" s="228"/>
      <c r="F219" s="228"/>
      <c r="G219" s="579" t="s">
        <v>1382</v>
      </c>
      <c r="H219" s="216" t="s">
        <v>296</v>
      </c>
      <c r="I219" s="570"/>
      <c r="J219" s="294" t="str">
        <f>IF(ISBLANK(HLOOKUP(CaseName,CaseData,MATCH($G219,cases!$G$4:$G$2458,0),FALSE)),"",HLOOKUP(CaseName,CaseData,MATCH($G219,cases!$G$4:$G$2458,0),FALSE))</f>
        <v/>
      </c>
      <c r="K219" s="407">
        <f>FRACinf.R</f>
        <v>0.25</v>
      </c>
      <c r="L219" s="298">
        <f t="shared" si="10"/>
        <v>0.25</v>
      </c>
      <c r="M219" s="216" t="s">
        <v>297</v>
      </c>
      <c r="N219" s="228"/>
      <c r="O219" s="262"/>
      <c r="P219" s="215"/>
    </row>
    <row r="220" spans="1:16" ht="12.75" customHeight="1" x14ac:dyDescent="0.2">
      <c r="A220" s="228"/>
      <c r="B220" s="228"/>
      <c r="C220" s="216" t="s">
        <v>1383</v>
      </c>
      <c r="D220" s="228"/>
      <c r="E220" s="228"/>
      <c r="F220" s="228"/>
      <c r="G220" s="579" t="s">
        <v>1384</v>
      </c>
      <c r="H220" s="216" t="s">
        <v>296</v>
      </c>
      <c r="I220" s="570"/>
      <c r="J220" s="294" t="str">
        <f>IF(ISBLANK(HLOOKUP(CaseName,CaseData,MATCH($G220,cases!$G$4:$G$2458,0),FALSE)),"",HLOOKUP(CaseName,CaseData,MATCH($G220,cases!$G$4:$G$2458,0),FALSE))</f>
        <v/>
      </c>
      <c r="K220" s="407">
        <f>FRACinf.R</f>
        <v>0.25</v>
      </c>
      <c r="L220" s="298">
        <f t="shared" si="10"/>
        <v>0.25</v>
      </c>
      <c r="M220" s="216" t="s">
        <v>297</v>
      </c>
      <c r="N220" s="228"/>
      <c r="O220" s="262"/>
      <c r="P220" s="215"/>
    </row>
    <row r="221" spans="1:16" ht="12.75" customHeight="1" x14ac:dyDescent="0.2">
      <c r="A221" s="216"/>
      <c r="B221" s="216"/>
      <c r="C221" s="228" t="s">
        <v>1236</v>
      </c>
      <c r="D221" s="228"/>
      <c r="E221" s="579"/>
      <c r="F221" s="579"/>
      <c r="G221" s="216" t="s">
        <v>1385</v>
      </c>
      <c r="H221" s="228" t="s">
        <v>296</v>
      </c>
      <c r="I221" s="570"/>
      <c r="J221" s="294" t="str">
        <f>IF(ISBLANK(HLOOKUP(CaseName,CaseData,MATCH($G221,cases!$G$4:$G$2458,0),FALSE)),"",HLOOKUP(CaseName,CaseData,MATCH($G221,cases!$G$4:$G$2458,0),FALSE))</f>
        <v/>
      </c>
      <c r="K221" s="407">
        <f>(EXP((-1/0.1)*0.5)*(1/0.1)*L30/(1-EXP((-1/0.1)*L30)))</f>
        <v>8.5622262133111474E-3</v>
      </c>
      <c r="L221" s="298">
        <f t="shared" si="10"/>
        <v>8.5622262133111474E-3</v>
      </c>
      <c r="M221" s="228" t="s">
        <v>297</v>
      </c>
      <c r="N221" s="228" t="s">
        <v>1238</v>
      </c>
      <c r="O221" s="262"/>
      <c r="P221" s="215"/>
    </row>
    <row r="222" spans="1:16" ht="12.75" customHeight="1" x14ac:dyDescent="0.2">
      <c r="A222" s="216"/>
      <c r="B222" s="216"/>
      <c r="C222" s="228" t="s">
        <v>1236</v>
      </c>
      <c r="D222" s="228"/>
      <c r="E222" s="579"/>
      <c r="F222" s="579"/>
      <c r="G222" s="216" t="s">
        <v>1386</v>
      </c>
      <c r="H222" s="228" t="s">
        <v>296</v>
      </c>
      <c r="I222" s="570"/>
      <c r="J222" s="294" t="str">
        <f>IF(ISBLANK(HLOOKUP(CaseName,CaseData,MATCH($G222,cases!$G$4:$G$2458,0),FALSE)),"",HLOOKUP(CaseName,CaseData,MATCH($G222,cases!$G$4:$G$2458,0),FALSE))</f>
        <v/>
      </c>
      <c r="K222" s="407">
        <f>(EXP((-1/0.1)*0.5)*(1/0.1)*L31/(1-EXP((-1/0.1)*L31)))</f>
        <v>1.5585109160709019E-2</v>
      </c>
      <c r="L222" s="298">
        <f t="shared" si="10"/>
        <v>1.5585109160709019E-2</v>
      </c>
      <c r="M222" s="228" t="s">
        <v>297</v>
      </c>
      <c r="N222" s="228" t="s">
        <v>1238</v>
      </c>
      <c r="O222" s="262"/>
      <c r="P222" s="215"/>
    </row>
    <row r="223" spans="1:16" ht="12.75" customHeight="1" x14ac:dyDescent="0.2">
      <c r="A223" s="216"/>
      <c r="B223" s="216"/>
      <c r="C223" s="228" t="s">
        <v>1236</v>
      </c>
      <c r="D223" s="228"/>
      <c r="E223" s="579"/>
      <c r="F223" s="579"/>
      <c r="G223" s="216" t="s">
        <v>1387</v>
      </c>
      <c r="H223" s="228" t="s">
        <v>296</v>
      </c>
      <c r="I223" s="570"/>
      <c r="J223" s="294" t="str">
        <f>IF(ISBLANK(HLOOKUP(CaseName,CaseData,MATCH($G223,cases!$G$4:$G$2458,0),FALSE)),"",HLOOKUP(CaseName,CaseData,MATCH($G223,cases!$G$4:$G$2458,0),FALSE))</f>
        <v/>
      </c>
      <c r="K223" s="407">
        <f>(EXP((-1/0.1)*0.5)*(1/0.1)*L32/(1-EXP((-1/0.1)*L32)))</f>
        <v>8.5622262133111474E-3</v>
      </c>
      <c r="L223" s="298">
        <f t="shared" si="10"/>
        <v>8.5622262133111474E-3</v>
      </c>
      <c r="M223" s="228" t="s">
        <v>297</v>
      </c>
      <c r="N223" s="228" t="s">
        <v>1238</v>
      </c>
      <c r="O223" s="262"/>
      <c r="P223" s="215"/>
    </row>
    <row r="224" spans="1:16" s="632" customFormat="1" ht="12.75" customHeight="1" x14ac:dyDescent="0.2">
      <c r="A224" s="487"/>
      <c r="B224" s="487"/>
      <c r="C224" s="487"/>
      <c r="D224" s="487"/>
      <c r="E224" s="487"/>
      <c r="F224" s="487"/>
      <c r="G224" s="651"/>
      <c r="H224" s="651"/>
      <c r="I224" s="652"/>
      <c r="J224" s="653"/>
      <c r="K224" s="469"/>
      <c r="L224" s="654"/>
      <c r="M224" s="487"/>
      <c r="N224" s="487"/>
      <c r="O224" s="962"/>
      <c r="P224" s="963"/>
    </row>
    <row r="225" spans="1:17" ht="12.75" customHeight="1" x14ac:dyDescent="0.2">
      <c r="A225" t="s">
        <v>1388</v>
      </c>
      <c r="I225" s="612"/>
      <c r="O225" s="19"/>
      <c r="P225" s="11"/>
      <c r="Q225" s="11"/>
    </row>
    <row r="226" spans="1:17" s="413" customFormat="1" ht="12.75" customHeight="1" x14ac:dyDescent="0.2">
      <c r="A226" s="631" t="s">
        <v>1389</v>
      </c>
      <c r="G226" s="631" t="s">
        <v>263</v>
      </c>
      <c r="H226" s="631" t="s">
        <v>279</v>
      </c>
      <c r="I226" s="647" t="s">
        <v>264</v>
      </c>
      <c r="J226" s="498" t="s">
        <v>280</v>
      </c>
      <c r="K226" s="648" t="s">
        <v>265</v>
      </c>
      <c r="L226" s="649" t="s">
        <v>266</v>
      </c>
      <c r="N226" s="631" t="s">
        <v>267</v>
      </c>
      <c r="O226" s="209" t="s">
        <v>1390</v>
      </c>
      <c r="P226" s="413" t="s">
        <v>1391</v>
      </c>
    </row>
    <row r="227" spans="1:17" s="410" customFormat="1" ht="12.75" customHeight="1" x14ac:dyDescent="0.2">
      <c r="A227" s="410" t="s">
        <v>1392</v>
      </c>
      <c r="G227" s="655"/>
      <c r="H227" s="655"/>
      <c r="I227" s="656"/>
      <c r="J227" s="657"/>
      <c r="K227" s="658"/>
      <c r="L227" s="659"/>
      <c r="O227" s="417"/>
    </row>
    <row r="228" spans="1:17" customFormat="1" ht="12.75" customHeight="1" x14ac:dyDescent="0.2">
      <c r="A228" s="567" t="s">
        <v>1393</v>
      </c>
      <c r="B228" s="567"/>
      <c r="C228" s="567"/>
      <c r="D228" s="567"/>
      <c r="E228" s="567"/>
      <c r="F228" s="567"/>
      <c r="G228" s="567" t="s">
        <v>1394</v>
      </c>
      <c r="H228" s="568" t="s">
        <v>340</v>
      </c>
      <c r="I228" s="573"/>
      <c r="J228" s="294" t="str">
        <f>IF(ISBLANK(HLOOKUP(CaseName,CaseData,MATCH($G228,cases!$G$4:$G$2458,0),FALSE)),"",HLOOKUP(CaseName,CaseData,MATCH($G228,cases!$G$4:$G$2458,0),FALSE))</f>
        <v/>
      </c>
      <c r="K228" s="621">
        <f>L229+L233</f>
        <v>5.2255041078331695E-5</v>
      </c>
      <c r="L228" s="298">
        <f t="shared" ref="L228:L240" si="11">IF(ISBLANK(I228),IF(ISNUMBER(J228)=FALSE,K228,J228),I228)</f>
        <v>5.2255041078331695E-5</v>
      </c>
      <c r="M228" s="568" t="s">
        <v>340</v>
      </c>
      <c r="N228" s="567"/>
      <c r="O228" s="605">
        <v>2</v>
      </c>
      <c r="P228" s="567" t="s">
        <v>1395</v>
      </c>
    </row>
    <row r="229" spans="1:17" s="11" customFormat="1" ht="12.75" customHeight="1" x14ac:dyDescent="0.2">
      <c r="A229" s="567"/>
      <c r="B229" s="567" t="s">
        <v>1396</v>
      </c>
      <c r="C229" s="567"/>
      <c r="D229" s="567"/>
      <c r="E229" s="567"/>
      <c r="F229" s="567"/>
      <c r="G229" s="567" t="s">
        <v>1397</v>
      </c>
      <c r="H229" s="567" t="s">
        <v>340</v>
      </c>
      <c r="I229" s="573"/>
      <c r="J229" s="294" t="str">
        <f>IF(ISBLANK(HLOOKUP(CaseName,CaseData,MATCH($G229,cases!$G$4:$G$2458,0),FALSE)),"",HLOOKUP(CaseName,CaseData,MATCH($G229,cases!$G$4:$G$2458,0),FALSE))</f>
        <v/>
      </c>
      <c r="K229" s="621">
        <f>L230*(4*PI()*(RadNuc+RadS)*(L231+DiffS.aR))*input!L275</f>
        <v>4.9939710008047184E-6</v>
      </c>
      <c r="L229" s="298">
        <f t="shared" si="11"/>
        <v>4.9939710008047184E-6</v>
      </c>
      <c r="M229" s="567" t="s">
        <v>340</v>
      </c>
      <c r="N229" s="567"/>
      <c r="O229" s="606">
        <v>10</v>
      </c>
      <c r="P229" s="567" t="s">
        <v>915</v>
      </c>
      <c r="Q229"/>
    </row>
    <row r="230" spans="1:17" ht="12.75" customHeight="1" x14ac:dyDescent="0.2">
      <c r="A230" s="567"/>
      <c r="B230" s="567"/>
      <c r="C230" s="567" t="s">
        <v>1398</v>
      </c>
      <c r="D230" s="567"/>
      <c r="E230" s="567"/>
      <c r="F230" s="567"/>
      <c r="G230" s="568" t="s">
        <v>1399</v>
      </c>
      <c r="H230" s="568" t="s">
        <v>296</v>
      </c>
      <c r="I230" s="573"/>
      <c r="J230" s="294" t="str">
        <f>IF(ISBLANK(HLOOKUP(CaseName,CaseData,MATCH($G230,cases!$G$4:$G$2458,0),FALSE)),"",HLOOKUP(CaseName,CaseData,MATCH($G230,cases!$G$4:$G$2458,0),FALSE))</f>
        <v/>
      </c>
      <c r="K230" s="621">
        <f>(1+(4*(DiffS.aR+L231))/((RadS+RadNuc)*(ThermvelS^2+L232^2)^0.5))^-1</f>
        <v>0.12482772414131724</v>
      </c>
      <c r="L230" s="298">
        <f t="shared" si="11"/>
        <v>0.12482772414131724</v>
      </c>
      <c r="M230" s="568" t="s">
        <v>296</v>
      </c>
      <c r="N230" s="567"/>
      <c r="O230" s="676" t="s">
        <v>1400</v>
      </c>
      <c r="P230" s="585"/>
      <c r="Q230"/>
    </row>
    <row r="231" spans="1:17" ht="12.75" customHeight="1" x14ac:dyDescent="0.2">
      <c r="A231" s="567"/>
      <c r="B231" s="567"/>
      <c r="C231" s="567"/>
      <c r="D231" s="567" t="s">
        <v>1401</v>
      </c>
      <c r="E231" s="567"/>
      <c r="F231" s="567"/>
      <c r="G231" s="567" t="s">
        <v>1402</v>
      </c>
      <c r="H231" s="567" t="s">
        <v>907</v>
      </c>
      <c r="I231" s="573"/>
      <c r="J231" s="294" t="str">
        <f>IF(ISBLANK(HLOOKUP(CaseName,CaseData,MATCH($G231,cases!$G$4:$G$2458,0),FALSE)),"",HLOOKUP(CaseName,CaseData,MATCH($G231,cases!$G$4:$G$2458,0),FALSE))</f>
        <v/>
      </c>
      <c r="K231" s="621">
        <f>(kboltz*TEMP.R*(1+(66*10^-9/RadNuc)*(1.142+0.558*EXP(-0.999/(66*10^-9/RadNuc)))))/(6*PI()*DYNVISC.a*RadNuc)</f>
        <v>1.349690832911066E-8</v>
      </c>
      <c r="L231" s="298">
        <f t="shared" si="11"/>
        <v>1.349690832911066E-8</v>
      </c>
      <c r="M231" s="567" t="s">
        <v>907</v>
      </c>
      <c r="N231" s="567"/>
      <c r="O231" s="606"/>
      <c r="P231" s="585"/>
      <c r="Q231"/>
    </row>
    <row r="232" spans="1:17" s="386" customFormat="1" ht="12.75" customHeight="1" x14ac:dyDescent="0.2">
      <c r="A232" s="567"/>
      <c r="B232" s="567"/>
      <c r="C232" s="567"/>
      <c r="D232" s="567" t="s">
        <v>1403</v>
      </c>
      <c r="E232" s="567"/>
      <c r="F232" s="567"/>
      <c r="G232" s="568" t="s">
        <v>1404</v>
      </c>
      <c r="H232" s="568" t="s">
        <v>873</v>
      </c>
      <c r="I232" s="573"/>
      <c r="J232" s="294" t="str">
        <f>IF(ISBLANK(HLOOKUP(CaseName,CaseData,MATCH($G232,cases!$G$4:$G$2458,0),FALSE)),"",HLOOKUP(CaseName,CaseData,MATCH($G232,cases!$G$4:$G$2458,0),FALSE))</f>
        <v/>
      </c>
      <c r="K232" s="621">
        <f>((8*kboltz*TEMP.R)/((PI()*(4/3*PI()*(RadNuc)^3*RhoNuc))))^0.5</f>
        <v>1.3564947467752155</v>
      </c>
      <c r="L232" s="298">
        <f t="shared" si="11"/>
        <v>1.3564947467752155</v>
      </c>
      <c r="M232" s="568" t="s">
        <v>873</v>
      </c>
      <c r="N232" s="578"/>
      <c r="O232" s="607"/>
      <c r="P232" s="578"/>
      <c r="Q232"/>
    </row>
    <row r="233" spans="1:17" ht="12.75" customHeight="1" x14ac:dyDescent="0.2">
      <c r="A233" s="567" t="s">
        <v>1405</v>
      </c>
      <c r="B233" s="567"/>
      <c r="C233" s="567"/>
      <c r="D233" s="567"/>
      <c r="E233" s="567"/>
      <c r="F233" s="567"/>
      <c r="G233" s="567" t="s">
        <v>1406</v>
      </c>
      <c r="H233" s="567" t="s">
        <v>340</v>
      </c>
      <c r="I233" s="573"/>
      <c r="J233" s="294" t="str">
        <f>IF(ISBLANK(HLOOKUP(CaseName,CaseData,MATCH($G233,cases!$G$4:$G$2458,0),FALSE)),"",HLOOKUP(CaseName,CaseData,MATCH($G233,cases!$G$4:$G$2458,0),FALSE))</f>
        <v/>
      </c>
      <c r="K233" s="621">
        <f>L236*(4*PI()*(RadAcc+RadS)*(L235+DiffS.aR))*input!L276</f>
        <v>4.7261070077526979E-5</v>
      </c>
      <c r="L233" s="298">
        <f t="shared" si="11"/>
        <v>4.7261070077526979E-5</v>
      </c>
      <c r="M233" s="567" t="s">
        <v>340</v>
      </c>
      <c r="N233" s="567"/>
      <c r="O233" s="606"/>
      <c r="P233" s="585"/>
      <c r="Q233"/>
    </row>
    <row r="234" spans="1:17" s="386" customFormat="1" ht="12.75" customHeight="1" x14ac:dyDescent="0.2">
      <c r="A234" s="567"/>
      <c r="B234" s="567"/>
      <c r="C234" s="567" t="s">
        <v>1407</v>
      </c>
      <c r="D234" s="567"/>
      <c r="E234" s="567"/>
      <c r="F234" s="567"/>
      <c r="G234" s="568" t="s">
        <v>1408</v>
      </c>
      <c r="H234" s="568" t="s">
        <v>873</v>
      </c>
      <c r="I234" s="573"/>
      <c r="J234" s="294" t="str">
        <f>IF(ISBLANK(HLOOKUP(CaseName,CaseData,MATCH($G234,cases!$G$4:$G$2458,0),FALSE)),"",HLOOKUP(CaseName,CaseData,MATCH($G234,cases!$G$4:$G$2458,0),FALSE))</f>
        <v/>
      </c>
      <c r="K234" s="621">
        <f>((8*kboltz*TEMP.R)/((PI()*(4/3*PI()*(RadAcc)^3)*RhoAcc)))^0.5</f>
        <v>7.8294779293570968E-2</v>
      </c>
      <c r="L234" s="298">
        <f t="shared" si="11"/>
        <v>7.8294779293570968E-2</v>
      </c>
      <c r="M234" s="568" t="s">
        <v>873</v>
      </c>
      <c r="N234" s="578"/>
      <c r="O234" s="607"/>
      <c r="P234" s="578"/>
      <c r="Q234"/>
    </row>
    <row r="235" spans="1:17" ht="12.75" customHeight="1" x14ac:dyDescent="0.2">
      <c r="A235" s="567"/>
      <c r="B235" s="567"/>
      <c r="C235" s="567" t="s">
        <v>1409</v>
      </c>
      <c r="D235" s="567"/>
      <c r="E235" s="567"/>
      <c r="F235" s="567"/>
      <c r="G235" s="567" t="s">
        <v>1410</v>
      </c>
      <c r="H235" s="567" t="s">
        <v>907</v>
      </c>
      <c r="I235" s="573"/>
      <c r="J235" s="294" t="str">
        <f>IF(ISBLANK(HLOOKUP(CaseName,CaseData,MATCH($G235,cases!$G$4:$G$2458,0),FALSE)),"",HLOOKUP(CaseName,CaseData,MATCH($G235,cases!$G$4:$G$2458,0),FALSE))</f>
        <v/>
      </c>
      <c r="K235" s="621">
        <f>(kboltz*TEMP.R*(1+(66*10^-9/RadAcc)*(1.142+0.558*EXP(-0.999/(66*10^-9/RadAcc)))))/(6*PI()*DYNVISC.a*RadAcc)</f>
        <v>5.097342013000671E-10</v>
      </c>
      <c r="L235" s="298">
        <f t="shared" si="11"/>
        <v>5.097342013000671E-10</v>
      </c>
      <c r="M235" s="567" t="s">
        <v>907</v>
      </c>
      <c r="N235" s="567"/>
      <c r="O235" s="606"/>
      <c r="P235" s="585"/>
      <c r="Q235"/>
    </row>
    <row r="236" spans="1:17" ht="12.75" customHeight="1" x14ac:dyDescent="0.2">
      <c r="A236" s="567"/>
      <c r="B236" s="567"/>
      <c r="C236" s="567" t="s">
        <v>1411</v>
      </c>
      <c r="D236" s="567"/>
      <c r="E236" s="567"/>
      <c r="F236" s="567"/>
      <c r="G236" s="568" t="s">
        <v>1412</v>
      </c>
      <c r="H236" s="568" t="s">
        <v>296</v>
      </c>
      <c r="I236" s="573"/>
      <c r="J236" s="294" t="str">
        <f>IF(ISBLANK(HLOOKUP(CaseName,CaseData,MATCH($G236,cases!$G$4:$G$2458,0),FALSE)),"",HLOOKUP(CaseName,CaseData,MATCH($G236,cases!$G$4:$G$2458,0),FALSE))</f>
        <v/>
      </c>
      <c r="K236" s="621">
        <f>(1+(4*(DiffS.aR+L235))/((RadS+RadAcc)*(L234^2+ThermvelS^2)^0.5))^-1</f>
        <v>0.38593273622626317</v>
      </c>
      <c r="L236" s="298">
        <f t="shared" si="11"/>
        <v>0.38593273622626317</v>
      </c>
      <c r="M236" s="568" t="s">
        <v>296</v>
      </c>
      <c r="N236" s="567"/>
      <c r="O236" s="606"/>
      <c r="P236" s="585"/>
      <c r="Q236"/>
    </row>
    <row r="237" spans="1:17" ht="12.75" customHeight="1" x14ac:dyDescent="0.2">
      <c r="A237" s="567" t="s">
        <v>1413</v>
      </c>
      <c r="B237" s="567"/>
      <c r="C237" s="567"/>
      <c r="D237" s="567"/>
      <c r="E237" s="567"/>
      <c r="F237" s="567"/>
      <c r="G237" s="568" t="s">
        <v>1414</v>
      </c>
      <c r="H237" s="568" t="s">
        <v>340</v>
      </c>
      <c r="I237" s="573"/>
      <c r="J237" s="294" t="str">
        <f>IF(ISBLANK(HLOOKUP(CaseName,CaseData,MATCH($G237,cases!$G$4:$G$2458,0),FALSE)),"",HLOOKUP(CaseName,CaseData,MATCH($G237,cases!$G$4:$G$2458,0),FALSE))</f>
        <v/>
      </c>
      <c r="K237" s="621">
        <f>L240*(4*PI()*(RadCP.a+RadS)*(L239+DiffS.aR))*input!L277</f>
        <v>1.6244683507574773E-7</v>
      </c>
      <c r="L237" s="298">
        <f t="shared" si="11"/>
        <v>1.6244683507574773E-7</v>
      </c>
      <c r="M237" s="567" t="s">
        <v>340</v>
      </c>
      <c r="N237" s="567"/>
      <c r="O237" s="606"/>
      <c r="P237" s="585"/>
      <c r="Q237"/>
    </row>
    <row r="238" spans="1:17" s="386" customFormat="1" ht="12.75" customHeight="1" x14ac:dyDescent="0.2">
      <c r="A238" s="567"/>
      <c r="B238" s="567" t="s">
        <v>1415</v>
      </c>
      <c r="C238" s="567"/>
      <c r="D238" s="567"/>
      <c r="E238" s="567"/>
      <c r="F238" s="567"/>
      <c r="G238" s="568" t="s">
        <v>1416</v>
      </c>
      <c r="H238" s="568" t="s">
        <v>873</v>
      </c>
      <c r="I238" s="573"/>
      <c r="J238" s="294" t="str">
        <f>IF(ISBLANK(HLOOKUP(CaseName,CaseData,MATCH($G238,cases!$G$4:$G$2458,0),FALSE)),"",HLOOKUP(CaseName,CaseData,MATCH($G238,cases!$G$4:$G$2458,0),FALSE))</f>
        <v/>
      </c>
      <c r="K238" s="621">
        <f>((8*kboltz*TEMP.R)/((PI()*(4/3*PI()*(RadCP.a)^3)*RhoCP.a)))^0.5</f>
        <v>1.2808876266468387E-3</v>
      </c>
      <c r="L238" s="298">
        <f t="shared" si="11"/>
        <v>1.2808876266468387E-3</v>
      </c>
      <c r="M238" s="568" t="s">
        <v>873</v>
      </c>
      <c r="N238" s="578"/>
      <c r="O238" s="607"/>
      <c r="P238" s="578"/>
      <c r="Q238"/>
    </row>
    <row r="239" spans="1:17" ht="12.75" customHeight="1" x14ac:dyDescent="0.2">
      <c r="A239" s="567"/>
      <c r="B239" s="567" t="s">
        <v>1417</v>
      </c>
      <c r="C239" s="567"/>
      <c r="D239" s="567"/>
      <c r="E239" s="567"/>
      <c r="F239" s="567"/>
      <c r="G239" s="567" t="s">
        <v>1418</v>
      </c>
      <c r="H239" s="567" t="s">
        <v>907</v>
      </c>
      <c r="I239" s="573"/>
      <c r="J239" s="294" t="str">
        <f>IF(ISBLANK(HLOOKUP(CaseName,CaseData,MATCH($G239,cases!$G$4:$G$2458,0),FALSE)),"",HLOOKUP(CaseName,CaseData,MATCH($G239,cases!$G$4:$G$2458,0),FALSE))</f>
        <v/>
      </c>
      <c r="K239" s="621">
        <f>(kboltz*TEMP.R)/(6*PI()*DYNVISC.a*RadCP.a)</f>
        <v>1.2814624133468318E-11</v>
      </c>
      <c r="L239" s="298">
        <f t="shared" si="11"/>
        <v>1.2814624133468318E-11</v>
      </c>
      <c r="M239" s="567" t="s">
        <v>907</v>
      </c>
      <c r="N239" s="567"/>
      <c r="O239" s="606"/>
      <c r="P239" s="585"/>
      <c r="Q239"/>
    </row>
    <row r="240" spans="1:17" ht="12.75" customHeight="1" x14ac:dyDescent="0.2">
      <c r="A240" s="567"/>
      <c r="B240" s="567" t="s">
        <v>1419</v>
      </c>
      <c r="C240" s="567"/>
      <c r="D240" s="567"/>
      <c r="E240" s="567"/>
      <c r="F240" s="567"/>
      <c r="G240" s="568" t="s">
        <v>1420</v>
      </c>
      <c r="H240" s="568" t="s">
        <v>296</v>
      </c>
      <c r="I240" s="573"/>
      <c r="J240" s="294" t="str">
        <f>IF(ISBLANK(HLOOKUP(CaseName,CaseData,MATCH($G240,cases!$G$4:$G$2458,0),FALSE)),"",HLOOKUP(CaseName,CaseData,MATCH($G240,cases!$G$4:$G$2458,0),FALSE))</f>
        <v/>
      </c>
      <c r="K240" s="621">
        <f>(1+(4*(DiffS.aR+L239))/((RadS+RadCP.a)*(L238^2+ThermvelS^2)^0.5))^-1</f>
        <v>0.90105854612877101</v>
      </c>
      <c r="L240" s="298">
        <f t="shared" si="11"/>
        <v>0.90105854612877101</v>
      </c>
      <c r="M240" s="568" t="s">
        <v>296</v>
      </c>
      <c r="N240" s="567"/>
      <c r="O240" s="606"/>
      <c r="P240" s="585"/>
      <c r="Q240"/>
    </row>
    <row r="241" spans="1:16" s="410" customFormat="1" ht="12.75" customHeight="1" x14ac:dyDescent="0.2">
      <c r="A241" s="410" t="s">
        <v>1421</v>
      </c>
      <c r="G241" s="655"/>
      <c r="H241" s="655"/>
      <c r="I241" s="656"/>
      <c r="J241" s="641"/>
      <c r="K241" s="658"/>
      <c r="L241" s="659"/>
      <c r="O241" s="417"/>
    </row>
    <row r="242" spans="1:16" customFormat="1" ht="12.75" customHeight="1" x14ac:dyDescent="0.2">
      <c r="A242" s="567" t="s">
        <v>1422</v>
      </c>
      <c r="B242" s="567"/>
      <c r="C242" s="567"/>
      <c r="D242" s="567"/>
      <c r="E242" s="567"/>
      <c r="F242" s="567"/>
      <c r="G242" s="567" t="s">
        <v>1423</v>
      </c>
      <c r="H242" s="567" t="s">
        <v>340</v>
      </c>
      <c r="I242" s="573"/>
      <c r="J242" s="294" t="str">
        <f>IF(ISBLANK(HLOOKUP(CaseName,CaseData,MATCH($G242,cases!$G$4:$G$2458,0),FALSE)),"",HLOOKUP(CaseName,CaseData,MATCH($G242,cases!$G$4:$G$2458,0),FALSE))</f>
        <v/>
      </c>
      <c r="K242" s="621">
        <f>L244*L243*AtefSA.w0</f>
        <v>5.9327173676198873E-5</v>
      </c>
      <c r="L242" s="552">
        <f t="shared" ref="L242:L258" si="12">IF(ISBLANK(I242),IF(ISNUMBER(J242)=FALSE,K242,J242),I242)</f>
        <v>5.9327173676198873E-5</v>
      </c>
      <c r="M242" s="567" t="s">
        <v>340</v>
      </c>
      <c r="N242" s="567"/>
      <c r="O242" s="605"/>
      <c r="P242" s="567"/>
    </row>
    <row r="243" spans="1:16" customFormat="1" ht="12.75" customHeight="1" x14ac:dyDescent="0.2">
      <c r="A243" s="567"/>
      <c r="B243" s="567" t="s">
        <v>1424</v>
      </c>
      <c r="C243" s="567"/>
      <c r="D243" s="567"/>
      <c r="E243" s="567"/>
      <c r="F243" s="567"/>
      <c r="G243" s="567" t="s">
        <v>1425</v>
      </c>
      <c r="H243" s="567" t="s">
        <v>715</v>
      </c>
      <c r="I243" s="573"/>
      <c r="J243" s="294" t="str">
        <f>IF(ISBLANK(HLOOKUP(CaseName,CaseData,MATCH($G243,cases!$G$4:$G$2458,0),FALSE)),"",HLOOKUP(CaseName,CaseData,MATCH($G243,cases!$G$4:$G$2458,0),FALSE))</f>
        <v/>
      </c>
      <c r="K243" s="621">
        <f>COL.w0R/(SingleVolNC.w*RhoNC.w)</f>
        <v>35367765131532.289</v>
      </c>
      <c r="L243" s="552">
        <f t="shared" si="12"/>
        <v>35367765131532.289</v>
      </c>
      <c r="M243" s="567" t="s">
        <v>715</v>
      </c>
      <c r="N243" s="578"/>
      <c r="O243" s="605"/>
      <c r="P243" s="567"/>
    </row>
    <row r="244" spans="1:16" customFormat="1" ht="12.75" customHeight="1" x14ac:dyDescent="0.2">
      <c r="A244" s="567"/>
      <c r="B244" s="567" t="s">
        <v>1426</v>
      </c>
      <c r="C244" s="567"/>
      <c r="D244" s="567"/>
      <c r="E244" s="567"/>
      <c r="F244" s="567"/>
      <c r="G244" s="567" t="s">
        <v>1427</v>
      </c>
      <c r="H244" s="567" t="s">
        <v>340</v>
      </c>
      <c r="I244" s="573"/>
      <c r="J244" s="294" t="str">
        <f>IF(ISBLANK(HLOOKUP(CaseName,CaseData,MATCH($G244,cases!$G$4:$G$2458,0),FALSE)),"",HLOOKUP(CaseName,CaseData,MATCH($G244,cases!$G$4:$G$2458,0),FALSE))</f>
        <v/>
      </c>
      <c r="K244" s="621">
        <f>L257+L258+L245</f>
        <v>8.3871815840726489E-17</v>
      </c>
      <c r="L244" s="552">
        <f t="shared" si="12"/>
        <v>8.3871815840726489E-17</v>
      </c>
      <c r="M244" s="567" t="s">
        <v>340</v>
      </c>
      <c r="N244" s="567"/>
      <c r="O244" s="605"/>
      <c r="P244" s="567"/>
    </row>
    <row r="245" spans="1:16" customFormat="1" ht="12.75" customHeight="1" x14ac:dyDescent="0.2">
      <c r="A245" s="567"/>
      <c r="B245" s="567"/>
      <c r="C245" s="567" t="s">
        <v>1428</v>
      </c>
      <c r="D245" s="567"/>
      <c r="E245" s="567"/>
      <c r="F245" s="567"/>
      <c r="G245" s="568" t="s">
        <v>1429</v>
      </c>
      <c r="H245" s="568" t="s">
        <v>340</v>
      </c>
      <c r="I245" s="573"/>
      <c r="J245" s="294" t="str">
        <f>IF(ISBLANK(HLOOKUP(CaseName,CaseData,MATCH($G245,cases!$G$4:$G$2458,0),FALSE)),"",HLOOKUP(CaseName,CaseData,MATCH($G245,cases!$G$4:$G$2458,0),FALSE))</f>
        <v/>
      </c>
      <c r="K245" s="621">
        <f>(4/3)*L246*(RadS+RadNC.w)^3</f>
        <v>4.9651666666666691E-21</v>
      </c>
      <c r="L245" s="552">
        <f t="shared" si="12"/>
        <v>4.9651666666666691E-21</v>
      </c>
      <c r="M245" s="567" t="s">
        <v>340</v>
      </c>
      <c r="N245" s="567"/>
      <c r="O245" s="605"/>
      <c r="P245" s="567"/>
    </row>
    <row r="246" spans="1:16" customFormat="1" ht="12.75" customHeight="1" x14ac:dyDescent="0.2">
      <c r="A246" s="567"/>
      <c r="B246" s="567"/>
      <c r="C246" s="567"/>
      <c r="D246" s="567" t="s">
        <v>1430</v>
      </c>
      <c r="E246" s="567"/>
      <c r="F246" s="567"/>
      <c r="G246" s="567" t="s">
        <v>1431</v>
      </c>
      <c r="H246" s="567" t="s">
        <v>340</v>
      </c>
      <c r="I246" s="573"/>
      <c r="J246" s="294" t="str">
        <f>IF(ISBLANK(HLOOKUP(CaseName,CaseData,MATCH($G246,cases!$G$4:$G$2458,0),FALSE)),"",HLOOKUP(CaseName,CaseData,MATCH($G246,cases!$G$4:$G$2458,0),FALSE))</f>
        <v/>
      </c>
      <c r="K246" s="621">
        <v>1</v>
      </c>
      <c r="L246" s="552">
        <f t="shared" si="12"/>
        <v>1</v>
      </c>
      <c r="M246" s="567" t="s">
        <v>340</v>
      </c>
      <c r="N246" s="567"/>
      <c r="O246" s="605"/>
      <c r="P246" s="587" t="s">
        <v>1432</v>
      </c>
    </row>
    <row r="247" spans="1:16" ht="12.75" customHeight="1" x14ac:dyDescent="0.2">
      <c r="A247" s="567" t="s">
        <v>1433</v>
      </c>
      <c r="B247" s="567"/>
      <c r="C247" s="567"/>
      <c r="D247" s="567"/>
      <c r="E247" s="567"/>
      <c r="F247" s="567"/>
      <c r="G247" s="568" t="s">
        <v>1434</v>
      </c>
      <c r="H247" s="568" t="s">
        <v>340</v>
      </c>
      <c r="I247" s="573"/>
      <c r="J247" s="294" t="str">
        <f>IF(ISBLANK(HLOOKUP(CaseName,CaseData,MATCH($G247,cases!$G$4:$G$2458,0),FALSE)),"",HLOOKUP(CaseName,CaseData,MATCH($G247,cases!$G$4:$G$2458,0),FALSE))</f>
        <v/>
      </c>
      <c r="K247" s="621">
        <f>L249*L248*AtefSA.w1</f>
        <v>5.967487523623992E-5</v>
      </c>
      <c r="L247" s="298">
        <f t="shared" si="12"/>
        <v>5.967487523623992E-5</v>
      </c>
      <c r="M247" s="567" t="s">
        <v>340</v>
      </c>
      <c r="N247" s="567"/>
      <c r="O247" s="567"/>
      <c r="P247" s="585"/>
    </row>
    <row r="248" spans="1:16" ht="12.75" customHeight="1" x14ac:dyDescent="0.2">
      <c r="A248" s="567"/>
      <c r="B248" s="567" t="s">
        <v>1435</v>
      </c>
      <c r="C248" s="567"/>
      <c r="D248" s="567"/>
      <c r="E248" s="567"/>
      <c r="F248" s="567"/>
      <c r="G248" s="568" t="s">
        <v>1436</v>
      </c>
      <c r="H248" s="568" t="s">
        <v>715</v>
      </c>
      <c r="I248" s="573"/>
      <c r="J248" s="294" t="str">
        <f>IF(ISBLANK(HLOOKUP(CaseName,CaseData,MATCH($G248,cases!$G$4:$G$2458,0),FALSE)),"",HLOOKUP(CaseName,CaseData,MATCH($G248,cases!$G$4:$G$2458,0),FALSE))</f>
        <v/>
      </c>
      <c r="K248" s="621">
        <f>COL.w1R/(SingleVolNC.w*RhoNC.w)</f>
        <v>35367765131532.289</v>
      </c>
      <c r="L248" s="298">
        <f t="shared" si="12"/>
        <v>35367765131532.289</v>
      </c>
      <c r="M248" s="568" t="s">
        <v>715</v>
      </c>
      <c r="N248" s="585"/>
      <c r="O248" s="606"/>
      <c r="P248" s="587" t="s">
        <v>1437</v>
      </c>
    </row>
    <row r="249" spans="1:16" ht="12.75" customHeight="1" x14ac:dyDescent="0.2">
      <c r="A249" s="567"/>
      <c r="B249" s="567" t="s">
        <v>1438</v>
      </c>
      <c r="C249" s="567"/>
      <c r="D249" s="567"/>
      <c r="E249" s="567"/>
      <c r="F249" s="567"/>
      <c r="G249" s="568" t="s">
        <v>1439</v>
      </c>
      <c r="H249" s="568" t="s">
        <v>340</v>
      </c>
      <c r="I249" s="573"/>
      <c r="J249" s="294" t="str">
        <f>IF(ISBLANK(HLOOKUP(CaseName,CaseData,MATCH($G249,cases!$G$4:$G$2458,0),FALSE)),"",HLOOKUP(CaseName,CaseData,MATCH($G249,cases!$G$4:$G$2458,0),FALSE))</f>
        <v/>
      </c>
      <c r="K249" s="621">
        <f>L250+L257+L258</f>
        <v>8.4363367340726483E-17</v>
      </c>
      <c r="L249" s="298">
        <f t="shared" si="12"/>
        <v>8.4363367340726483E-17</v>
      </c>
      <c r="M249" s="567" t="s">
        <v>340</v>
      </c>
      <c r="N249" s="567"/>
      <c r="O249" s="606"/>
      <c r="P249" s="585"/>
    </row>
    <row r="250" spans="1:16" ht="12.75" customHeight="1" x14ac:dyDescent="0.2">
      <c r="A250" s="567"/>
      <c r="B250" s="567"/>
      <c r="C250" s="567" t="s">
        <v>1428</v>
      </c>
      <c r="D250" s="567"/>
      <c r="E250" s="567"/>
      <c r="F250" s="567"/>
      <c r="G250" s="568" t="s">
        <v>1440</v>
      </c>
      <c r="H250" s="568" t="s">
        <v>340</v>
      </c>
      <c r="I250" s="573"/>
      <c r="J250" s="294" t="str">
        <f>IF(ISBLANK(HLOOKUP(CaseName,CaseData,MATCH($G250,cases!$G$4:$G$2458,0),FALSE)),"",HLOOKUP(CaseName,CaseData,MATCH($G250,cases!$G$4:$G$2458,0),FALSE))</f>
        <v/>
      </c>
      <c r="K250" s="621">
        <f>(4/3)*L251*(RadS+RadNC.w)^3</f>
        <v>4.9651666666666686E-19</v>
      </c>
      <c r="L250" s="298">
        <f t="shared" si="12"/>
        <v>4.9651666666666686E-19</v>
      </c>
      <c r="M250" s="567" t="s">
        <v>340</v>
      </c>
      <c r="N250" s="567"/>
      <c r="O250" s="606"/>
      <c r="P250" s="585"/>
    </row>
    <row r="251" spans="1:16" ht="12.75" customHeight="1" x14ac:dyDescent="0.2">
      <c r="A251" s="567"/>
      <c r="B251" s="567"/>
      <c r="C251" s="567"/>
      <c r="D251" s="567" t="s">
        <v>1441</v>
      </c>
      <c r="E251" s="567"/>
      <c r="F251" s="567"/>
      <c r="G251" s="568" t="s">
        <v>1442</v>
      </c>
      <c r="H251" s="568" t="s">
        <v>340</v>
      </c>
      <c r="I251" s="573"/>
      <c r="J251" s="294" t="str">
        <f>IF(ISBLANK(HLOOKUP(CaseName,CaseData,MATCH($G251,cases!$G$4:$G$2458,0),FALSE)),"",HLOOKUP(CaseName,CaseData,MATCH($G251,cases!$G$4:$G$2458,0),FALSE))</f>
        <v/>
      </c>
      <c r="K251" s="621">
        <v>100</v>
      </c>
      <c r="L251" s="298">
        <f t="shared" si="12"/>
        <v>100</v>
      </c>
      <c r="M251" s="568" t="s">
        <v>340</v>
      </c>
      <c r="N251" s="585"/>
      <c r="O251" s="606"/>
      <c r="P251" s="587" t="s">
        <v>1443</v>
      </c>
    </row>
    <row r="252" spans="1:16" ht="12.75" customHeight="1" x14ac:dyDescent="0.2">
      <c r="A252" s="567" t="s">
        <v>1444</v>
      </c>
      <c r="B252" s="567"/>
      <c r="C252" s="567"/>
      <c r="D252" s="567"/>
      <c r="E252" s="567"/>
      <c r="F252" s="567"/>
      <c r="G252" s="568" t="s">
        <v>1445</v>
      </c>
      <c r="H252" s="568" t="s">
        <v>340</v>
      </c>
      <c r="I252" s="573"/>
      <c r="J252" s="294" t="str">
        <f>IF(ISBLANK(HLOOKUP(CaseName,CaseData,MATCH($G252,cases!$G$4:$G$2458,0),FALSE)),"",HLOOKUP(CaseName,CaseData,MATCH($G252,cases!$G$4:$G$2458,0),FALSE))</f>
        <v/>
      </c>
      <c r="K252" s="621">
        <f>L254*L253*AtefSA.w2</f>
        <v>2.967939145446494E-3</v>
      </c>
      <c r="L252" s="298">
        <f t="shared" si="12"/>
        <v>2.967939145446494E-3</v>
      </c>
      <c r="M252" s="567" t="s">
        <v>340</v>
      </c>
      <c r="N252" s="567"/>
      <c r="O252" s="606"/>
      <c r="P252" s="585"/>
    </row>
    <row r="253" spans="1:16" ht="12.75" customHeight="1" x14ac:dyDescent="0.2">
      <c r="A253" s="567"/>
      <c r="B253" s="567" t="s">
        <v>1446</v>
      </c>
      <c r="C253" s="567"/>
      <c r="D253" s="567"/>
      <c r="E253" s="567"/>
      <c r="F253" s="567"/>
      <c r="G253" s="568" t="s">
        <v>1447</v>
      </c>
      <c r="H253" s="568" t="s">
        <v>715</v>
      </c>
      <c r="I253" s="573"/>
      <c r="J253" s="294" t="str">
        <f>IF(ISBLANK(HLOOKUP(CaseName,CaseData,MATCH($G253,cases!$G$4:$G$2458,0),FALSE)),"",HLOOKUP(CaseName,CaseData,MATCH($G253,cases!$G$4:$G$2458,0),FALSE))</f>
        <v/>
      </c>
      <c r="K253" s="621">
        <f>COL.w2R/(SingleVolNC.w*RhoNC.w)</f>
        <v>35367765131532.289</v>
      </c>
      <c r="L253" s="298">
        <f t="shared" si="12"/>
        <v>35367765131532.289</v>
      </c>
      <c r="M253" s="568" t="s">
        <v>715</v>
      </c>
      <c r="N253" s="585"/>
      <c r="O253" s="606"/>
      <c r="P253" s="587" t="s">
        <v>1448</v>
      </c>
    </row>
    <row r="254" spans="1:16" ht="12.75" customHeight="1" x14ac:dyDescent="0.2">
      <c r="A254" s="567"/>
      <c r="B254" s="567" t="s">
        <v>1449</v>
      </c>
      <c r="C254" s="567"/>
      <c r="D254" s="567"/>
      <c r="E254" s="567"/>
      <c r="F254" s="567"/>
      <c r="G254" s="568" t="s">
        <v>1450</v>
      </c>
      <c r="H254" s="568" t="s">
        <v>340</v>
      </c>
      <c r="I254" s="573"/>
      <c r="J254" s="294" t="str">
        <f>IF(ISBLANK(HLOOKUP(CaseName,CaseData,MATCH($G254,cases!$G$4:$G$2458,0),FALSE)),"",HLOOKUP(CaseName,CaseData,MATCH($G254,cases!$G$4:$G$2458,0),FALSE))</f>
        <v/>
      </c>
      <c r="K254" s="621">
        <f>L255+L257+L258</f>
        <v>8.3916502340726485E-17</v>
      </c>
      <c r="L254" s="298">
        <f t="shared" si="12"/>
        <v>8.3916502340726485E-17</v>
      </c>
      <c r="M254" s="567" t="s">
        <v>340</v>
      </c>
      <c r="N254" s="567"/>
      <c r="O254" s="606"/>
      <c r="P254" s="585"/>
    </row>
    <row r="255" spans="1:16" ht="12.75" customHeight="1" x14ac:dyDescent="0.2">
      <c r="A255" s="567"/>
      <c r="B255" s="567"/>
      <c r="C255" s="567" t="s">
        <v>1428</v>
      </c>
      <c r="D255" s="567"/>
      <c r="E255" s="567"/>
      <c r="F255" s="567"/>
      <c r="G255" s="568" t="s">
        <v>1451</v>
      </c>
      <c r="H255" s="568" t="s">
        <v>340</v>
      </c>
      <c r="I255" s="573"/>
      <c r="J255" s="294" t="str">
        <f>IF(ISBLANK(HLOOKUP(CaseName,CaseData,MATCH($G255,cases!$G$4:$G$2458,0),FALSE)),"",HLOOKUP(CaseName,CaseData,MATCH($G255,cases!$G$4:$G$2458,0),FALSE))</f>
        <v/>
      </c>
      <c r="K255" s="621">
        <f>(4/3)*L256*(RadS+RadNC.w)^3</f>
        <v>4.9651666666666685E-20</v>
      </c>
      <c r="L255" s="298">
        <f t="shared" si="12"/>
        <v>4.9651666666666685E-20</v>
      </c>
      <c r="M255" s="567" t="s">
        <v>340</v>
      </c>
      <c r="N255" s="567"/>
      <c r="O255" s="606"/>
      <c r="P255" s="585"/>
    </row>
    <row r="256" spans="1:16" ht="12.75" customHeight="1" x14ac:dyDescent="0.2">
      <c r="A256" s="567"/>
      <c r="B256" s="567"/>
      <c r="C256" s="567"/>
      <c r="D256" s="567" t="s">
        <v>1452</v>
      </c>
      <c r="E256" s="567"/>
      <c r="F256" s="567"/>
      <c r="G256" s="568" t="s">
        <v>1453</v>
      </c>
      <c r="H256" s="568" t="s">
        <v>340</v>
      </c>
      <c r="I256" s="573"/>
      <c r="J256" s="294" t="str">
        <f>IF(ISBLANK(HLOOKUP(CaseName,CaseData,MATCH($G256,cases!$G$4:$G$2458,0),FALSE)),"",HLOOKUP(CaseName,CaseData,MATCH($G256,cases!$G$4:$G$2458,0),FALSE))</f>
        <v/>
      </c>
      <c r="K256" s="621">
        <v>10</v>
      </c>
      <c r="L256" s="298">
        <f t="shared" si="12"/>
        <v>10</v>
      </c>
      <c r="M256" s="568" t="s">
        <v>340</v>
      </c>
      <c r="N256" s="585"/>
      <c r="O256" s="606"/>
      <c r="P256" s="587" t="s">
        <v>1432</v>
      </c>
    </row>
    <row r="257" spans="1:16" customFormat="1" ht="12.75" customHeight="1" x14ac:dyDescent="0.2">
      <c r="A257" s="567"/>
      <c r="B257" s="567"/>
      <c r="C257" s="567" t="s">
        <v>1454</v>
      </c>
      <c r="D257" s="567"/>
      <c r="E257" s="567"/>
      <c r="F257" s="567"/>
      <c r="G257" s="567" t="s">
        <v>1455</v>
      </c>
      <c r="H257" s="567" t="s">
        <v>340</v>
      </c>
      <c r="I257" s="573"/>
      <c r="J257" s="294" t="str">
        <f>IF(ISBLANK(HLOOKUP(CaseName,CaseData,MATCH($G257,cases!$G$4:$G$2458,0),FALSE)),"",HLOOKUP(CaseName,CaseData,MATCH($G257,cases!$G$4:$G$2458,0),FALSE))</f>
        <v/>
      </c>
      <c r="K257" s="621">
        <f>(2*kboltz*TEMP.R)/(3*DYNVISC.w)*(RadS+RadNC.w)^2/(RadS*RadNC.w)</f>
        <v>8.3863161807052569E-17</v>
      </c>
      <c r="L257" s="552">
        <f t="shared" si="12"/>
        <v>8.3863161807052569E-17</v>
      </c>
      <c r="M257" s="567" t="s">
        <v>340</v>
      </c>
      <c r="N257" s="567"/>
      <c r="O257" s="605"/>
      <c r="P257" s="567"/>
    </row>
    <row r="258" spans="1:16" ht="12.75" customHeight="1" x14ac:dyDescent="0.2">
      <c r="A258" s="567"/>
      <c r="B258" s="567"/>
      <c r="C258" s="567" t="s">
        <v>1456</v>
      </c>
      <c r="D258" s="567"/>
      <c r="E258" s="567"/>
      <c r="F258" s="567"/>
      <c r="G258" s="568" t="s">
        <v>1457</v>
      </c>
      <c r="H258" s="568" t="s">
        <v>340</v>
      </c>
      <c r="I258" s="573"/>
      <c r="J258" s="294" t="str">
        <f>IF(ISBLANK(HLOOKUP(CaseName,CaseData,MATCH($G258,cases!$G$4:$G$2458,0),FALSE)),"",HLOOKUP(CaseName,CaseData,MATCH($G258,cases!$G$4:$G$2458,0),FALSE))</f>
        <v/>
      </c>
      <c r="K258" s="621">
        <f>PI()*(RadS+RadNC.w)^2*ABS(SetVelS.w-SetVelNC.w)</f>
        <v>3.6888670072520785E-21</v>
      </c>
      <c r="L258" s="298">
        <f t="shared" si="12"/>
        <v>3.6888670072520785E-21</v>
      </c>
      <c r="M258" s="567" t="s">
        <v>340</v>
      </c>
      <c r="N258" s="567"/>
      <c r="O258" s="606"/>
      <c r="P258" s="585"/>
    </row>
    <row r="259" spans="1:16" s="410" customFormat="1" ht="12.75" customHeight="1" x14ac:dyDescent="0.2">
      <c r="A259" s="410" t="s">
        <v>1458</v>
      </c>
      <c r="G259" s="655"/>
      <c r="H259" s="655"/>
      <c r="I259" s="656"/>
      <c r="J259" s="641"/>
      <c r="K259" s="658"/>
      <c r="L259" s="659"/>
      <c r="O259" s="417"/>
    </row>
    <row r="260" spans="1:16" ht="12.75" customHeight="1" x14ac:dyDescent="0.2">
      <c r="A260" s="567" t="s">
        <v>1459</v>
      </c>
      <c r="B260" s="567"/>
      <c r="C260" s="567"/>
      <c r="D260" s="567"/>
      <c r="E260" s="567"/>
      <c r="F260" s="567"/>
      <c r="G260" s="568" t="s">
        <v>1460</v>
      </c>
      <c r="H260" s="568" t="s">
        <v>340</v>
      </c>
      <c r="I260" s="573"/>
      <c r="J260" s="294" t="str">
        <f>IF(ISBLANK(HLOOKUP(CaseName,CaseData,MATCH($G260,cases!$G$4:$G$2458,0),FALSE)),"",HLOOKUP(CaseName,CaseData,MATCH($G260,cases!$G$4:$G$2458,0),FALSE))</f>
        <v/>
      </c>
      <c r="K260" s="621">
        <f>L261*L262*AtefSP.w0</f>
        <v>8.6528931279242802E-8</v>
      </c>
      <c r="L260" s="298">
        <f t="shared" ref="L260:L273" si="13">IF(ISBLANK(I260),IF(ISNUMBER(J260)=FALSE,K260,J260),I260)</f>
        <v>8.6528931279242802E-8</v>
      </c>
      <c r="M260" s="567" t="s">
        <v>340</v>
      </c>
      <c r="N260" s="567"/>
      <c r="O260" s="606"/>
      <c r="P260" s="585"/>
    </row>
    <row r="261" spans="1:16" ht="12.75" customHeight="1" x14ac:dyDescent="0.2">
      <c r="A261" s="567"/>
      <c r="B261" s="567" t="s">
        <v>1461</v>
      </c>
      <c r="C261" s="567"/>
      <c r="D261" s="567"/>
      <c r="E261" s="567"/>
      <c r="F261" s="567"/>
      <c r="G261" s="568" t="s">
        <v>1462</v>
      </c>
      <c r="H261" s="568" t="s">
        <v>715</v>
      </c>
      <c r="I261" s="573"/>
      <c r="J261" s="294" t="str">
        <f>IF(ISBLANK(HLOOKUP(CaseName,CaseData,MATCH($G261,cases!$G$4:$G$2458,0),FALSE)),"",HLOOKUP(CaseName,CaseData,MATCH($G261,cases!$G$4:$G$2458,0),FALSE))</f>
        <v/>
      </c>
      <c r="K261" s="621">
        <f>(SUSP.w0R)/(SingleVolSPM.w*RhoSPM.w)</f>
        <v>1768388256.5766146</v>
      </c>
      <c r="L261" s="298">
        <f t="shared" si="13"/>
        <v>1768388256.5766146</v>
      </c>
      <c r="M261" s="567" t="s">
        <v>715</v>
      </c>
      <c r="N261" s="567" t="s">
        <v>1463</v>
      </c>
      <c r="O261" s="606"/>
      <c r="P261" s="585"/>
    </row>
    <row r="262" spans="1:16" ht="12.75" customHeight="1" x14ac:dyDescent="0.2">
      <c r="A262" s="567"/>
      <c r="B262" s="567" t="s">
        <v>1464</v>
      </c>
      <c r="C262" s="567"/>
      <c r="D262" s="567"/>
      <c r="E262" s="567"/>
      <c r="F262" s="567"/>
      <c r="G262" s="568" t="s">
        <v>1465</v>
      </c>
      <c r="H262" s="567" t="s">
        <v>340</v>
      </c>
      <c r="I262" s="573"/>
      <c r="J262" s="294" t="str">
        <f>IF(ISBLANK(HLOOKUP(CaseName,CaseData,MATCH($G262,cases!$G$4:$G$2458,0),FALSE)),"",HLOOKUP(CaseName,CaseData,MATCH($G262,cases!$G$4:$G$2458,0),FALSE))</f>
        <v/>
      </c>
      <c r="K262" s="621">
        <f>L272+L263+L273</f>
        <v>2.4465478934686075E-15</v>
      </c>
      <c r="L262" s="298">
        <f t="shared" si="13"/>
        <v>2.4465478934686075E-15</v>
      </c>
      <c r="M262" s="567" t="s">
        <v>340</v>
      </c>
      <c r="N262" s="567"/>
      <c r="O262" s="606"/>
      <c r="P262" s="585"/>
    </row>
    <row r="263" spans="1:16" ht="12.75" customHeight="1" x14ac:dyDescent="0.2">
      <c r="A263" s="567"/>
      <c r="B263" s="567"/>
      <c r="C263" s="567" t="s">
        <v>1466</v>
      </c>
      <c r="D263" s="567"/>
      <c r="E263" s="567"/>
      <c r="F263" s="567"/>
      <c r="G263" s="568" t="s">
        <v>1467</v>
      </c>
      <c r="H263" s="568" t="s">
        <v>340</v>
      </c>
      <c r="I263" s="573"/>
      <c r="J263" s="294" t="str">
        <f>IF(ISBLANK(HLOOKUP(CaseName,CaseData,MATCH($G263,cases!$G$4:$G$2458,0),FALSE)),"",HLOOKUP(CaseName,CaseData,MATCH($G263,cases!$G$4:$G$2458,0),FALSE))</f>
        <v/>
      </c>
      <c r="K263" s="621">
        <f>(4/3)*L246*(RadS+RadSPM.w)^3</f>
        <v>3.6180300166666666E-17</v>
      </c>
      <c r="L263" s="298">
        <f t="shared" si="13"/>
        <v>3.6180300166666666E-17</v>
      </c>
      <c r="M263" s="567" t="s">
        <v>340</v>
      </c>
      <c r="N263" s="567"/>
      <c r="O263" s="606"/>
      <c r="P263" s="585"/>
    </row>
    <row r="264" spans="1:16" ht="12.75" customHeight="1" x14ac:dyDescent="0.2">
      <c r="A264" s="567" t="s">
        <v>1468</v>
      </c>
      <c r="B264" s="567"/>
      <c r="C264" s="567"/>
      <c r="D264" s="567"/>
      <c r="E264" s="567"/>
      <c r="F264" s="567"/>
      <c r="G264" s="568" t="s">
        <v>1469</v>
      </c>
      <c r="H264" s="568" t="s">
        <v>340</v>
      </c>
      <c r="I264" s="573"/>
      <c r="J264" s="294" t="str">
        <f>IF(ISBLANK(HLOOKUP(CaseName,CaseData,MATCH($G264,cases!$G$4:$G$2458,0),FALSE)),"",HLOOKUP(CaseName,CaseData,MATCH($G264,cases!$G$4:$G$2458,0),FALSE))</f>
        <v/>
      </c>
      <c r="K264" s="621">
        <f>L265*L266*AtefSP.w1</f>
        <v>6.3963285236658089E-6</v>
      </c>
      <c r="L264" s="298">
        <f t="shared" si="13"/>
        <v>6.3963285236658089E-6</v>
      </c>
      <c r="M264" s="567" t="s">
        <v>340</v>
      </c>
      <c r="N264" s="567"/>
      <c r="O264" s="606"/>
      <c r="P264" s="585"/>
    </row>
    <row r="265" spans="1:16" ht="12.75" customHeight="1" x14ac:dyDescent="0.2">
      <c r="A265" s="567"/>
      <c r="B265" s="567" t="s">
        <v>1470</v>
      </c>
      <c r="C265" s="567"/>
      <c r="D265" s="567"/>
      <c r="E265" s="567"/>
      <c r="F265" s="567"/>
      <c r="G265" s="568" t="s">
        <v>1471</v>
      </c>
      <c r="H265" s="568" t="s">
        <v>715</v>
      </c>
      <c r="I265" s="573"/>
      <c r="J265" s="294" t="str">
        <f>IF(ISBLANK(HLOOKUP(CaseName,CaseData,MATCH($G265,cases!$G$4:$G$2458,0),FALSE)),"",HLOOKUP(CaseName,CaseData,MATCH($G265,cases!$G$4:$G$2458,0),FALSE))</f>
        <v/>
      </c>
      <c r="K265" s="621">
        <f>(SUSP.w1R)/(SingleVolSPM.w*RhoSPM.w)</f>
        <v>53051647697.298439</v>
      </c>
      <c r="L265" s="298">
        <f t="shared" si="13"/>
        <v>53051647697.298439</v>
      </c>
      <c r="M265" s="567" t="s">
        <v>715</v>
      </c>
      <c r="N265" s="567" t="s">
        <v>1472</v>
      </c>
      <c r="O265" s="606"/>
      <c r="P265" s="585"/>
    </row>
    <row r="266" spans="1:16" ht="12.75" customHeight="1" x14ac:dyDescent="0.2">
      <c r="A266" s="567"/>
      <c r="B266" s="567" t="s">
        <v>1473</v>
      </c>
      <c r="C266" s="567"/>
      <c r="D266" s="567"/>
      <c r="E266" s="567"/>
      <c r="F266" s="567"/>
      <c r="G266" s="568" t="s">
        <v>1474</v>
      </c>
      <c r="H266" s="567" t="s">
        <v>340</v>
      </c>
      <c r="I266" s="573"/>
      <c r="J266" s="294" t="str">
        <f>IF(ISBLANK(HLOOKUP(CaseName,CaseData,MATCH($G266,cases!$G$4:$G$2458,0),FALSE)),"",HLOOKUP(CaseName,CaseData,MATCH($G266,cases!$G$4:$G$2458,0),FALSE))</f>
        <v/>
      </c>
      <c r="K266" s="621">
        <f>L267+L272+L273</f>
        <v>6.0283976099686068E-15</v>
      </c>
      <c r="L266" s="298">
        <f t="shared" si="13"/>
        <v>6.0283976099686068E-15</v>
      </c>
      <c r="M266" s="567" t="s">
        <v>340</v>
      </c>
      <c r="N266" s="567"/>
      <c r="O266" s="606"/>
      <c r="P266" s="585"/>
    </row>
    <row r="267" spans="1:16" ht="12.75" customHeight="1" x14ac:dyDescent="0.2">
      <c r="A267" s="567"/>
      <c r="B267" s="567"/>
      <c r="C267" s="567" t="s">
        <v>1466</v>
      </c>
      <c r="D267" s="567"/>
      <c r="E267" s="567"/>
      <c r="F267" s="567"/>
      <c r="G267" s="568" t="s">
        <v>1475</v>
      </c>
      <c r="H267" s="568" t="s">
        <v>340</v>
      </c>
      <c r="I267" s="573"/>
      <c r="J267" s="294" t="str">
        <f>IF(ISBLANK(HLOOKUP(CaseName,CaseData,MATCH($G267,cases!$G$4:$G$2458,0),FALSE)),"",HLOOKUP(CaseName,CaseData,MATCH($G267,cases!$G$4:$G$2458,0),FALSE))</f>
        <v/>
      </c>
      <c r="K267" s="621">
        <f>(4/3)*L251*(RadS+RadSPM.w)^3</f>
        <v>3.618030016666666E-15</v>
      </c>
      <c r="L267" s="298">
        <f t="shared" si="13"/>
        <v>3.618030016666666E-15</v>
      </c>
      <c r="M267" s="567" t="s">
        <v>340</v>
      </c>
      <c r="N267" s="567"/>
      <c r="O267" s="606"/>
      <c r="P267" s="585"/>
    </row>
    <row r="268" spans="1:16" ht="12.75" customHeight="1" x14ac:dyDescent="0.2">
      <c r="A268" s="567" t="s">
        <v>1476</v>
      </c>
      <c r="B268" s="567"/>
      <c r="C268" s="567"/>
      <c r="D268" s="567"/>
      <c r="E268" s="567"/>
      <c r="F268" s="567"/>
      <c r="G268" s="568" t="s">
        <v>1477</v>
      </c>
      <c r="H268" s="568" t="s">
        <v>340</v>
      </c>
      <c r="I268" s="573"/>
      <c r="J268" s="294" t="str">
        <f>IF(ISBLANK(HLOOKUP(CaseName,CaseData,MATCH($G268,cases!$G$4:$G$2458,0),FALSE)),"",HLOOKUP(CaseName,CaseData,MATCH($G268,cases!$G$4:$G$2458,0),FALSE))</f>
        <v/>
      </c>
      <c r="K268" s="621">
        <f>L269*L270*AtefSP.w2</f>
        <v>4.9022739253694927E-5</v>
      </c>
      <c r="L268" s="298">
        <f t="shared" si="13"/>
        <v>4.9022739253694927E-5</v>
      </c>
      <c r="M268" s="567" t="s">
        <v>340</v>
      </c>
      <c r="N268" s="567"/>
      <c r="O268" s="606"/>
      <c r="P268" s="585"/>
    </row>
    <row r="269" spans="1:16" ht="12.75" customHeight="1" x14ac:dyDescent="0.2">
      <c r="A269" s="567"/>
      <c r="B269" s="567" t="s">
        <v>1478</v>
      </c>
      <c r="C269" s="567"/>
      <c r="D269" s="567"/>
      <c r="E269" s="567"/>
      <c r="F269" s="567"/>
      <c r="G269" s="568" t="s">
        <v>1479</v>
      </c>
      <c r="H269" s="568" t="s">
        <v>715</v>
      </c>
      <c r="I269" s="573"/>
      <c r="J269" s="294" t="str">
        <f>IF(ISBLANK(HLOOKUP(CaseName,CaseData,MATCH($G269,cases!$G$4:$G$2458,0),FALSE)),"",HLOOKUP(CaseName,CaseData,MATCH($G269,cases!$G$4:$G$2458,0),FALSE))</f>
        <v/>
      </c>
      <c r="K269" s="621">
        <f>(SUSP.w2R)/(SingleVolSPM.w*RhoSPM.w)</f>
        <v>17683882565.766148</v>
      </c>
      <c r="L269" s="298">
        <f t="shared" si="13"/>
        <v>17683882565.766148</v>
      </c>
      <c r="M269" s="567" t="s">
        <v>715</v>
      </c>
      <c r="N269" s="567" t="s">
        <v>1480</v>
      </c>
      <c r="O269" s="606"/>
      <c r="P269" s="585"/>
    </row>
    <row r="270" spans="1:16" ht="12.75" customHeight="1" x14ac:dyDescent="0.2">
      <c r="A270" s="567"/>
      <c r="B270" s="567" t="s">
        <v>1481</v>
      </c>
      <c r="C270" s="567"/>
      <c r="D270" s="567"/>
      <c r="E270" s="567"/>
      <c r="F270" s="567"/>
      <c r="G270" s="568" t="s">
        <v>1482</v>
      </c>
      <c r="H270" s="567" t="s">
        <v>340</v>
      </c>
      <c r="I270" s="573"/>
      <c r="J270" s="294" t="str">
        <f>IF(ISBLANK(HLOOKUP(CaseName,CaseData,MATCH($G270,cases!$G$4:$G$2458,0),FALSE)),"",HLOOKUP(CaseName,CaseData,MATCH($G270,cases!$G$4:$G$2458,0),FALSE))</f>
        <v/>
      </c>
      <c r="K270" s="621">
        <f>L272+L273+L271</f>
        <v>2.7721705949686074E-15</v>
      </c>
      <c r="L270" s="298">
        <f t="shared" si="13"/>
        <v>2.7721705949686074E-15</v>
      </c>
      <c r="M270" s="567" t="s">
        <v>340</v>
      </c>
      <c r="N270" s="567"/>
      <c r="O270" s="606"/>
      <c r="P270" s="585"/>
    </row>
    <row r="271" spans="1:16" ht="12.75" customHeight="1" x14ac:dyDescent="0.2">
      <c r="A271" s="567"/>
      <c r="B271" s="567"/>
      <c r="C271" s="567" t="s">
        <v>1466</v>
      </c>
      <c r="D271" s="567"/>
      <c r="E271" s="567"/>
      <c r="F271" s="567"/>
      <c r="G271" s="568" t="s">
        <v>1483</v>
      </c>
      <c r="H271" s="568" t="s">
        <v>340</v>
      </c>
      <c r="I271" s="573"/>
      <c r="J271" s="294" t="str">
        <f>IF(ISBLANK(HLOOKUP(CaseName,CaseData,MATCH($G271,cases!$G$4:$G$2458,0),FALSE)),"",HLOOKUP(CaseName,CaseData,MATCH($G271,cases!$G$4:$G$2458,0),FALSE))</f>
        <v/>
      </c>
      <c r="K271" s="621">
        <f>(4/3)*L256*(RadS+RadSPM.w)^3</f>
        <v>3.6180300166666665E-16</v>
      </c>
      <c r="L271" s="298">
        <f t="shared" si="13"/>
        <v>3.6180300166666665E-16</v>
      </c>
      <c r="M271" s="567" t="s">
        <v>340</v>
      </c>
      <c r="N271" s="567"/>
      <c r="O271" s="606"/>
      <c r="P271" s="585"/>
    </row>
    <row r="272" spans="1:16" ht="12.75" customHeight="1" x14ac:dyDescent="0.2">
      <c r="A272" s="567"/>
      <c r="B272" s="567"/>
      <c r="C272" s="567" t="s">
        <v>1484</v>
      </c>
      <c r="D272" s="567"/>
      <c r="E272" s="567"/>
      <c r="F272" s="567"/>
      <c r="G272" s="568" t="s">
        <v>1485</v>
      </c>
      <c r="H272" s="568" t="s">
        <v>340</v>
      </c>
      <c r="I272" s="573"/>
      <c r="J272" s="294" t="str">
        <f>IF(ISBLANK(HLOOKUP(CaseName,CaseData,MATCH($G272,cases!$G$4:$G$2458,0),FALSE)),"",HLOOKUP(CaseName,CaseData,MATCH($G272,cases!$G$4:$G$2458,0),FALSE))</f>
        <v/>
      </c>
      <c r="K272" s="621">
        <f>((2*kboltz*TEMP.R)/(3*DYNVISC.w))*(RadS+RadSPM.w)^2/(RadS*RadSPM.w)</f>
        <v>1.5760383927091152E-15</v>
      </c>
      <c r="L272" s="298">
        <f t="shared" si="13"/>
        <v>1.5760383927091152E-15</v>
      </c>
      <c r="M272" s="567" t="s">
        <v>340</v>
      </c>
      <c r="N272" s="567"/>
      <c r="O272" s="606"/>
      <c r="P272" s="585"/>
    </row>
    <row r="273" spans="1:16" ht="12.75" customHeight="1" x14ac:dyDescent="0.2">
      <c r="A273" s="567"/>
      <c r="B273" s="567"/>
      <c r="C273" s="567" t="s">
        <v>1486</v>
      </c>
      <c r="D273" s="567"/>
      <c r="E273" s="567"/>
      <c r="F273" s="567"/>
      <c r="G273" s="568" t="s">
        <v>1487</v>
      </c>
      <c r="H273" s="568" t="s">
        <v>340</v>
      </c>
      <c r="I273" s="573"/>
      <c r="J273" s="294" t="str">
        <f>IF(ISBLANK(HLOOKUP(CaseName,CaseData,MATCH($G273,cases!$G$4:$G$2458,0),FALSE)),"",HLOOKUP(CaseName,CaseData,MATCH($G273,cases!$G$4:$G$2458,0),FALSE))</f>
        <v/>
      </c>
      <c r="K273" s="621">
        <f>PI()*(RadS+RadSPM.w)^2*ABS(SetVelS.w-SetVelSPM.w)</f>
        <v>8.3432920059282575E-16</v>
      </c>
      <c r="L273" s="298">
        <f t="shared" si="13"/>
        <v>8.3432920059282575E-16</v>
      </c>
      <c r="M273" s="567" t="s">
        <v>340</v>
      </c>
      <c r="N273" s="567"/>
      <c r="O273" s="606"/>
      <c r="P273" s="585"/>
    </row>
    <row r="274" spans="1:16" ht="12.75" customHeight="1" x14ac:dyDescent="0.2">
      <c r="A274" s="410" t="s">
        <v>1488</v>
      </c>
      <c r="I274" s="612"/>
      <c r="J274" s="641"/>
      <c r="K274"/>
      <c r="O274" s="19"/>
      <c r="P274" s="11"/>
    </row>
    <row r="275" spans="1:16" s="386" customFormat="1" ht="12.75" customHeight="1" x14ac:dyDescent="0.2">
      <c r="A275" s="567" t="s">
        <v>1489</v>
      </c>
      <c r="B275" s="567"/>
      <c r="C275" s="567"/>
      <c r="D275" s="567"/>
      <c r="E275" s="567"/>
      <c r="F275" s="567"/>
      <c r="G275" s="568" t="s">
        <v>1490</v>
      </c>
      <c r="H275" s="568" t="s">
        <v>340</v>
      </c>
      <c r="I275" s="573"/>
      <c r="J275" s="294" t="str">
        <f>IF(ISBLANK(HLOOKUP(CaseName,CaseData,MATCH($G275,cases!$G$4:$G$2458,0),FALSE)),"",HLOOKUP(CaseName,CaseData,MATCH($G275,cases!$G$4:$G$2458,0),FALSE))</f>
        <v/>
      </c>
      <c r="K275" s="621">
        <f>AtefSA.sd0*L276*(L281+L282)</f>
        <v>1.1864732307845752E-4</v>
      </c>
      <c r="L275" s="298">
        <f t="shared" ref="L275:L282" si="14">IF(ISBLANK(I275),IF(ISNUMBER(J275)=FALSE,K275,J275),I275)</f>
        <v>1.1864732307845752E-4</v>
      </c>
      <c r="M275" s="568" t="s">
        <v>340</v>
      </c>
      <c r="N275" s="578"/>
      <c r="O275" s="607"/>
      <c r="P275" s="578"/>
    </row>
    <row r="276" spans="1:16" s="386" customFormat="1" ht="12.75" customHeight="1" x14ac:dyDescent="0.2">
      <c r="A276" s="567"/>
      <c r="B276" s="567" t="s">
        <v>1491</v>
      </c>
      <c r="C276" s="567"/>
      <c r="D276" s="567"/>
      <c r="E276" s="567"/>
      <c r="F276" s="567"/>
      <c r="G276" s="567" t="s">
        <v>1492</v>
      </c>
      <c r="H276" s="567" t="s">
        <v>715</v>
      </c>
      <c r="I276" s="573"/>
      <c r="J276" s="294" t="str">
        <f>IF(ISBLANK(HLOOKUP(CaseName,CaseData,MATCH($G276,cases!$G$4:$G$2458,0),FALSE)),"",HLOOKUP(CaseName,CaseData,MATCH($G276,cases!$G$4:$G$2458,0),FALSE))</f>
        <v/>
      </c>
      <c r="K276" s="621">
        <f>2*L243</f>
        <v>70735530263064.578</v>
      </c>
      <c r="L276" s="552">
        <f t="shared" si="14"/>
        <v>70735530263064.578</v>
      </c>
      <c r="M276" s="567" t="s">
        <v>715</v>
      </c>
      <c r="N276" s="567" t="s">
        <v>1493</v>
      </c>
      <c r="O276" s="607"/>
      <c r="P276" s="578"/>
    </row>
    <row r="277" spans="1:16" s="386" customFormat="1" ht="12.75" customHeight="1" x14ac:dyDescent="0.2">
      <c r="A277" s="567" t="s">
        <v>1494</v>
      </c>
      <c r="B277" s="567"/>
      <c r="C277" s="567"/>
      <c r="D277" s="567"/>
      <c r="E277" s="567"/>
      <c r="F277" s="567"/>
      <c r="G277" s="568" t="s">
        <v>1495</v>
      </c>
      <c r="H277" s="568" t="s">
        <v>340</v>
      </c>
      <c r="I277" s="573"/>
      <c r="J277" s="294" t="str">
        <f>IF(ISBLANK(HLOOKUP(CaseName,CaseData,MATCH($G277,cases!$G$4:$G$2458,0),FALSE)),"",HLOOKUP(CaseName,CaseData,MATCH($G277,cases!$G$4:$G$2458,0),FALSE))</f>
        <v/>
      </c>
      <c r="K277" s="621">
        <f>AtefSA.sd1*L278*(L281+L282)</f>
        <v>1.1864732307845752E-4</v>
      </c>
      <c r="L277" s="298">
        <f t="shared" si="14"/>
        <v>1.1864732307845752E-4</v>
      </c>
      <c r="M277" s="568" t="s">
        <v>340</v>
      </c>
      <c r="N277" s="567"/>
      <c r="O277" s="607"/>
      <c r="P277" s="578"/>
    </row>
    <row r="278" spans="1:16" s="386" customFormat="1" ht="12.75" customHeight="1" x14ac:dyDescent="0.2">
      <c r="A278" s="567"/>
      <c r="B278" s="567" t="s">
        <v>1496</v>
      </c>
      <c r="C278" s="567"/>
      <c r="D278" s="567"/>
      <c r="E278" s="567"/>
      <c r="F278" s="567"/>
      <c r="G278" s="568" t="s">
        <v>1497</v>
      </c>
      <c r="H278" s="568" t="s">
        <v>715</v>
      </c>
      <c r="I278" s="573"/>
      <c r="J278" s="294" t="str">
        <f>IF(ISBLANK(HLOOKUP(CaseName,CaseData,MATCH($G278,cases!$G$4:$G$2458,0),FALSE)),"",HLOOKUP(CaseName,CaseData,MATCH($G278,cases!$G$4:$G$2458,0),FALSE))</f>
        <v/>
      </c>
      <c r="K278" s="621">
        <f>2*L248</f>
        <v>70735530263064.578</v>
      </c>
      <c r="L278" s="298">
        <f t="shared" si="14"/>
        <v>70735530263064.578</v>
      </c>
      <c r="M278" s="568" t="s">
        <v>715</v>
      </c>
      <c r="N278" s="567" t="s">
        <v>1493</v>
      </c>
      <c r="O278" s="607"/>
      <c r="P278" s="594"/>
    </row>
    <row r="279" spans="1:16" s="386" customFormat="1" ht="12.75" customHeight="1" x14ac:dyDescent="0.2">
      <c r="A279" s="567" t="s">
        <v>1498</v>
      </c>
      <c r="B279" s="567"/>
      <c r="C279" s="567"/>
      <c r="D279" s="567"/>
      <c r="E279" s="567"/>
      <c r="F279" s="567"/>
      <c r="G279" s="568" t="s">
        <v>1499</v>
      </c>
      <c r="H279" s="568" t="s">
        <v>340</v>
      </c>
      <c r="I279" s="573"/>
      <c r="J279" s="294" t="str">
        <f>IF(ISBLANK(HLOOKUP(CaseName,CaseData,MATCH($G279,cases!$G$4:$G$2458,0),FALSE)),"",HLOOKUP(CaseName,CaseData,MATCH($G279,cases!$G$4:$G$2458,0),FALSE))</f>
        <v/>
      </c>
      <c r="K279" s="621">
        <f>AtefSA.sd2*L280*(L281+L282)</f>
        <v>5.9323661539228767E-3</v>
      </c>
      <c r="L279" s="298">
        <f t="shared" si="14"/>
        <v>5.9323661539228767E-3</v>
      </c>
      <c r="M279" s="568" t="s">
        <v>340</v>
      </c>
      <c r="N279" s="567"/>
      <c r="O279" s="607"/>
      <c r="P279" s="578"/>
    </row>
    <row r="280" spans="1:16" s="386" customFormat="1" ht="12.75" customHeight="1" x14ac:dyDescent="0.2">
      <c r="A280" s="567"/>
      <c r="B280" s="567" t="s">
        <v>1500</v>
      </c>
      <c r="C280" s="567"/>
      <c r="D280" s="567"/>
      <c r="E280" s="567"/>
      <c r="F280" s="567"/>
      <c r="G280" s="568" t="s">
        <v>1501</v>
      </c>
      <c r="H280" s="568" t="s">
        <v>715</v>
      </c>
      <c r="I280" s="573"/>
      <c r="J280" s="294" t="str">
        <f>IF(ISBLANK(HLOOKUP(CaseName,CaseData,MATCH($G280,cases!$G$4:$G$2458,0),FALSE)),"",HLOOKUP(CaseName,CaseData,MATCH($G280,cases!$G$4:$G$2458,0),FALSE))</f>
        <v/>
      </c>
      <c r="K280" s="621">
        <f>2*L253</f>
        <v>70735530263064.578</v>
      </c>
      <c r="L280" s="298">
        <f t="shared" si="14"/>
        <v>70735530263064.578</v>
      </c>
      <c r="M280" s="568" t="s">
        <v>715</v>
      </c>
      <c r="N280" s="567" t="s">
        <v>1493</v>
      </c>
      <c r="O280" s="607"/>
      <c r="P280" s="594"/>
    </row>
    <row r="281" spans="1:16" s="386" customFormat="1" ht="12.75" customHeight="1" x14ac:dyDescent="0.2">
      <c r="A281" s="567"/>
      <c r="B281" s="567"/>
      <c r="C281" s="567" t="s">
        <v>1454</v>
      </c>
      <c r="D281" s="567"/>
      <c r="E281" s="567"/>
      <c r="F281" s="567"/>
      <c r="G281" s="567" t="s">
        <v>1502</v>
      </c>
      <c r="H281" s="567" t="s">
        <v>340</v>
      </c>
      <c r="I281" s="573"/>
      <c r="J281" s="294" t="str">
        <f>IF(ISBLANK(HLOOKUP(CaseName,CaseData,MATCH($G281,cases!$G$4:$G$2458,0),FALSE)),"",HLOOKUP(CaseName,CaseData,MATCH($G281,cases!$G$4:$G$2458,0),FALSE))</f>
        <v/>
      </c>
      <c r="K281" s="621">
        <f>((2*kboltz*TEMP.R)/(3*DYNVISC.w))*(RadS+RadNC.sd)^2/(RadS*RadNC.sd)</f>
        <v>8.3863161807052569E-17</v>
      </c>
      <c r="L281" s="552">
        <f t="shared" si="14"/>
        <v>8.3863161807052569E-17</v>
      </c>
      <c r="M281" s="567" t="s">
        <v>340</v>
      </c>
      <c r="N281" s="578"/>
      <c r="O281" s="607"/>
      <c r="P281" s="578"/>
    </row>
    <row r="282" spans="1:16" s="386" customFormat="1" ht="12.75" customHeight="1" x14ac:dyDescent="0.2">
      <c r="A282" s="567"/>
      <c r="B282" s="567"/>
      <c r="C282" s="567" t="s">
        <v>1456</v>
      </c>
      <c r="D282" s="567"/>
      <c r="E282" s="567"/>
      <c r="F282" s="567"/>
      <c r="G282" s="568" t="s">
        <v>1503</v>
      </c>
      <c r="H282" s="568" t="s">
        <v>340</v>
      </c>
      <c r="I282" s="721"/>
      <c r="J282" s="294" t="str">
        <f>IF(ISBLANK(HLOOKUP(CaseName,CaseData,MATCH($G282,cases!$G$4:$G$2458,0),FALSE)),"",HLOOKUP(CaseName,CaseData,MATCH($G282,cases!$G$4:$G$2458,0),FALSE))</f>
        <v/>
      </c>
      <c r="K282" s="621">
        <f>PI()*(RadS+RadNC.sd)^2*ABS(SetVelS.w-SetVelNC.sd)</f>
        <v>3.6888670072520785E-21</v>
      </c>
      <c r="L282" s="298">
        <f t="shared" si="14"/>
        <v>3.6888670072520785E-21</v>
      </c>
      <c r="M282" s="567" t="s">
        <v>340</v>
      </c>
      <c r="N282" s="578"/>
      <c r="O282" s="607"/>
      <c r="P282" s="578"/>
    </row>
    <row r="283" spans="1:16" ht="12.75" customHeight="1" x14ac:dyDescent="0.2">
      <c r="A283" s="410" t="s">
        <v>1504</v>
      </c>
      <c r="I283" s="612"/>
      <c r="J283" s="641"/>
      <c r="M283" s="172"/>
      <c r="O283" s="19"/>
      <c r="P283" s="11"/>
    </row>
    <row r="284" spans="1:16" ht="12.75" customHeight="1" x14ac:dyDescent="0.2">
      <c r="A284" s="567" t="s">
        <v>1505</v>
      </c>
      <c r="B284" s="567"/>
      <c r="C284" s="567"/>
      <c r="D284" s="567"/>
      <c r="E284" s="567"/>
      <c r="F284" s="567"/>
      <c r="G284" s="568" t="s">
        <v>1506</v>
      </c>
      <c r="H284" s="568" t="s">
        <v>340</v>
      </c>
      <c r="I284" s="573"/>
      <c r="J284" s="294" t="str">
        <f>IF(ISBLANK(HLOOKUP(CaseName,CaseData,MATCH($G284,cases!$G$4:$G$2458,0),FALSE)),"",HLOOKUP(CaseName,CaseData,MATCH($G284,cases!$G$4:$G$2458,0),FALSE))</f>
        <v/>
      </c>
      <c r="K284" s="621">
        <f>L287*L288*L289*AtefSP.sd0</f>
        <v>7.8156276124774807E-5</v>
      </c>
      <c r="L284" s="298">
        <f t="shared" ref="L284:L299" si="15">IF(ISBLANK(I284),IF(ISNUMBER(J284)=FALSE,K284,J284),I284)</f>
        <v>7.8156276124774807E-5</v>
      </c>
      <c r="M284" s="568" t="s">
        <v>340</v>
      </c>
      <c r="N284" s="567"/>
      <c r="O284" s="606"/>
      <c r="P284" s="585"/>
    </row>
    <row r="285" spans="1:16" ht="12.75" customHeight="1" x14ac:dyDescent="0.2">
      <c r="A285" s="567" t="s">
        <v>1507</v>
      </c>
      <c r="B285" s="567"/>
      <c r="C285" s="567"/>
      <c r="D285" s="567"/>
      <c r="E285" s="567"/>
      <c r="F285" s="567"/>
      <c r="G285" s="568" t="s">
        <v>1508</v>
      </c>
      <c r="H285" s="568" t="s">
        <v>340</v>
      </c>
      <c r="I285" s="573"/>
      <c r="J285" s="294" t="str">
        <f>IF(ISBLANK(HLOOKUP(CaseName,CaseData,MATCH($G285,cases!$G$4:$G$2458,0),FALSE)),"",HLOOKUP(CaseName,CaseData,MATCH($G285,cases!$G$4:$G$2458,0),FALSE))</f>
        <v/>
      </c>
      <c r="K285" s="621">
        <f>L287*L288*L289*AtefSP.sd1</f>
        <v>7.8156276124774807E-5</v>
      </c>
      <c r="L285" s="298">
        <f t="shared" si="15"/>
        <v>7.8156276124774807E-5</v>
      </c>
      <c r="M285" s="568" t="s">
        <v>340</v>
      </c>
      <c r="N285" s="567"/>
      <c r="O285" s="605"/>
      <c r="P285" s="585"/>
    </row>
    <row r="286" spans="1:16" ht="12.75" customHeight="1" x14ac:dyDescent="0.2">
      <c r="A286" s="567" t="s">
        <v>1509</v>
      </c>
      <c r="B286" s="567"/>
      <c r="C286" s="567"/>
      <c r="D286" s="567"/>
      <c r="E286" s="567"/>
      <c r="F286" s="567"/>
      <c r="G286" s="568" t="s">
        <v>1510</v>
      </c>
      <c r="H286" s="568" t="s">
        <v>340</v>
      </c>
      <c r="I286" s="573"/>
      <c r="J286" s="294" t="str">
        <f>IF(ISBLANK(HLOOKUP(CaseName,CaseData,MATCH($G286,cases!$G$4:$G$2458,0),FALSE)),"",HLOOKUP(CaseName,CaseData,MATCH($G286,cases!$G$4:$G$2458,0),FALSE))</f>
        <v/>
      </c>
      <c r="K286" s="621">
        <f>L287*L289*L288*AtefSP.sd2</f>
        <v>3.9078138062387403E-3</v>
      </c>
      <c r="L286" s="298">
        <f t="shared" si="15"/>
        <v>3.9078138062387403E-3</v>
      </c>
      <c r="M286" s="568" t="s">
        <v>340</v>
      </c>
      <c r="N286" s="567"/>
      <c r="O286" s="567"/>
      <c r="P286" s="605"/>
    </row>
    <row r="287" spans="1:16" ht="12.75" customHeight="1" x14ac:dyDescent="0.2">
      <c r="A287" s="567"/>
      <c r="B287" s="567" t="s">
        <v>1511</v>
      </c>
      <c r="C287" s="567"/>
      <c r="D287" s="567"/>
      <c r="E287" s="567"/>
      <c r="F287" s="567"/>
      <c r="G287" s="568" t="s">
        <v>1512</v>
      </c>
      <c r="H287" s="568" t="s">
        <v>1513</v>
      </c>
      <c r="I287" s="573"/>
      <c r="J287" s="294" t="str">
        <f>IF(ISBLANK(HLOOKUP(CaseName,CaseData,MATCH($G287,cases!$G$4:$G$2458,0),FALSE)),"",HLOOKUP(CaseName,CaseData,MATCH($G287,cases!$G$4:$G$2458,0),FALSE))</f>
        <v/>
      </c>
      <c r="K287" s="621">
        <f>(3/2)*((1-L293)/(2*RadFP.sd*L293))</f>
        <v>1464.8437499999995</v>
      </c>
      <c r="L287" s="298">
        <f t="shared" si="15"/>
        <v>1464.8437499999995</v>
      </c>
      <c r="M287" s="568" t="s">
        <v>1513</v>
      </c>
      <c r="N287" s="567"/>
      <c r="O287" s="605"/>
      <c r="P287" s="585"/>
    </row>
    <row r="288" spans="1:16" ht="12.75" customHeight="1" x14ac:dyDescent="0.2">
      <c r="A288" s="567"/>
      <c r="B288" s="567" t="s">
        <v>1514</v>
      </c>
      <c r="C288" s="567"/>
      <c r="D288" s="567"/>
      <c r="E288" s="567"/>
      <c r="F288" s="567"/>
      <c r="G288" s="567" t="s">
        <v>1515</v>
      </c>
      <c r="H288" s="568" t="s">
        <v>873</v>
      </c>
      <c r="I288" s="573"/>
      <c r="J288" s="294" t="str">
        <f>IF(ISBLANK(HLOOKUP(CaseName,CaseData,MATCH($G288,cases!$G$4:$G$2458,0),FALSE)),"",HLOOKUP(CaseName,CaseData,MATCH($G288,cases!$G$4:$G$2458,0),FALSE))</f>
        <v/>
      </c>
      <c r="K288" s="800">
        <f>9*10^-6</f>
        <v>9.0000000000000002E-6</v>
      </c>
      <c r="L288" s="298">
        <f t="shared" si="15"/>
        <v>9.0000000000000002E-6</v>
      </c>
      <c r="M288" s="568" t="s">
        <v>873</v>
      </c>
      <c r="N288" s="567"/>
      <c r="O288" s="605"/>
      <c r="P288" s="567" t="s">
        <v>1516</v>
      </c>
    </row>
    <row r="289" spans="1:16" ht="12.75" customHeight="1" x14ac:dyDescent="0.2">
      <c r="A289" s="567"/>
      <c r="B289" s="567" t="s">
        <v>1517</v>
      </c>
      <c r="C289" s="567"/>
      <c r="D289" s="567"/>
      <c r="E289" s="567"/>
      <c r="F289" s="567"/>
      <c r="G289" s="568" t="s">
        <v>1518</v>
      </c>
      <c r="H289" s="568" t="s">
        <v>296</v>
      </c>
      <c r="I289" s="573"/>
      <c r="J289" s="294" t="str">
        <f>IF(ISBLANK(HLOOKUP(CaseName,CaseData,MATCH($G289,cases!$G$4:$G$2458,0),FALSE)),"",HLOOKUP(CaseName,CaseData,MATCH($G289,cases!$G$4:$G$2458,0),FALSE))</f>
        <v/>
      </c>
      <c r="K289" s="621">
        <f>L290+L294+L295</f>
        <v>0.29641491389544233</v>
      </c>
      <c r="L289" s="298">
        <f t="shared" si="15"/>
        <v>0.29641491389544233</v>
      </c>
      <c r="M289" s="568" t="s">
        <v>296</v>
      </c>
      <c r="N289" s="567"/>
      <c r="O289" s="606"/>
      <c r="P289" s="567" t="s">
        <v>1516</v>
      </c>
    </row>
    <row r="290" spans="1:16" ht="12.75" customHeight="1" x14ac:dyDescent="0.2">
      <c r="A290" s="567"/>
      <c r="B290" s="567"/>
      <c r="C290" s="567" t="s">
        <v>1519</v>
      </c>
      <c r="D290" s="567"/>
      <c r="E290" s="567"/>
      <c r="F290" s="567"/>
      <c r="G290" s="568" t="s">
        <v>1520</v>
      </c>
      <c r="H290" s="568" t="s">
        <v>296</v>
      </c>
      <c r="I290" s="573"/>
      <c r="J290" s="294" t="str">
        <f>IF(ISBLANK(HLOOKUP(CaseName,CaseData,MATCH($G290,cases!$G$4:$G$2458,0),FALSE)),"",HLOOKUP(CaseName,CaseData,MATCH($G290,cases!$G$4:$G$2458,0),FALSE))</f>
        <v/>
      </c>
      <c r="K290" s="621">
        <f>2.4*L293^(1/3)*L297^(-0.081)*L298^(-0.715)*L296^(0.053)</f>
        <v>0.29639951277528209</v>
      </c>
      <c r="L290" s="298">
        <f t="shared" si="15"/>
        <v>0.29639951277528209</v>
      </c>
      <c r="M290" s="568" t="s">
        <v>296</v>
      </c>
      <c r="N290" s="567"/>
      <c r="O290" s="606"/>
      <c r="P290" s="567" t="s">
        <v>1516</v>
      </c>
    </row>
    <row r="291" spans="1:16" ht="12.75" customHeight="1" x14ac:dyDescent="0.2">
      <c r="A291" s="567"/>
      <c r="B291" s="567"/>
      <c r="C291" s="567"/>
      <c r="D291" s="567" t="s">
        <v>1521</v>
      </c>
      <c r="E291" s="567"/>
      <c r="F291" s="567"/>
      <c r="G291" s="567" t="s">
        <v>1522</v>
      </c>
      <c r="H291" s="568" t="s">
        <v>296</v>
      </c>
      <c r="I291" s="573"/>
      <c r="J291" s="294" t="str">
        <f>IF(ISBLANK(HLOOKUP(CaseName,CaseData,MATCH($G291,cases!$G$4:$G$2458,0),FALSE)),"",HLOOKUP(CaseName,CaseData,MATCH($G291,cases!$G$4:$G$2458,0),FALSE))</f>
        <v/>
      </c>
      <c r="K291" s="663">
        <f>(2*(1-L292^5))/(2-3*L292+3*L292^5-2*L292^6)</f>
        <v>5.0249997549306684</v>
      </c>
      <c r="L291" s="298">
        <f t="shared" si="15"/>
        <v>5.0249997549306684</v>
      </c>
      <c r="M291" s="568" t="s">
        <v>296</v>
      </c>
      <c r="N291" s="567"/>
      <c r="O291" s="605"/>
      <c r="P291" s="567" t="s">
        <v>1516</v>
      </c>
    </row>
    <row r="292" spans="1:16" ht="12.75" customHeight="1" x14ac:dyDescent="0.2">
      <c r="A292" s="567"/>
      <c r="B292" s="567"/>
      <c r="C292" s="567"/>
      <c r="D292" s="567"/>
      <c r="E292" s="567" t="s">
        <v>1523</v>
      </c>
      <c r="F292" s="567"/>
      <c r="G292" s="567" t="s">
        <v>1524</v>
      </c>
      <c r="H292" s="568" t="s">
        <v>296</v>
      </c>
      <c r="I292" s="573"/>
      <c r="J292" s="294" t="str">
        <f>IF(ISBLANK(HLOOKUP(CaseName,CaseData,MATCH($G292,cases!$G$4:$G$2458,0),FALSE)),"",HLOOKUP(CaseName,CaseData,MATCH($G292,cases!$G$4:$G$2458,0),FALSE))</f>
        <v/>
      </c>
      <c r="K292" s="663">
        <f>(1-L293)^(1/3)</f>
        <v>0.58480354764257325</v>
      </c>
      <c r="L292" s="298">
        <f t="shared" si="15"/>
        <v>0.58480354764257325</v>
      </c>
      <c r="M292" s="568" t="s">
        <v>296</v>
      </c>
      <c r="N292" s="567"/>
      <c r="O292" s="605"/>
      <c r="P292" s="567" t="s">
        <v>1516</v>
      </c>
    </row>
    <row r="293" spans="1:16" ht="12.75" customHeight="1" x14ac:dyDescent="0.2">
      <c r="A293" s="567"/>
      <c r="B293" s="567"/>
      <c r="C293" s="567"/>
      <c r="D293" s="567"/>
      <c r="E293" s="567"/>
      <c r="F293" s="567" t="s">
        <v>1525</v>
      </c>
      <c r="G293" s="567" t="s">
        <v>1526</v>
      </c>
      <c r="H293" s="568" t="s">
        <v>1527</v>
      </c>
      <c r="I293" s="573"/>
      <c r="J293" s="294" t="str">
        <f>IF(ISBLANK(HLOOKUP(CaseName,CaseData,MATCH($G293,cases!$G$4:$G$2458,0),FALSE)),"",HLOOKUP(CaseName,CaseData,MATCH($G293,cases!$G$4:$G$2458,0),FALSE))</f>
        <v/>
      </c>
      <c r="K293" s="621">
        <f>L45</f>
        <v>0.8</v>
      </c>
      <c r="L293" s="298">
        <f t="shared" si="15"/>
        <v>0.8</v>
      </c>
      <c r="M293" s="568" t="s">
        <v>1527</v>
      </c>
      <c r="N293" s="567" t="s">
        <v>1528</v>
      </c>
      <c r="O293" s="605"/>
      <c r="P293" s="585"/>
    </row>
    <row r="294" spans="1:16" ht="12.75" customHeight="1" x14ac:dyDescent="0.2">
      <c r="A294" s="567"/>
      <c r="B294" s="567"/>
      <c r="C294" s="567" t="s">
        <v>1529</v>
      </c>
      <c r="D294" s="567"/>
      <c r="E294" s="567"/>
      <c r="F294" s="567"/>
      <c r="G294" s="568" t="s">
        <v>1530</v>
      </c>
      <c r="H294" s="568" t="s">
        <v>296</v>
      </c>
      <c r="I294" s="573"/>
      <c r="J294" s="294" t="str">
        <f>IF(ISBLANK(HLOOKUP(CaseName,CaseData,MATCH($G294,cases!$G$4:$G$2458,0),FALSE)),"",HLOOKUP(CaseName,CaseData,MATCH($G294,cases!$G$4:$G$2458,0),FALSE))</f>
        <v/>
      </c>
      <c r="K294" s="621">
        <f>0.55*L297^1.55*L298^-0.125*L296^0.125</f>
        <v>5.2510265498612906E-8</v>
      </c>
      <c r="L294" s="298">
        <f t="shared" si="15"/>
        <v>5.2510265498612906E-8</v>
      </c>
      <c r="M294" s="568" t="s">
        <v>296</v>
      </c>
      <c r="N294" s="578"/>
      <c r="O294" s="606"/>
      <c r="P294" s="567" t="s">
        <v>1516</v>
      </c>
    </row>
    <row r="295" spans="1:16" ht="12.75" customHeight="1" x14ac:dyDescent="0.2">
      <c r="A295" s="567"/>
      <c r="B295" s="567"/>
      <c r="C295" s="567" t="s">
        <v>1531</v>
      </c>
      <c r="D295" s="567"/>
      <c r="E295" s="567"/>
      <c r="F295" s="567"/>
      <c r="G295" s="568" t="s">
        <v>1532</v>
      </c>
      <c r="H295" s="568" t="s">
        <v>296</v>
      </c>
      <c r="I295" s="573"/>
      <c r="J295" s="294" t="str">
        <f>IF(ISBLANK(HLOOKUP(CaseName,CaseData,MATCH($G295,cases!$G$4:$G$2458,0),FALSE)),"",HLOOKUP(CaseName,CaseData,MATCH($G295,cases!$G$4:$G$2458,0),FALSE))</f>
        <v/>
      </c>
      <c r="K295" s="621">
        <f>0.22*L297^-0.24*L299^1.11*L296^0.053</f>
        <v>1.5348609894728741E-5</v>
      </c>
      <c r="L295" s="298">
        <f t="shared" si="15"/>
        <v>1.5348609894728741E-5</v>
      </c>
      <c r="M295" s="568" t="s">
        <v>296</v>
      </c>
      <c r="N295" s="567"/>
      <c r="O295" s="606"/>
      <c r="P295" s="567" t="s">
        <v>1516</v>
      </c>
    </row>
    <row r="296" spans="1:16" ht="12.75" customHeight="1" x14ac:dyDescent="0.2">
      <c r="A296" s="567"/>
      <c r="B296" s="567"/>
      <c r="C296" s="567"/>
      <c r="D296" s="567" t="s">
        <v>1533</v>
      </c>
      <c r="E296" s="567"/>
      <c r="F296" s="567"/>
      <c r="G296" s="567" t="s">
        <v>1534</v>
      </c>
      <c r="H296" s="568" t="s">
        <v>296</v>
      </c>
      <c r="I296" s="573"/>
      <c r="J296" s="294" t="str">
        <f>IF(ISBLANK(HLOOKUP(CaseName,CaseData,MATCH($G296,cases!$G$4:$G$2458,0),FALSE)),"",HLOOKUP(CaseName,CaseData,MATCH($G296,cases!$G$4:$G$2458,0),FALSE))</f>
        <v/>
      </c>
      <c r="K296" s="663">
        <f>AHamakerSP.w/(kboltz*TEMP.R)</f>
        <v>1.7535615368506079</v>
      </c>
      <c r="L296" s="298">
        <f t="shared" si="15"/>
        <v>1.7535615368506079</v>
      </c>
      <c r="M296" s="568" t="s">
        <v>296</v>
      </c>
      <c r="N296" s="567"/>
      <c r="O296" s="606"/>
      <c r="P296" s="567" t="s">
        <v>1516</v>
      </c>
    </row>
    <row r="297" spans="1:16" ht="12.75" customHeight="1" x14ac:dyDescent="0.2">
      <c r="A297" s="567"/>
      <c r="B297" s="567"/>
      <c r="C297" s="567"/>
      <c r="D297" s="567" t="s">
        <v>1535</v>
      </c>
      <c r="E297" s="567"/>
      <c r="F297" s="567"/>
      <c r="G297" s="567" t="s">
        <v>1536</v>
      </c>
      <c r="H297" s="568" t="s">
        <v>1537</v>
      </c>
      <c r="I297" s="573"/>
      <c r="J297" s="294" t="str">
        <f>IF(ISBLANK(HLOOKUP(CaseName,CaseData,MATCH($G297,cases!$G$4:$G$2458,0),FALSE)),"",HLOOKUP(CaseName,CaseData,MATCH($G297,cases!$G$4:$G$2458,0),FALSE))</f>
        <v/>
      </c>
      <c r="K297" s="663">
        <f>RadS/RadFP.sd</f>
        <v>3.9062500000000001E-5</v>
      </c>
      <c r="L297" s="298">
        <f t="shared" si="15"/>
        <v>3.9062500000000001E-5</v>
      </c>
      <c r="M297" s="568" t="s">
        <v>1537</v>
      </c>
      <c r="N297" s="567"/>
      <c r="O297" s="605"/>
      <c r="P297" s="567" t="s">
        <v>1516</v>
      </c>
    </row>
    <row r="298" spans="1:16" ht="12.75" customHeight="1" x14ac:dyDescent="0.2">
      <c r="A298" s="567"/>
      <c r="B298" s="567"/>
      <c r="C298" s="567"/>
      <c r="D298" s="567" t="s">
        <v>1538</v>
      </c>
      <c r="E298" s="567"/>
      <c r="F298" s="567"/>
      <c r="G298" s="567" t="s">
        <v>1539</v>
      </c>
      <c r="H298" s="568" t="s">
        <v>296</v>
      </c>
      <c r="I298" s="573"/>
      <c r="J298" s="294" t="str">
        <f>IF(ISBLANK(HLOOKUP(CaseName,CaseData,MATCH($G298,cases!$G$4:$G$2458,0),FALSE)),"",HLOOKUP(CaseName,CaseData,MATCH($G298,cases!$G$4:$G$2458,0),FALSE))</f>
        <v/>
      </c>
      <c r="K298" s="663">
        <f>(L288*2*RadFP.sd)/DiffS.wR</f>
        <v>55.295939834256309</v>
      </c>
      <c r="L298" s="298">
        <f t="shared" si="15"/>
        <v>55.295939834256309</v>
      </c>
      <c r="M298" s="568" t="s">
        <v>296</v>
      </c>
      <c r="N298" s="567"/>
      <c r="O298" s="606"/>
      <c r="P298" s="567" t="s">
        <v>1516</v>
      </c>
    </row>
    <row r="299" spans="1:16" ht="12.75" customHeight="1" x14ac:dyDescent="0.2">
      <c r="A299" s="567"/>
      <c r="B299" s="567"/>
      <c r="C299" s="567"/>
      <c r="D299" s="567" t="s">
        <v>1540</v>
      </c>
      <c r="E299" s="567"/>
      <c r="F299" s="567"/>
      <c r="G299" s="568" t="s">
        <v>1541</v>
      </c>
      <c r="H299" s="568" t="s">
        <v>296</v>
      </c>
      <c r="I299" s="573"/>
      <c r="J299" s="294" t="str">
        <f>IF(ISBLANK(HLOOKUP(CaseName,CaseData,MATCH($G299,cases!$G$4:$G$2458,0),FALSE)),"",HLOOKUP(CaseName,CaseData,MATCH($G299,cases!$G$4:$G$2458,0),FALSE))</f>
        <v/>
      </c>
      <c r="K299" s="663">
        <f>(2*RadS^2*(ABS(RhoS-Rho.w))*9.81)/(9*DYNVISC.w*L288)</f>
        <v>1.9532490574406746E-5</v>
      </c>
      <c r="L299" s="298">
        <f t="shared" si="15"/>
        <v>1.9532490574406746E-5</v>
      </c>
      <c r="M299" s="568" t="s">
        <v>296</v>
      </c>
      <c r="N299" s="567"/>
      <c r="O299" s="606"/>
      <c r="P299" s="567" t="s">
        <v>1516</v>
      </c>
    </row>
    <row r="300" spans="1:16" ht="12.75" customHeight="1" x14ac:dyDescent="0.2">
      <c r="A300" s="410" t="s">
        <v>1542</v>
      </c>
      <c r="I300" s="612"/>
      <c r="J300" s="641"/>
      <c r="M300" s="172"/>
      <c r="O300" s="19"/>
      <c r="P300"/>
    </row>
    <row r="301" spans="1:16" s="386" customFormat="1" ht="12.75" customHeight="1" x14ac:dyDescent="0.2">
      <c r="A301" s="567" t="s">
        <v>1543</v>
      </c>
      <c r="B301" s="567"/>
      <c r="C301" s="567"/>
      <c r="D301" s="567"/>
      <c r="E301" s="567"/>
      <c r="F301" s="567"/>
      <c r="G301" s="568" t="s">
        <v>1544</v>
      </c>
      <c r="H301" s="568" t="s">
        <v>340</v>
      </c>
      <c r="I301" s="573"/>
      <c r="J301" s="294" t="str">
        <f>IF(ISBLANK(HLOOKUP(CaseName,CaseData,MATCH($G301,cases!$G$4:$G$2458,0),FALSE)),"",HLOOKUP(CaseName,CaseData,MATCH($G301,cases!$G$4:$G$2458,0),FALSE))</f>
        <v/>
      </c>
      <c r="K301" s="621">
        <f>AtefSA.s1*L304*(L305+L306)</f>
        <v>9.9663751385904359E-2</v>
      </c>
      <c r="L301" s="298">
        <f t="shared" ref="L301:L306" si="16">IF(ISBLANK(I301),IF(ISNUMBER(J301)=FALSE,K301,J301),I301)</f>
        <v>9.9663751385904359E-2</v>
      </c>
      <c r="M301" s="568" t="s">
        <v>340</v>
      </c>
      <c r="N301" s="578"/>
      <c r="O301" s="607"/>
      <c r="P301" s="578"/>
    </row>
    <row r="302" spans="1:16" s="386" customFormat="1" ht="12.75" customHeight="1" x14ac:dyDescent="0.2">
      <c r="A302" s="567" t="s">
        <v>1545</v>
      </c>
      <c r="B302" s="567"/>
      <c r="C302" s="567"/>
      <c r="D302" s="567"/>
      <c r="E302" s="567"/>
      <c r="F302" s="567"/>
      <c r="G302" s="568" t="s">
        <v>1546</v>
      </c>
      <c r="H302" s="568" t="s">
        <v>340</v>
      </c>
      <c r="I302" s="573"/>
      <c r="J302" s="294" t="str">
        <f>IF(ISBLANK(HLOOKUP(CaseName,CaseData,MATCH($G302,cases!$G$4:$G$2458,0),FALSE)),"",HLOOKUP(CaseName,CaseData,MATCH($G302,cases!$G$4:$G$2458,0),FALSE))</f>
        <v/>
      </c>
      <c r="K302" s="621">
        <f>AtefSA.s2*L304*(L305+L306)</f>
        <v>9.9663751385904359E-2</v>
      </c>
      <c r="L302" s="298">
        <f t="shared" si="16"/>
        <v>9.9663751385904359E-2</v>
      </c>
      <c r="M302" s="568" t="s">
        <v>340</v>
      </c>
      <c r="N302" s="578"/>
      <c r="O302" s="607"/>
      <c r="P302" s="578"/>
    </row>
    <row r="303" spans="1:16" s="386" customFormat="1" ht="12.75" customHeight="1" x14ac:dyDescent="0.2">
      <c r="A303" s="567" t="s">
        <v>1547</v>
      </c>
      <c r="B303" s="567"/>
      <c r="C303" s="567"/>
      <c r="D303" s="567"/>
      <c r="E303" s="567"/>
      <c r="F303" s="567"/>
      <c r="G303" s="568" t="s">
        <v>1548</v>
      </c>
      <c r="H303" s="568" t="s">
        <v>340</v>
      </c>
      <c r="I303" s="573"/>
      <c r="J303" s="294" t="str">
        <f>IF(ISBLANK(HLOOKUP(CaseName,CaseData,MATCH($G303,cases!$G$4:$G$2458,0),FALSE)),"",HLOOKUP(CaseName,CaseData,MATCH($G303,cases!$G$4:$G$2458,0),FALSE))</f>
        <v/>
      </c>
      <c r="K303" s="621">
        <f>AtefSA.s3*L304*(L305+L306)</f>
        <v>9.9663751385904359E-2</v>
      </c>
      <c r="L303" s="298">
        <f t="shared" si="16"/>
        <v>9.9663751385904359E-2</v>
      </c>
      <c r="M303" s="568" t="s">
        <v>340</v>
      </c>
      <c r="N303" s="578"/>
      <c r="O303" s="607"/>
      <c r="P303" s="578"/>
    </row>
    <row r="304" spans="1:16" s="386" customFormat="1" ht="12.75" customHeight="1" x14ac:dyDescent="0.2">
      <c r="A304" s="567"/>
      <c r="B304" s="567" t="s">
        <v>1549</v>
      </c>
      <c r="C304" s="567"/>
      <c r="D304" s="567"/>
      <c r="E304" s="567"/>
      <c r="F304" s="567"/>
      <c r="G304" s="568" t="s">
        <v>1550</v>
      </c>
      <c r="H304" s="568" t="s">
        <v>715</v>
      </c>
      <c r="I304" s="573"/>
      <c r="J304" s="294" t="str">
        <f>IF(ISBLANK(HLOOKUP(CaseName,CaseData,MATCH($G304,cases!$G$4:$G$2458,0),FALSE)),"",HLOOKUP(CaseName,CaseData,MATCH($G304,cases!$G$4:$G$2458,0),FALSE))</f>
        <v/>
      </c>
      <c r="K304" s="621">
        <f>(input!L284)/(SingleVolNC.s*RhoNC.s)</f>
        <v>3536776513153229.5</v>
      </c>
      <c r="L304" s="298">
        <f t="shared" si="16"/>
        <v>3536776513153229.5</v>
      </c>
      <c r="M304" s="568" t="s">
        <v>715</v>
      </c>
      <c r="N304" s="578"/>
      <c r="O304" s="607"/>
      <c r="P304" s="578"/>
    </row>
    <row r="305" spans="1:16" s="386" customFormat="1" ht="12.75" customHeight="1" x14ac:dyDescent="0.2">
      <c r="A305" s="567"/>
      <c r="B305" s="567" t="s">
        <v>1454</v>
      </c>
      <c r="C305" s="567"/>
      <c r="D305" s="567"/>
      <c r="E305" s="567"/>
      <c r="F305" s="567"/>
      <c r="G305" s="568" t="s">
        <v>1551</v>
      </c>
      <c r="H305" s="568" t="s">
        <v>340</v>
      </c>
      <c r="I305" s="573"/>
      <c r="J305" s="294" t="str">
        <f>IF(ISBLANK(HLOOKUP(CaseName,CaseData,MATCH($G305,cases!$G$4:$G$2458,0),FALSE)),"",HLOOKUP(CaseName,CaseData,MATCH($G305,cases!$G$4:$G$2458,0),FALSE))</f>
        <v/>
      </c>
      <c r="K305" s="621">
        <f>((2*kboltz*TEMP.R)/(3*DYNVISC.w))*(RadS+RadNC.s)^2/(RadS*RadNC.s)</f>
        <v>8.3863161807052569E-17</v>
      </c>
      <c r="L305" s="298">
        <f t="shared" si="16"/>
        <v>8.3863161807052569E-17</v>
      </c>
      <c r="M305" s="567" t="s">
        <v>340</v>
      </c>
      <c r="N305" s="578"/>
      <c r="O305" s="607"/>
      <c r="P305" s="578"/>
    </row>
    <row r="306" spans="1:16" s="386" customFormat="1" ht="12.75" customHeight="1" x14ac:dyDescent="0.2">
      <c r="A306" s="567"/>
      <c r="B306" s="567" t="s">
        <v>1456</v>
      </c>
      <c r="C306" s="567"/>
      <c r="D306" s="567"/>
      <c r="E306" s="567"/>
      <c r="F306" s="567"/>
      <c r="G306" s="568" t="s">
        <v>1552</v>
      </c>
      <c r="H306" s="568" t="s">
        <v>340</v>
      </c>
      <c r="I306" s="573"/>
      <c r="J306" s="294" t="str">
        <f>IF(ISBLANK(HLOOKUP(CaseName,CaseData,MATCH($G306,cases!$G$4:$G$2458,0),FALSE)),"",HLOOKUP(CaseName,CaseData,MATCH($G306,cases!$G$4:$G$2458,0),FALSE))</f>
        <v/>
      </c>
      <c r="K306" s="621">
        <f>PI()*(RadS+RadNC.s)^2*ABS(SetVelS.w-SetVelNC.s)</f>
        <v>3.6888670072520785E-21</v>
      </c>
      <c r="L306" s="298">
        <f t="shared" si="16"/>
        <v>3.6888670072520785E-21</v>
      </c>
      <c r="M306" s="567" t="s">
        <v>340</v>
      </c>
      <c r="N306" s="578"/>
      <c r="O306" s="607"/>
      <c r="P306" s="578"/>
    </row>
    <row r="307" spans="1:16" ht="12.75" customHeight="1" x14ac:dyDescent="0.2">
      <c r="A307" s="410" t="s">
        <v>1553</v>
      </c>
      <c r="I307" s="612"/>
      <c r="J307" s="641"/>
      <c r="M307" s="172"/>
      <c r="O307" s="19"/>
      <c r="P307"/>
    </row>
    <row r="308" spans="1:16" ht="12.75" customHeight="1" x14ac:dyDescent="0.2">
      <c r="A308" s="567" t="s">
        <v>1554</v>
      </c>
      <c r="B308" s="567"/>
      <c r="C308" s="567"/>
      <c r="D308" s="567"/>
      <c r="E308" s="567"/>
      <c r="F308" s="567"/>
      <c r="G308" s="568" t="s">
        <v>1555</v>
      </c>
      <c r="H308" s="568" t="s">
        <v>340</v>
      </c>
      <c r="I308" s="573"/>
      <c r="J308" s="294" t="str">
        <f>IF(ISBLANK(HLOOKUP(CaseName,CaseData,MATCH($G308,cases!$G$4:$G$2458,0),FALSE)),"",HLOOKUP(CaseName,CaseData,MATCH($G308,cases!$G$4:$G$2458,0),FALSE))</f>
        <v/>
      </c>
      <c r="K308" s="621">
        <f>L309*L310*L311*AtefSP.s1</f>
        <v>2.8525040501634097E-2</v>
      </c>
      <c r="L308" s="298">
        <f t="shared" ref="L308:L321" si="17">IF(ISBLANK(I308),IF(ISNUMBER(J308)=FALSE,K308,J308),I308)</f>
        <v>2.8525040501634097E-2</v>
      </c>
      <c r="M308" s="568" t="s">
        <v>340</v>
      </c>
      <c r="N308" s="567"/>
      <c r="O308" s="606"/>
      <c r="P308" s="567" t="s">
        <v>1516</v>
      </c>
    </row>
    <row r="309" spans="1:16" ht="12.75" customHeight="1" x14ac:dyDescent="0.2">
      <c r="A309" s="567"/>
      <c r="B309" s="567" t="s">
        <v>1556</v>
      </c>
      <c r="C309" s="567"/>
      <c r="D309" s="567"/>
      <c r="E309" s="567"/>
      <c r="F309" s="567"/>
      <c r="G309" s="568" t="s">
        <v>1557</v>
      </c>
      <c r="H309" s="568" t="s">
        <v>1513</v>
      </c>
      <c r="I309" s="573"/>
      <c r="J309" s="294" t="str">
        <f>IF(ISBLANK(HLOOKUP(CaseName,CaseData,MATCH($G309,cases!$G$4:$G$2458,0),FALSE)),"",HLOOKUP(CaseName,CaseData,MATCH($G309,cases!$G$4:$G$2458,0),FALSE))</f>
        <v/>
      </c>
      <c r="K309" s="621">
        <f>(3/2)*(1-L315)/(2*RadFP.s*L315)</f>
        <v>8789.0625000000036</v>
      </c>
      <c r="L309" s="298">
        <f t="shared" si="17"/>
        <v>8789.0625000000036</v>
      </c>
      <c r="M309" s="568" t="s">
        <v>1513</v>
      </c>
      <c r="N309" s="567"/>
      <c r="O309" s="606"/>
      <c r="P309" s="567" t="s">
        <v>1516</v>
      </c>
    </row>
    <row r="310" spans="1:16" ht="12.75" customHeight="1" x14ac:dyDescent="0.2">
      <c r="A310" s="567"/>
      <c r="B310" s="567" t="s">
        <v>1558</v>
      </c>
      <c r="C310" s="567"/>
      <c r="D310" s="567"/>
      <c r="E310" s="567"/>
      <c r="F310" s="567"/>
      <c r="G310" s="567" t="s">
        <v>1559</v>
      </c>
      <c r="H310" s="568" t="s">
        <v>873</v>
      </c>
      <c r="I310" s="573"/>
      <c r="J310" s="294" t="str">
        <f>IF(ISBLANK(HLOOKUP(CaseName,CaseData,MATCH($G310,cases!$G$4:$G$2458,0),FALSE)),"",HLOOKUP(CaseName,CaseData,MATCH($G310,cases!$G$4:$G$2458,0),FALSE))</f>
        <v/>
      </c>
      <c r="K310" s="663">
        <f>9*10^-6</f>
        <v>9.0000000000000002E-6</v>
      </c>
      <c r="L310" s="298">
        <f t="shared" si="17"/>
        <v>9.0000000000000002E-6</v>
      </c>
      <c r="M310" s="568" t="s">
        <v>873</v>
      </c>
      <c r="N310" s="585"/>
      <c r="O310" s="606"/>
      <c r="P310" s="567" t="s">
        <v>1516</v>
      </c>
    </row>
    <row r="311" spans="1:16" ht="12.75" customHeight="1" x14ac:dyDescent="0.2">
      <c r="A311" s="567"/>
      <c r="B311" s="567" t="s">
        <v>1517</v>
      </c>
      <c r="C311" s="567"/>
      <c r="D311" s="567"/>
      <c r="E311" s="567"/>
      <c r="F311" s="567"/>
      <c r="G311" s="568" t="s">
        <v>1560</v>
      </c>
      <c r="H311" s="568" t="s">
        <v>296</v>
      </c>
      <c r="I311" s="573"/>
      <c r="J311" s="294" t="str">
        <f>IF(ISBLANK(HLOOKUP(CaseName,CaseData,MATCH($G311,cases!$G$4:$G$2458,0),FALSE)),"",HLOOKUP(CaseName,CaseData,MATCH($G311,cases!$G$4:$G$2458,0),FALSE))</f>
        <v/>
      </c>
      <c r="K311" s="621">
        <f>L312+L316+L317</f>
        <v>1.0732525526775902</v>
      </c>
      <c r="L311" s="298">
        <f t="shared" si="17"/>
        <v>1.0732525526775902</v>
      </c>
      <c r="M311" s="568" t="s">
        <v>296</v>
      </c>
      <c r="N311" s="585"/>
      <c r="O311" s="606"/>
      <c r="P311" s="567" t="s">
        <v>1516</v>
      </c>
    </row>
    <row r="312" spans="1:16" ht="12.75" customHeight="1" x14ac:dyDescent="0.2">
      <c r="A312" s="567"/>
      <c r="B312" s="567"/>
      <c r="C312" s="567" t="s">
        <v>1519</v>
      </c>
      <c r="D312" s="567"/>
      <c r="E312" s="567"/>
      <c r="F312" s="567"/>
      <c r="G312" s="568" t="s">
        <v>1561</v>
      </c>
      <c r="H312" s="568" t="s">
        <v>296</v>
      </c>
      <c r="I312" s="573"/>
      <c r="J312" s="294" t="str">
        <f>IF(ISBLANK(HLOOKUP(CaseName,CaseData,MATCH($G312,cases!$G$4:$G$2458,0),FALSE)),"",HLOOKUP(CaseName,CaseData,MATCH($G312,cases!$G$4:$G$2458,0),FALSE))</f>
        <v/>
      </c>
      <c r="K312" s="621">
        <f>2.4*L313^(1/3)*L319^(-0.081)*L320^-0.715*L318^0.053</f>
        <v>1.0732371515574299</v>
      </c>
      <c r="L312" s="298">
        <f t="shared" si="17"/>
        <v>1.0732371515574299</v>
      </c>
      <c r="M312" s="568" t="s">
        <v>296</v>
      </c>
      <c r="N312" s="585"/>
      <c r="O312" s="606"/>
      <c r="P312" s="567" t="s">
        <v>1516</v>
      </c>
    </row>
    <row r="313" spans="1:16" ht="12.75" customHeight="1" x14ac:dyDescent="0.2">
      <c r="A313" s="567"/>
      <c r="B313" s="567"/>
      <c r="C313" s="567"/>
      <c r="D313" s="567" t="s">
        <v>1521</v>
      </c>
      <c r="E313" s="567"/>
      <c r="F313" s="567"/>
      <c r="G313" s="567" t="s">
        <v>1562</v>
      </c>
      <c r="H313" s="568" t="s">
        <v>296</v>
      </c>
      <c r="I313" s="573"/>
      <c r="J313" s="294" t="str">
        <f>IF(ISBLANK(HLOOKUP(CaseName,CaseData,MATCH($G313,cases!$G$4:$G$2458,0),FALSE)),"",HLOOKUP(CaseName,CaseData,MATCH($G313,cases!$G$4:$G$2458,0),FALSE))</f>
        <v/>
      </c>
      <c r="K313" s="663">
        <f>(2*(1-L314^5))/(2-3*L314+3*L314^5-2*L314^6)</f>
        <v>37.979096123930859</v>
      </c>
      <c r="L313" s="298">
        <f t="shared" si="17"/>
        <v>37.979096123930859</v>
      </c>
      <c r="M313" s="568" t="s">
        <v>296</v>
      </c>
      <c r="N313" s="585"/>
      <c r="O313" s="606"/>
      <c r="P313" s="567" t="s">
        <v>1516</v>
      </c>
    </row>
    <row r="314" spans="1:16" ht="12.75" customHeight="1" x14ac:dyDescent="0.2">
      <c r="A314" s="567"/>
      <c r="B314" s="567"/>
      <c r="C314" s="567"/>
      <c r="D314" s="567"/>
      <c r="E314" s="567" t="s">
        <v>1563</v>
      </c>
      <c r="F314" s="567"/>
      <c r="G314" s="567" t="s">
        <v>1564</v>
      </c>
      <c r="H314" s="568" t="s">
        <v>296</v>
      </c>
      <c r="I314" s="573"/>
      <c r="J314" s="294" t="str">
        <f>IF(ISBLANK(HLOOKUP(CaseName,CaseData,MATCH($G314,cases!$G$4:$G$2458,0),FALSE)),"",HLOOKUP(CaseName,CaseData,MATCH($G314,cases!$G$4:$G$2458,0),FALSE))</f>
        <v/>
      </c>
      <c r="K314" s="663">
        <f>(1-L315)^(1/3)</f>
        <v>0.84343266530174932</v>
      </c>
      <c r="L314" s="298">
        <f t="shared" si="17"/>
        <v>0.84343266530174932</v>
      </c>
      <c r="M314" s="568" t="s">
        <v>296</v>
      </c>
      <c r="N314" s="585"/>
      <c r="O314" s="606"/>
      <c r="P314" s="567" t="s">
        <v>1516</v>
      </c>
    </row>
    <row r="315" spans="1:16" ht="12.75" customHeight="1" x14ac:dyDescent="0.2">
      <c r="A315" s="567"/>
      <c r="B315" s="567"/>
      <c r="C315" s="567"/>
      <c r="D315" s="567"/>
      <c r="E315" s="567"/>
      <c r="F315" s="567" t="s">
        <v>1565</v>
      </c>
      <c r="G315" s="567" t="s">
        <v>1566</v>
      </c>
      <c r="H315" s="568" t="s">
        <v>1527</v>
      </c>
      <c r="I315" s="573"/>
      <c r="J315" s="294" t="str">
        <f>IF(ISBLANK(HLOOKUP(CaseName,CaseData,MATCH($G315,cases!$G$4:$G$2458,0),FALSE)),"",HLOOKUP(CaseName,CaseData,MATCH($G315,cases!$G$4:$G$2458,0),FALSE))</f>
        <v/>
      </c>
      <c r="K315" s="621">
        <f>1-L38</f>
        <v>0.39999999999999991</v>
      </c>
      <c r="L315" s="298">
        <f t="shared" si="17"/>
        <v>0.39999999999999991</v>
      </c>
      <c r="M315" s="568" t="s">
        <v>1527</v>
      </c>
      <c r="N315" s="567" t="s">
        <v>1567</v>
      </c>
      <c r="O315" s="607"/>
      <c r="P315" s="585"/>
    </row>
    <row r="316" spans="1:16" ht="12.75" customHeight="1" x14ac:dyDescent="0.2">
      <c r="A316" s="567"/>
      <c r="B316" s="567"/>
      <c r="C316" s="567" t="s">
        <v>1529</v>
      </c>
      <c r="D316" s="567"/>
      <c r="E316" s="567"/>
      <c r="F316" s="567"/>
      <c r="G316" s="568" t="s">
        <v>1568</v>
      </c>
      <c r="H316" s="568" t="s">
        <v>296</v>
      </c>
      <c r="I316" s="573"/>
      <c r="J316" s="294" t="str">
        <f>IF(ISBLANK(HLOOKUP(CaseName,CaseData,MATCH($G316,cases!$G$4:$G$2458,0),FALSE)),"",HLOOKUP(CaseName,CaseData,MATCH($G316,cases!$G$4:$G$2458,0),FALSE))</f>
        <v/>
      </c>
      <c r="K316" s="621">
        <f>0.55*L319^1.55*L320^-0.125*L318^0.125</f>
        <v>5.2510265498612906E-8</v>
      </c>
      <c r="L316" s="298">
        <f t="shared" si="17"/>
        <v>5.2510265498612906E-8</v>
      </c>
      <c r="M316" s="568" t="s">
        <v>296</v>
      </c>
      <c r="N316" s="585"/>
      <c r="O316" s="606"/>
      <c r="P316" s="567" t="s">
        <v>1516</v>
      </c>
    </row>
    <row r="317" spans="1:16" ht="12.75" customHeight="1" x14ac:dyDescent="0.2">
      <c r="A317" s="567"/>
      <c r="B317" s="567"/>
      <c r="C317" s="567" t="s">
        <v>1531</v>
      </c>
      <c r="D317" s="567"/>
      <c r="E317" s="567"/>
      <c r="F317" s="567"/>
      <c r="G317" s="568" t="s">
        <v>1569</v>
      </c>
      <c r="H317" s="568" t="s">
        <v>296</v>
      </c>
      <c r="I317" s="573"/>
      <c r="J317" s="294" t="str">
        <f>IF(ISBLANK(HLOOKUP(CaseName,CaseData,MATCH($G317,cases!$G$4:$G$2458,0),FALSE)),"",HLOOKUP(CaseName,CaseData,MATCH($G317,cases!$G$4:$G$2458,0),FALSE))</f>
        <v/>
      </c>
      <c r="K317" s="621">
        <f>0.22*L319^-0.24*L321^1.11*L318^0.053</f>
        <v>1.5348609894728741E-5</v>
      </c>
      <c r="L317" s="298">
        <f t="shared" si="17"/>
        <v>1.5348609894728741E-5</v>
      </c>
      <c r="M317" s="568" t="s">
        <v>296</v>
      </c>
      <c r="N317" s="585"/>
      <c r="O317" s="606"/>
      <c r="P317" s="567" t="s">
        <v>1516</v>
      </c>
    </row>
    <row r="318" spans="1:16" ht="12.75" customHeight="1" x14ac:dyDescent="0.2">
      <c r="A318" s="567"/>
      <c r="B318" s="567"/>
      <c r="C318" s="567"/>
      <c r="D318" s="567" t="s">
        <v>1533</v>
      </c>
      <c r="E318" s="567"/>
      <c r="F318" s="567"/>
      <c r="G318" s="567" t="s">
        <v>1570</v>
      </c>
      <c r="H318" s="568" t="s">
        <v>296</v>
      </c>
      <c r="I318" s="573"/>
      <c r="J318" s="294" t="str">
        <f>IF(ISBLANK(HLOOKUP(CaseName,CaseData,MATCH($G318,cases!$G$4:$G$2458,0),FALSE)),"",HLOOKUP(CaseName,CaseData,MATCH($G318,cases!$G$4:$G$2458,0),FALSE))</f>
        <v/>
      </c>
      <c r="K318" s="663">
        <f>AHamakerSP.w/(kboltz*TEMP.R)</f>
        <v>1.7535615368506079</v>
      </c>
      <c r="L318" s="298">
        <f t="shared" si="17"/>
        <v>1.7535615368506079</v>
      </c>
      <c r="M318" s="568" t="s">
        <v>296</v>
      </c>
      <c r="N318" s="585"/>
      <c r="O318" s="606"/>
      <c r="P318" s="567" t="s">
        <v>1516</v>
      </c>
    </row>
    <row r="319" spans="1:16" ht="12.75" customHeight="1" x14ac:dyDescent="0.2">
      <c r="A319" s="567"/>
      <c r="B319" s="567"/>
      <c r="C319" s="567"/>
      <c r="D319" s="567" t="s">
        <v>1535</v>
      </c>
      <c r="E319" s="567"/>
      <c r="F319" s="567"/>
      <c r="G319" s="567" t="s">
        <v>1571</v>
      </c>
      <c r="H319" s="568" t="s">
        <v>1537</v>
      </c>
      <c r="I319" s="573"/>
      <c r="J319" s="294" t="str">
        <f>IF(ISBLANK(HLOOKUP(CaseName,CaseData,MATCH($G319,cases!$G$4:$G$2458,0),FALSE)),"",HLOOKUP(CaseName,CaseData,MATCH($G319,cases!$G$4:$G$2458,0),FALSE))</f>
        <v/>
      </c>
      <c r="K319" s="663">
        <f>RadS/RadFP.s</f>
        <v>3.9062500000000001E-5</v>
      </c>
      <c r="L319" s="298">
        <f t="shared" si="17"/>
        <v>3.9062500000000001E-5</v>
      </c>
      <c r="M319" s="568" t="s">
        <v>1537</v>
      </c>
      <c r="N319" s="585"/>
      <c r="O319" s="606"/>
      <c r="P319" s="567" t="s">
        <v>1516</v>
      </c>
    </row>
    <row r="320" spans="1:16" ht="12.75" customHeight="1" x14ac:dyDescent="0.2">
      <c r="A320" s="567"/>
      <c r="B320" s="567"/>
      <c r="C320" s="567"/>
      <c r="D320" s="567" t="s">
        <v>1538</v>
      </c>
      <c r="E320" s="567"/>
      <c r="F320" s="567"/>
      <c r="G320" s="567" t="s">
        <v>1572</v>
      </c>
      <c r="H320" s="568" t="s">
        <v>296</v>
      </c>
      <c r="I320" s="573"/>
      <c r="J320" s="294" t="str">
        <f>IF(ISBLANK(HLOOKUP(CaseName,CaseData,MATCH($G320,cases!$G$4:$G$2458,0),FALSE)),"",HLOOKUP(CaseName,CaseData,MATCH($G320,cases!$G$4:$G$2458,0),FALSE))</f>
        <v/>
      </c>
      <c r="K320" s="663">
        <f>(L310*2*RadFP.s)/(DiffS.wR)</f>
        <v>55.295939834256309</v>
      </c>
      <c r="L320" s="298">
        <f t="shared" si="17"/>
        <v>55.295939834256309</v>
      </c>
      <c r="M320" s="568" t="s">
        <v>296</v>
      </c>
      <c r="N320" s="578"/>
      <c r="O320" s="606"/>
      <c r="P320" s="567" t="s">
        <v>1516</v>
      </c>
    </row>
    <row r="321" spans="1:16" ht="12.75" customHeight="1" x14ac:dyDescent="0.2">
      <c r="A321" s="567"/>
      <c r="B321" s="567"/>
      <c r="C321" s="567"/>
      <c r="D321" s="567" t="s">
        <v>1540</v>
      </c>
      <c r="E321" s="567"/>
      <c r="F321" s="567"/>
      <c r="G321" s="568" t="s">
        <v>1573</v>
      </c>
      <c r="H321" s="568" t="s">
        <v>296</v>
      </c>
      <c r="I321" s="573"/>
      <c r="J321" s="294" t="str">
        <f>IF(ISBLANK(HLOOKUP(CaseName,CaseData,MATCH($G321,cases!$G$4:$G$2458,0),FALSE)),"",HLOOKUP(CaseName,CaseData,MATCH($G321,cases!$G$4:$G$2458,0),FALSE))</f>
        <v/>
      </c>
      <c r="K321" s="663">
        <f>(2*RadS^2*(ABS(RhoS-Rho.w))*g)/(9*DYNVISC.w*L310)</f>
        <v>1.9532490574406746E-5</v>
      </c>
      <c r="L321" s="298">
        <f t="shared" si="17"/>
        <v>1.9532490574406746E-5</v>
      </c>
      <c r="M321" s="568" t="s">
        <v>296</v>
      </c>
      <c r="N321" s="585"/>
      <c r="O321" s="606"/>
      <c r="P321" s="567" t="s">
        <v>1516</v>
      </c>
    </row>
    <row r="322" spans="1:16" ht="12.75" customHeight="1" x14ac:dyDescent="0.2">
      <c r="A322" s="567" t="s">
        <v>1574</v>
      </c>
      <c r="B322" s="567"/>
      <c r="C322" s="567"/>
      <c r="D322" s="567"/>
      <c r="E322" s="567"/>
      <c r="F322" s="567"/>
      <c r="G322" s="568" t="s">
        <v>1575</v>
      </c>
      <c r="H322" s="568" t="s">
        <v>340</v>
      </c>
      <c r="I322" s="573"/>
      <c r="J322" s="294" t="str">
        <f>IF(ISBLANK(HLOOKUP(CaseName,CaseData,MATCH($G322,cases!$G$4:$G$2458,0),FALSE)),"",HLOOKUP(CaseName,CaseData,MATCH($G322,cases!$G$4:$G$2458,0),FALSE))</f>
        <v/>
      </c>
      <c r="K322" s="621">
        <f>L323*L324*L325*AtefSP.s2</f>
        <v>2.8525040501634097E-2</v>
      </c>
      <c r="L322" s="298">
        <f>IF(ISBLANK(I327),IF(ISNUMBER(J322)=FALSE,K322,J322),I327)</f>
        <v>2.8525040501634097E-2</v>
      </c>
      <c r="M322" s="567" t="s">
        <v>340</v>
      </c>
      <c r="N322" s="567"/>
      <c r="O322" s="606"/>
      <c r="P322" s="585"/>
    </row>
    <row r="323" spans="1:16" ht="12.75" customHeight="1" x14ac:dyDescent="0.2">
      <c r="A323" s="567"/>
      <c r="B323" s="567" t="s">
        <v>1556</v>
      </c>
      <c r="C323" s="567"/>
      <c r="D323" s="567"/>
      <c r="E323" s="567"/>
      <c r="F323" s="567"/>
      <c r="G323" s="568" t="s">
        <v>1576</v>
      </c>
      <c r="H323" s="568" t="s">
        <v>1513</v>
      </c>
      <c r="I323" s="573"/>
      <c r="J323" s="294" t="str">
        <f>IF(ISBLANK(HLOOKUP(CaseName,CaseData,MATCH($G323,cases!$G$4:$G$2458,0),FALSE)),"",HLOOKUP(CaseName,CaseData,MATCH($G323,cases!$G$4:$G$2458,0),FALSE))</f>
        <v/>
      </c>
      <c r="K323" s="621">
        <f>(3/2)*(1-L329)/(2*RadFP.s*L329)</f>
        <v>8789.0625000000036</v>
      </c>
      <c r="L323" s="298">
        <f t="shared" ref="L323:L349" si="18">IF(ISBLANK(I323),IF(ISNUMBER(J323)=FALSE,K323,J323),I323)</f>
        <v>8789.0625000000036</v>
      </c>
      <c r="M323" s="568" t="s">
        <v>1513</v>
      </c>
      <c r="N323" s="567"/>
      <c r="O323" s="606"/>
      <c r="P323" s="585"/>
    </row>
    <row r="324" spans="1:16" ht="12.75" customHeight="1" x14ac:dyDescent="0.2">
      <c r="A324" s="567"/>
      <c r="B324" s="567" t="s">
        <v>1558</v>
      </c>
      <c r="C324" s="567"/>
      <c r="D324" s="567"/>
      <c r="E324" s="567"/>
      <c r="F324" s="567"/>
      <c r="G324" s="567" t="s">
        <v>1577</v>
      </c>
      <c r="H324" s="568" t="s">
        <v>873</v>
      </c>
      <c r="I324" s="573"/>
      <c r="J324" s="294" t="str">
        <f>IF(ISBLANK(HLOOKUP(CaseName,CaseData,MATCH($G324,cases!$G$4:$G$2458,0),FALSE)),"",HLOOKUP(CaseName,CaseData,MATCH($G324,cases!$G$4:$G$2458,0),FALSE))</f>
        <v/>
      </c>
      <c r="K324" s="663">
        <f>9*10^-6</f>
        <v>9.0000000000000002E-6</v>
      </c>
      <c r="L324" s="298">
        <f t="shared" si="18"/>
        <v>9.0000000000000002E-6</v>
      </c>
      <c r="M324" s="568" t="s">
        <v>873</v>
      </c>
      <c r="N324" s="585"/>
      <c r="O324" s="606"/>
      <c r="P324" s="567" t="s">
        <v>1516</v>
      </c>
    </row>
    <row r="325" spans="1:16" ht="12.75" customHeight="1" x14ac:dyDescent="0.2">
      <c r="A325" s="567"/>
      <c r="B325" s="567" t="s">
        <v>1517</v>
      </c>
      <c r="C325" s="567"/>
      <c r="D325" s="567"/>
      <c r="E325" s="567"/>
      <c r="F325" s="567"/>
      <c r="G325" s="568" t="s">
        <v>1578</v>
      </c>
      <c r="H325" s="568" t="s">
        <v>296</v>
      </c>
      <c r="I325" s="573"/>
      <c r="J325" s="294" t="str">
        <f>IF(ISBLANK(HLOOKUP(CaseName,CaseData,MATCH($G325,cases!$G$4:$G$2458,0),FALSE)),"",HLOOKUP(CaseName,CaseData,MATCH($G325,cases!$G$4:$G$2458,0),FALSE))</f>
        <v/>
      </c>
      <c r="K325" s="621">
        <f>L326+L330+L331</f>
        <v>1.0732525526775902</v>
      </c>
      <c r="L325" s="298">
        <f t="shared" si="18"/>
        <v>1.0732525526775902</v>
      </c>
      <c r="M325" s="568" t="s">
        <v>296</v>
      </c>
      <c r="N325" s="585"/>
      <c r="O325" s="606"/>
      <c r="P325" s="567" t="s">
        <v>1516</v>
      </c>
    </row>
    <row r="326" spans="1:16" ht="12.75" customHeight="1" x14ac:dyDescent="0.2">
      <c r="A326" s="567"/>
      <c r="B326" s="567"/>
      <c r="C326" s="567" t="s">
        <v>1519</v>
      </c>
      <c r="D326" s="567"/>
      <c r="E326" s="567"/>
      <c r="F326" s="567"/>
      <c r="G326" s="568" t="s">
        <v>1579</v>
      </c>
      <c r="H326" s="568" t="s">
        <v>296</v>
      </c>
      <c r="I326" s="573"/>
      <c r="J326" s="294" t="str">
        <f>IF(ISBLANK(HLOOKUP(CaseName,CaseData,MATCH($G326,cases!$G$4:$G$2458,0),FALSE)),"",HLOOKUP(CaseName,CaseData,MATCH($G326,cases!$G$4:$G$2458,0),FALSE))</f>
        <v/>
      </c>
      <c r="K326" s="621">
        <f>2.4*L327^(1/3)*L332^(-0.081)*L333^-0.715*L334^0.053</f>
        <v>1.0732371515574299</v>
      </c>
      <c r="L326" s="298">
        <f t="shared" si="18"/>
        <v>1.0732371515574299</v>
      </c>
      <c r="M326" s="568" t="s">
        <v>296</v>
      </c>
      <c r="N326" s="585"/>
      <c r="O326" s="606"/>
      <c r="P326" s="567" t="s">
        <v>1516</v>
      </c>
    </row>
    <row r="327" spans="1:16" ht="12.75" customHeight="1" x14ac:dyDescent="0.2">
      <c r="A327" s="567"/>
      <c r="B327" s="567"/>
      <c r="C327" s="567"/>
      <c r="D327" s="567" t="s">
        <v>1521</v>
      </c>
      <c r="E327" s="567"/>
      <c r="F327" s="567"/>
      <c r="G327" s="567" t="s">
        <v>1580</v>
      </c>
      <c r="H327" s="568" t="s">
        <v>296</v>
      </c>
      <c r="I327" s="573"/>
      <c r="J327" s="294" t="str">
        <f>IF(ISBLANK(HLOOKUP(CaseName,CaseData,MATCH($G327,cases!$G$4:$G$2458,0),FALSE)),"",HLOOKUP(CaseName,CaseData,MATCH($G327,cases!$G$4:$G$2458,0),FALSE))</f>
        <v/>
      </c>
      <c r="K327" s="663">
        <f>(2*(1-L328^5))/(2-3*L328+3*L328^5-2*L328^6)</f>
        <v>37.979096123930859</v>
      </c>
      <c r="L327" s="298">
        <f t="shared" si="18"/>
        <v>37.979096123930859</v>
      </c>
      <c r="M327" s="568" t="s">
        <v>296</v>
      </c>
      <c r="N327" s="585"/>
      <c r="O327" s="606"/>
      <c r="P327" s="567" t="s">
        <v>1516</v>
      </c>
    </row>
    <row r="328" spans="1:16" ht="12.75" customHeight="1" x14ac:dyDescent="0.2">
      <c r="A328" s="567"/>
      <c r="B328" s="567"/>
      <c r="C328" s="567"/>
      <c r="D328" s="567"/>
      <c r="E328" s="567" t="s">
        <v>1563</v>
      </c>
      <c r="F328" s="567"/>
      <c r="G328" s="567" t="s">
        <v>1581</v>
      </c>
      <c r="H328" s="568" t="s">
        <v>296</v>
      </c>
      <c r="I328" s="573"/>
      <c r="J328" s="294" t="str">
        <f>IF(ISBLANK(HLOOKUP(CaseName,CaseData,MATCH($G328,cases!$G$4:$G$2458,0),FALSE)),"",HLOOKUP(CaseName,CaseData,MATCH($G328,cases!$G$4:$G$2458,0),FALSE))</f>
        <v/>
      </c>
      <c r="K328" s="663">
        <f>(1-L329)^(1/3)</f>
        <v>0.84343266530174932</v>
      </c>
      <c r="L328" s="298">
        <f t="shared" si="18"/>
        <v>0.84343266530174932</v>
      </c>
      <c r="M328" s="568" t="s">
        <v>296</v>
      </c>
      <c r="N328" s="585"/>
      <c r="O328" s="606"/>
      <c r="P328" s="567" t="s">
        <v>1516</v>
      </c>
    </row>
    <row r="329" spans="1:16" ht="12.75" customHeight="1" x14ac:dyDescent="0.2">
      <c r="A329" s="567"/>
      <c r="B329" s="567"/>
      <c r="C329" s="567"/>
      <c r="D329" s="567"/>
      <c r="E329" s="567"/>
      <c r="F329" s="567" t="s">
        <v>1565</v>
      </c>
      <c r="G329" s="567" t="s">
        <v>1582</v>
      </c>
      <c r="H329" s="568" t="s">
        <v>1527</v>
      </c>
      <c r="I329" s="573"/>
      <c r="J329" s="294" t="str">
        <f>IF(ISBLANK(HLOOKUP(CaseName,CaseData,MATCH($G329,cases!$G$4:$G$2458,0),FALSE)),"",HLOOKUP(CaseName,CaseData,MATCH($G329,cases!$G$4:$G$2458,0),FALSE))</f>
        <v/>
      </c>
      <c r="K329" s="621">
        <f>1-L41</f>
        <v>0.39999999999999991</v>
      </c>
      <c r="L329" s="298">
        <f t="shared" si="18"/>
        <v>0.39999999999999991</v>
      </c>
      <c r="M329" s="568" t="s">
        <v>1527</v>
      </c>
      <c r="N329" s="567" t="s">
        <v>1583</v>
      </c>
      <c r="O329" s="606"/>
      <c r="P329" s="585"/>
    </row>
    <row r="330" spans="1:16" ht="12.75" customHeight="1" x14ac:dyDescent="0.2">
      <c r="A330" s="567"/>
      <c r="B330" s="567"/>
      <c r="C330" s="567" t="s">
        <v>1529</v>
      </c>
      <c r="D330" s="567"/>
      <c r="E330" s="567"/>
      <c r="F330" s="567"/>
      <c r="G330" s="568" t="s">
        <v>1584</v>
      </c>
      <c r="H330" s="568" t="s">
        <v>296</v>
      </c>
      <c r="I330" s="573"/>
      <c r="J330" s="294" t="str">
        <f>IF(ISBLANK(HLOOKUP(CaseName,CaseData,MATCH($G330,cases!$G$4:$G$2458,0),FALSE)),"",HLOOKUP(CaseName,CaseData,MATCH($G330,cases!$G$4:$G$2458,0),FALSE))</f>
        <v/>
      </c>
      <c r="K330" s="621">
        <f>0.55*L332^1.55*L333^-0.125*L334^0.125</f>
        <v>5.2510265498612906E-8</v>
      </c>
      <c r="L330" s="298">
        <f t="shared" si="18"/>
        <v>5.2510265498612906E-8</v>
      </c>
      <c r="M330" s="568" t="s">
        <v>296</v>
      </c>
      <c r="N330" s="585"/>
      <c r="O330" s="606"/>
      <c r="P330" s="567" t="s">
        <v>1516</v>
      </c>
    </row>
    <row r="331" spans="1:16" ht="12.75" customHeight="1" x14ac:dyDescent="0.2">
      <c r="A331" s="567"/>
      <c r="B331" s="567"/>
      <c r="C331" s="567" t="s">
        <v>1531</v>
      </c>
      <c r="D331" s="567"/>
      <c r="E331" s="567"/>
      <c r="F331" s="567"/>
      <c r="G331" s="568" t="s">
        <v>1585</v>
      </c>
      <c r="H331" s="568" t="s">
        <v>296</v>
      </c>
      <c r="I331" s="573"/>
      <c r="J331" s="294" t="str">
        <f>IF(ISBLANK(HLOOKUP(CaseName,CaseData,MATCH($G331,cases!$G$4:$G$2458,0),FALSE)),"",HLOOKUP(CaseName,CaseData,MATCH($G331,cases!$G$4:$G$2458,0),FALSE))</f>
        <v/>
      </c>
      <c r="K331" s="621">
        <f>0.22*L332^-0.24*L335^1.11*L334^0.053</f>
        <v>1.5348609894728741E-5</v>
      </c>
      <c r="L331" s="298">
        <f t="shared" si="18"/>
        <v>1.5348609894728741E-5</v>
      </c>
      <c r="M331" s="568" t="s">
        <v>296</v>
      </c>
      <c r="N331" s="585"/>
      <c r="O331" s="606"/>
      <c r="P331" s="567" t="s">
        <v>1516</v>
      </c>
    </row>
    <row r="332" spans="1:16" ht="12.75" customHeight="1" x14ac:dyDescent="0.2">
      <c r="A332" s="567"/>
      <c r="B332" s="567"/>
      <c r="C332" s="567"/>
      <c r="D332" s="567" t="s">
        <v>1535</v>
      </c>
      <c r="E332" s="567"/>
      <c r="F332" s="567"/>
      <c r="G332" s="567" t="s">
        <v>1586</v>
      </c>
      <c r="H332" s="568" t="s">
        <v>1537</v>
      </c>
      <c r="I332" s="573"/>
      <c r="J332" s="294" t="str">
        <f>IF(ISBLANK(HLOOKUP(CaseName,CaseData,MATCH($G332,cases!$G$4:$G$2458,0),FALSE)),"",HLOOKUP(CaseName,CaseData,MATCH($G332,cases!$G$4:$G$2458,0),FALSE))</f>
        <v/>
      </c>
      <c r="K332" s="663">
        <f>RadS/RadFP.s</f>
        <v>3.9062500000000001E-5</v>
      </c>
      <c r="L332" s="298">
        <f t="shared" si="18"/>
        <v>3.9062500000000001E-5</v>
      </c>
      <c r="M332" s="568" t="s">
        <v>1537</v>
      </c>
      <c r="N332" s="585"/>
      <c r="O332" s="606"/>
      <c r="P332" s="567" t="s">
        <v>1516</v>
      </c>
    </row>
    <row r="333" spans="1:16" ht="12.75" customHeight="1" x14ac:dyDescent="0.2">
      <c r="A333" s="567"/>
      <c r="B333" s="567"/>
      <c r="C333" s="567"/>
      <c r="D333" s="567" t="s">
        <v>1538</v>
      </c>
      <c r="E333" s="567"/>
      <c r="F333" s="567"/>
      <c r="G333" s="567" t="s">
        <v>1587</v>
      </c>
      <c r="H333" s="568" t="s">
        <v>296</v>
      </c>
      <c r="I333" s="573"/>
      <c r="J333" s="294" t="str">
        <f>IF(ISBLANK(HLOOKUP(CaseName,CaseData,MATCH($G333,cases!$G$4:$G$2458,0),FALSE)),"",HLOOKUP(CaseName,CaseData,MATCH($G333,cases!$G$4:$G$2458,0),FALSE))</f>
        <v/>
      </c>
      <c r="K333" s="663">
        <f>(L324*2*RadFP.s)/(DiffS.wR)</f>
        <v>55.295939834256309</v>
      </c>
      <c r="L333" s="298">
        <f t="shared" si="18"/>
        <v>55.295939834256309</v>
      </c>
      <c r="M333" s="568" t="s">
        <v>296</v>
      </c>
      <c r="N333" s="585"/>
      <c r="O333" s="606"/>
      <c r="P333" s="567" t="s">
        <v>1516</v>
      </c>
    </row>
    <row r="334" spans="1:16" ht="12.75" customHeight="1" x14ac:dyDescent="0.2">
      <c r="A334" s="567"/>
      <c r="B334" s="567"/>
      <c r="C334" s="567"/>
      <c r="D334" s="567" t="s">
        <v>1533</v>
      </c>
      <c r="E334" s="567"/>
      <c r="F334" s="567"/>
      <c r="G334" s="567" t="s">
        <v>1588</v>
      </c>
      <c r="H334" s="568" t="s">
        <v>296</v>
      </c>
      <c r="I334" s="573"/>
      <c r="J334" s="294" t="str">
        <f>IF(ISBLANK(HLOOKUP(CaseName,CaseData,MATCH($G334,cases!$G$4:$G$2458,0),FALSE)),"",HLOOKUP(CaseName,CaseData,MATCH($G334,cases!$G$4:$G$2458,0),FALSE))</f>
        <v/>
      </c>
      <c r="K334" s="663">
        <f>AHamakerSP.w/(kboltz*TEMP.R)</f>
        <v>1.7535615368506079</v>
      </c>
      <c r="L334" s="298">
        <f t="shared" si="18"/>
        <v>1.7535615368506079</v>
      </c>
      <c r="M334" s="568" t="s">
        <v>296</v>
      </c>
      <c r="N334" s="585"/>
      <c r="O334" s="606"/>
      <c r="P334" s="567" t="s">
        <v>1516</v>
      </c>
    </row>
    <row r="335" spans="1:16" ht="12.75" customHeight="1" x14ac:dyDescent="0.2">
      <c r="A335" s="567"/>
      <c r="B335" s="567"/>
      <c r="C335" s="567"/>
      <c r="D335" s="567" t="s">
        <v>1540</v>
      </c>
      <c r="E335" s="567"/>
      <c r="F335" s="567"/>
      <c r="G335" s="568" t="s">
        <v>1589</v>
      </c>
      <c r="H335" s="568" t="s">
        <v>296</v>
      </c>
      <c r="I335" s="573"/>
      <c r="J335" s="294" t="str">
        <f>IF(ISBLANK(HLOOKUP(CaseName,CaseData,MATCH($G335,cases!$G$4:$G$2458,0),FALSE)),"",HLOOKUP(CaseName,CaseData,MATCH($G335,cases!$G$4:$G$2458,0),FALSE))</f>
        <v/>
      </c>
      <c r="K335" s="663">
        <f>(2*RadS^2*(ABS(RhoS-Rho.w))*9.81)/(9*DYNVISC.w*L324)</f>
        <v>1.9532490574406746E-5</v>
      </c>
      <c r="L335" s="298">
        <f t="shared" si="18"/>
        <v>1.9532490574406746E-5</v>
      </c>
      <c r="M335" s="568" t="s">
        <v>296</v>
      </c>
      <c r="N335" s="585"/>
      <c r="O335" s="606"/>
      <c r="P335" s="567" t="s">
        <v>1516</v>
      </c>
    </row>
    <row r="336" spans="1:16" ht="12.75" customHeight="1" x14ac:dyDescent="0.2">
      <c r="A336" s="567" t="s">
        <v>1590</v>
      </c>
      <c r="B336" s="567"/>
      <c r="C336" s="567"/>
      <c r="D336" s="567"/>
      <c r="E336" s="567"/>
      <c r="F336" s="567"/>
      <c r="G336" s="568" t="s">
        <v>1591</v>
      </c>
      <c r="H336" s="568" t="s">
        <v>340</v>
      </c>
      <c r="I336" s="573"/>
      <c r="J336" s="294" t="str">
        <f>IF(ISBLANK(HLOOKUP(CaseName,CaseData,MATCH($G336,cases!$G$4:$G$2458,0),FALSE)),"",HLOOKUP(CaseName,CaseData,MATCH($G336,cases!$G$4:$G$2458,0),FALSE))</f>
        <v/>
      </c>
      <c r="K336" s="621">
        <f>L337*L338*L339*AtefSP.s3</f>
        <v>2.8525040501634097E-2</v>
      </c>
      <c r="L336" s="298">
        <f t="shared" si="18"/>
        <v>2.8525040501634097E-2</v>
      </c>
      <c r="M336" s="568" t="s">
        <v>340</v>
      </c>
      <c r="N336" s="567"/>
      <c r="O336" s="606"/>
      <c r="P336" s="585"/>
    </row>
    <row r="337" spans="1:16" ht="12.75" customHeight="1" x14ac:dyDescent="0.2">
      <c r="A337" s="567"/>
      <c r="B337" s="567" t="s">
        <v>1556</v>
      </c>
      <c r="C337" s="567"/>
      <c r="D337" s="567"/>
      <c r="E337" s="567"/>
      <c r="F337" s="567"/>
      <c r="G337" s="568" t="s">
        <v>1592</v>
      </c>
      <c r="H337" s="568" t="s">
        <v>1513</v>
      </c>
      <c r="I337" s="573"/>
      <c r="J337" s="294" t="str">
        <f>IF(ISBLANK(HLOOKUP(CaseName,CaseData,MATCH($G337,cases!$G$4:$G$2458,0),FALSE)),"",HLOOKUP(CaseName,CaseData,MATCH($G337,cases!$G$4:$G$2458,0),FALSE))</f>
        <v/>
      </c>
      <c r="K337" s="621">
        <f>(3/2)*(1-L343)/(2*RadFP.s*L343)</f>
        <v>8789.0625000000036</v>
      </c>
      <c r="L337" s="298">
        <f t="shared" si="18"/>
        <v>8789.0625000000036</v>
      </c>
      <c r="M337" s="568" t="s">
        <v>1513</v>
      </c>
      <c r="N337" s="567"/>
      <c r="O337" s="606"/>
      <c r="P337" s="585"/>
    </row>
    <row r="338" spans="1:16" ht="12.75" customHeight="1" x14ac:dyDescent="0.2">
      <c r="A338" s="567"/>
      <c r="B338" s="567" t="s">
        <v>1558</v>
      </c>
      <c r="C338" s="567"/>
      <c r="D338" s="567"/>
      <c r="E338" s="567"/>
      <c r="F338" s="567"/>
      <c r="G338" s="567" t="s">
        <v>1593</v>
      </c>
      <c r="H338" s="568" t="s">
        <v>873</v>
      </c>
      <c r="I338" s="573"/>
      <c r="J338" s="294" t="str">
        <f>IF(ISBLANK(HLOOKUP(CaseName,CaseData,MATCH($G338,cases!$G$4:$G$2458,0),FALSE)),"",HLOOKUP(CaseName,CaseData,MATCH($G338,cases!$G$4:$G$2458,0),FALSE))</f>
        <v/>
      </c>
      <c r="K338" s="663">
        <f>9*10^-6</f>
        <v>9.0000000000000002E-6</v>
      </c>
      <c r="L338" s="298">
        <f t="shared" si="18"/>
        <v>9.0000000000000002E-6</v>
      </c>
      <c r="M338" s="568" t="s">
        <v>873</v>
      </c>
      <c r="N338" s="585"/>
      <c r="O338" s="606"/>
      <c r="P338" s="567" t="s">
        <v>1516</v>
      </c>
    </row>
    <row r="339" spans="1:16" ht="12.75" customHeight="1" x14ac:dyDescent="0.2">
      <c r="A339" s="567"/>
      <c r="B339" s="567" t="s">
        <v>1517</v>
      </c>
      <c r="C339" s="567"/>
      <c r="D339" s="567"/>
      <c r="E339" s="567"/>
      <c r="F339" s="567"/>
      <c r="G339" s="568" t="s">
        <v>1594</v>
      </c>
      <c r="H339" s="568" t="s">
        <v>296</v>
      </c>
      <c r="I339" s="573"/>
      <c r="J339" s="294" t="str">
        <f>IF(ISBLANK(HLOOKUP(CaseName,CaseData,MATCH($G339,cases!$G$4:$G$2458,0),FALSE)),"",HLOOKUP(CaseName,CaseData,MATCH($G339,cases!$G$4:$G$2458,0),FALSE))</f>
        <v/>
      </c>
      <c r="K339" s="621">
        <f>L340+L344+L345</f>
        <v>1.0732525526775902</v>
      </c>
      <c r="L339" s="298">
        <f t="shared" si="18"/>
        <v>1.0732525526775902</v>
      </c>
      <c r="M339" s="568" t="s">
        <v>296</v>
      </c>
      <c r="N339" s="585"/>
      <c r="O339" s="606"/>
      <c r="P339" s="567" t="s">
        <v>1516</v>
      </c>
    </row>
    <row r="340" spans="1:16" ht="12.75" customHeight="1" x14ac:dyDescent="0.2">
      <c r="A340" s="567"/>
      <c r="B340" s="567"/>
      <c r="C340" s="567" t="s">
        <v>1519</v>
      </c>
      <c r="D340" s="567"/>
      <c r="E340" s="567"/>
      <c r="F340" s="567"/>
      <c r="G340" s="568" t="s">
        <v>1595</v>
      </c>
      <c r="H340" s="568" t="s">
        <v>296</v>
      </c>
      <c r="I340" s="573"/>
      <c r="J340" s="294" t="str">
        <f>IF(ISBLANK(HLOOKUP(CaseName,CaseData,MATCH($G340,cases!$G$4:$G$2458,0),FALSE)),"",HLOOKUP(CaseName,CaseData,MATCH($G340,cases!$G$4:$G$2458,0),FALSE))</f>
        <v/>
      </c>
      <c r="K340" s="621">
        <f>2.4*L341^(1/3)*L346^(-0.081)*L347^-0.715*L348^0.053</f>
        <v>1.0732371515574299</v>
      </c>
      <c r="L340" s="298">
        <f t="shared" si="18"/>
        <v>1.0732371515574299</v>
      </c>
      <c r="M340" s="568" t="s">
        <v>296</v>
      </c>
      <c r="N340" s="585"/>
      <c r="O340" s="606"/>
      <c r="P340" s="567" t="s">
        <v>1516</v>
      </c>
    </row>
    <row r="341" spans="1:16" ht="12.75" customHeight="1" x14ac:dyDescent="0.2">
      <c r="A341" s="567"/>
      <c r="B341" s="567"/>
      <c r="C341" s="567"/>
      <c r="D341" s="567" t="s">
        <v>1521</v>
      </c>
      <c r="E341" s="567"/>
      <c r="F341" s="567"/>
      <c r="G341" s="567" t="s">
        <v>1596</v>
      </c>
      <c r="H341" s="568" t="s">
        <v>296</v>
      </c>
      <c r="I341" s="573"/>
      <c r="J341" s="294" t="str">
        <f>IF(ISBLANK(HLOOKUP(CaseName,CaseData,MATCH($G341,cases!$G$4:$G$2458,0),FALSE)),"",HLOOKUP(CaseName,CaseData,MATCH($G341,cases!$G$4:$G$2458,0),FALSE))</f>
        <v/>
      </c>
      <c r="K341" s="663">
        <f>(2*(1-L342^5))/(2-3*L342+3*L342^5-2*L342^6)</f>
        <v>37.979096123930859</v>
      </c>
      <c r="L341" s="298">
        <f t="shared" si="18"/>
        <v>37.979096123930859</v>
      </c>
      <c r="M341" s="568" t="s">
        <v>296</v>
      </c>
      <c r="N341" s="585"/>
      <c r="O341" s="606"/>
      <c r="P341" s="567" t="s">
        <v>1516</v>
      </c>
    </row>
    <row r="342" spans="1:16" ht="12.75" customHeight="1" x14ac:dyDescent="0.2">
      <c r="A342" s="567"/>
      <c r="B342" s="567"/>
      <c r="C342" s="567"/>
      <c r="D342" s="567"/>
      <c r="E342" s="567" t="s">
        <v>1563</v>
      </c>
      <c r="F342" s="567"/>
      <c r="G342" s="567" t="s">
        <v>1597</v>
      </c>
      <c r="H342" s="568" t="s">
        <v>296</v>
      </c>
      <c r="I342" s="573"/>
      <c r="J342" s="294" t="str">
        <f>IF(ISBLANK(HLOOKUP(CaseName,CaseData,MATCH($G342,cases!$G$4:$G$2458,0),FALSE)),"",HLOOKUP(CaseName,CaseData,MATCH($G342,cases!$G$4:$G$2458,0),FALSE))</f>
        <v/>
      </c>
      <c r="K342" s="663">
        <f>(1-L343)^(1/3)</f>
        <v>0.84343266530174932</v>
      </c>
      <c r="L342" s="298">
        <f t="shared" si="18"/>
        <v>0.84343266530174932</v>
      </c>
      <c r="M342" s="568" t="s">
        <v>296</v>
      </c>
      <c r="N342" s="585"/>
      <c r="O342" s="606"/>
      <c r="P342" s="567" t="s">
        <v>1516</v>
      </c>
    </row>
    <row r="343" spans="1:16" ht="12.75" customHeight="1" x14ac:dyDescent="0.2">
      <c r="A343" s="567"/>
      <c r="B343" s="567"/>
      <c r="C343" s="567"/>
      <c r="D343" s="567"/>
      <c r="E343" s="567"/>
      <c r="F343" s="567" t="s">
        <v>1565</v>
      </c>
      <c r="G343" s="567" t="s">
        <v>1598</v>
      </c>
      <c r="H343" s="568" t="s">
        <v>1527</v>
      </c>
      <c r="I343" s="573"/>
      <c r="J343" s="294" t="str">
        <f>IF(ISBLANK(HLOOKUP(CaseName,CaseData,MATCH($G343,cases!$G$4:$G$2458,0),FALSE)),"",HLOOKUP(CaseName,CaseData,MATCH($G343,cases!$G$4:$G$2458,0),FALSE))</f>
        <v/>
      </c>
      <c r="K343" s="621">
        <f>1-L44</f>
        <v>0.39999999999999991</v>
      </c>
      <c r="L343" s="298">
        <f t="shared" si="18"/>
        <v>0.39999999999999991</v>
      </c>
      <c r="M343" s="568" t="s">
        <v>1527</v>
      </c>
      <c r="N343" s="567" t="s">
        <v>1583</v>
      </c>
      <c r="O343" s="606"/>
      <c r="P343" s="585"/>
    </row>
    <row r="344" spans="1:16" ht="12.75" customHeight="1" x14ac:dyDescent="0.2">
      <c r="A344" s="567"/>
      <c r="B344" s="567"/>
      <c r="C344" s="567" t="s">
        <v>1529</v>
      </c>
      <c r="D344" s="567"/>
      <c r="E344" s="567"/>
      <c r="F344" s="567"/>
      <c r="G344" s="568" t="s">
        <v>1599</v>
      </c>
      <c r="H344" s="568" t="s">
        <v>296</v>
      </c>
      <c r="I344" s="573"/>
      <c r="J344" s="294" t="str">
        <f>IF(ISBLANK(HLOOKUP(CaseName,CaseData,MATCH($G344,cases!$G$4:$G$2458,0),FALSE)),"",HLOOKUP(CaseName,CaseData,MATCH($G344,cases!$G$4:$G$2458,0),FALSE))</f>
        <v/>
      </c>
      <c r="K344" s="621">
        <f>0.55*L346^1.55*L347^-0.125*L348^0.125</f>
        <v>5.2510265498612906E-8</v>
      </c>
      <c r="L344" s="298">
        <f t="shared" si="18"/>
        <v>5.2510265498612906E-8</v>
      </c>
      <c r="M344" s="568" t="s">
        <v>296</v>
      </c>
      <c r="N344" s="585"/>
      <c r="O344" s="606"/>
      <c r="P344" s="567" t="s">
        <v>1516</v>
      </c>
    </row>
    <row r="345" spans="1:16" ht="12.75" customHeight="1" x14ac:dyDescent="0.2">
      <c r="A345" s="567"/>
      <c r="B345" s="567"/>
      <c r="C345" s="567" t="s">
        <v>1531</v>
      </c>
      <c r="D345" s="567"/>
      <c r="E345" s="567"/>
      <c r="F345" s="567"/>
      <c r="G345" s="568" t="s">
        <v>1600</v>
      </c>
      <c r="H345" s="568" t="s">
        <v>296</v>
      </c>
      <c r="I345" s="573"/>
      <c r="J345" s="294" t="str">
        <f>IF(ISBLANK(HLOOKUP(CaseName,CaseData,MATCH($G345,cases!$G$4:$G$2458,0),FALSE)),"",HLOOKUP(CaseName,CaseData,MATCH($G345,cases!$G$4:$G$2458,0),FALSE))</f>
        <v/>
      </c>
      <c r="K345" s="621">
        <f>0.22*L346^-0.24*L349^1.11*L348^0.053</f>
        <v>1.5348609894728741E-5</v>
      </c>
      <c r="L345" s="298">
        <f t="shared" si="18"/>
        <v>1.5348609894728741E-5</v>
      </c>
      <c r="M345" s="568" t="s">
        <v>296</v>
      </c>
      <c r="N345" s="585"/>
      <c r="O345" s="606"/>
      <c r="P345" s="567" t="s">
        <v>1516</v>
      </c>
    </row>
    <row r="346" spans="1:16" ht="12.75" customHeight="1" x14ac:dyDescent="0.2">
      <c r="A346" s="567"/>
      <c r="B346" s="567"/>
      <c r="C346" s="567"/>
      <c r="D346" s="567" t="s">
        <v>1535</v>
      </c>
      <c r="E346" s="567"/>
      <c r="F346" s="567"/>
      <c r="G346" s="567" t="s">
        <v>1601</v>
      </c>
      <c r="H346" s="568" t="s">
        <v>1537</v>
      </c>
      <c r="I346" s="573"/>
      <c r="J346" s="294" t="str">
        <f>IF(ISBLANK(HLOOKUP(CaseName,CaseData,MATCH($G346,cases!$G$4:$G$2458,0),FALSE)),"",HLOOKUP(CaseName,CaseData,MATCH($G346,cases!$G$4:$G$2458,0),FALSE))</f>
        <v/>
      </c>
      <c r="K346" s="663">
        <f>RadS/RadFP.s</f>
        <v>3.9062500000000001E-5</v>
      </c>
      <c r="L346" s="298">
        <f t="shared" si="18"/>
        <v>3.9062500000000001E-5</v>
      </c>
      <c r="M346" s="568" t="s">
        <v>1537</v>
      </c>
      <c r="N346" s="585"/>
      <c r="O346" s="606"/>
      <c r="P346" s="567" t="s">
        <v>1516</v>
      </c>
    </row>
    <row r="347" spans="1:16" ht="12.75" customHeight="1" x14ac:dyDescent="0.2">
      <c r="A347" s="567"/>
      <c r="B347" s="567"/>
      <c r="C347" s="567"/>
      <c r="D347" s="567" t="s">
        <v>1538</v>
      </c>
      <c r="E347" s="567"/>
      <c r="F347" s="567"/>
      <c r="G347" s="567" t="s">
        <v>1602</v>
      </c>
      <c r="H347" s="568" t="s">
        <v>296</v>
      </c>
      <c r="I347" s="573"/>
      <c r="J347" s="294" t="str">
        <f>IF(ISBLANK(HLOOKUP(CaseName,CaseData,MATCH($G347,cases!$G$4:$G$2458,0),FALSE)),"",HLOOKUP(CaseName,CaseData,MATCH($G347,cases!$G$4:$G$2458,0),FALSE))</f>
        <v/>
      </c>
      <c r="K347" s="663">
        <f>(L338*2*RadFP.s)/(DiffS.wR)</f>
        <v>55.295939834256309</v>
      </c>
      <c r="L347" s="298">
        <f t="shared" si="18"/>
        <v>55.295939834256309</v>
      </c>
      <c r="M347" s="568" t="s">
        <v>296</v>
      </c>
      <c r="N347" s="585"/>
      <c r="O347" s="606"/>
      <c r="P347" s="567" t="s">
        <v>1516</v>
      </c>
    </row>
    <row r="348" spans="1:16" ht="12.75" customHeight="1" x14ac:dyDescent="0.2">
      <c r="A348" s="567"/>
      <c r="B348" s="567"/>
      <c r="C348" s="567"/>
      <c r="D348" s="567" t="s">
        <v>1533</v>
      </c>
      <c r="E348" s="567"/>
      <c r="F348" s="567"/>
      <c r="G348" s="567" t="s">
        <v>1603</v>
      </c>
      <c r="H348" s="568" t="s">
        <v>296</v>
      </c>
      <c r="I348" s="573"/>
      <c r="J348" s="294" t="str">
        <f>IF(ISBLANK(HLOOKUP(CaseName,CaseData,MATCH($G348,cases!$G$4:$G$2458,0),FALSE)),"",HLOOKUP(CaseName,CaseData,MATCH($G348,cases!$G$4:$G$2458,0),FALSE))</f>
        <v/>
      </c>
      <c r="K348" s="663">
        <f>AHamakerSP.w/(kboltz*TEMP.R)</f>
        <v>1.7535615368506079</v>
      </c>
      <c r="L348" s="298">
        <f t="shared" si="18"/>
        <v>1.7535615368506079</v>
      </c>
      <c r="M348" s="568" t="s">
        <v>296</v>
      </c>
      <c r="N348" s="585"/>
      <c r="O348" s="606"/>
      <c r="P348" s="567" t="s">
        <v>1516</v>
      </c>
    </row>
    <row r="349" spans="1:16" ht="12.75" customHeight="1" x14ac:dyDescent="0.2">
      <c r="A349" s="567"/>
      <c r="B349" s="567"/>
      <c r="C349" s="567"/>
      <c r="D349" s="567" t="s">
        <v>1540</v>
      </c>
      <c r="E349" s="567"/>
      <c r="F349" s="567"/>
      <c r="G349" s="568" t="s">
        <v>1604</v>
      </c>
      <c r="H349" s="568" t="s">
        <v>296</v>
      </c>
      <c r="I349" s="573"/>
      <c r="J349" s="294" t="str">
        <f>IF(ISBLANK(HLOOKUP(CaseName,CaseData,MATCH($G349,cases!$G$4:$G$2458,0),FALSE)),"",HLOOKUP(CaseName,CaseData,MATCH($G349,cases!$G$4:$G$2458,0),FALSE))</f>
        <v/>
      </c>
      <c r="K349" s="663">
        <f>(2*RadS^2*(ABS(RhoS-Rho.w))*9.81)/(9*DYNVISC.w*L338)</f>
        <v>1.9532490574406746E-5</v>
      </c>
      <c r="L349" s="298">
        <f t="shared" si="18"/>
        <v>1.9532490574406746E-5</v>
      </c>
      <c r="M349" s="568" t="s">
        <v>296</v>
      </c>
      <c r="N349" s="585"/>
      <c r="O349" s="606"/>
      <c r="P349" s="567" t="s">
        <v>1516</v>
      </c>
    </row>
    <row r="350" spans="1:16" ht="12.75" customHeight="1" x14ac:dyDescent="0.2">
      <c r="I350" s="612"/>
      <c r="J350" s="717"/>
      <c r="O350" s="19"/>
      <c r="P350" s="11"/>
    </row>
    <row r="351" spans="1:16" s="634" customFormat="1" ht="12.75" customHeight="1" x14ac:dyDescent="0.2">
      <c r="A351" s="633" t="s">
        <v>1605</v>
      </c>
      <c r="G351" s="633" t="s">
        <v>263</v>
      </c>
      <c r="H351" s="633" t="s">
        <v>279</v>
      </c>
      <c r="I351" s="660" t="s">
        <v>264</v>
      </c>
      <c r="J351" s="641"/>
      <c r="K351" s="661" t="s">
        <v>265</v>
      </c>
      <c r="L351" s="180" t="s">
        <v>266</v>
      </c>
      <c r="N351" s="633" t="s">
        <v>267</v>
      </c>
      <c r="O351" s="395" t="s">
        <v>1390</v>
      </c>
      <c r="P351" s="634" t="s">
        <v>1391</v>
      </c>
    </row>
    <row r="352" spans="1:16" ht="12.75" customHeight="1" x14ac:dyDescent="0.2">
      <c r="A352" t="s">
        <v>1606</v>
      </c>
      <c r="I352" s="612"/>
      <c r="J352" s="641"/>
      <c r="O352" s="19"/>
      <c r="P352" s="11"/>
    </row>
    <row r="353" spans="1:16" ht="12.75" customHeight="1" x14ac:dyDescent="0.2">
      <c r="A353" s="567"/>
      <c r="B353" s="567" t="s">
        <v>1607</v>
      </c>
      <c r="C353" s="567"/>
      <c r="D353" s="567"/>
      <c r="E353" s="567"/>
      <c r="F353" s="567"/>
      <c r="G353" s="568" t="s">
        <v>1608</v>
      </c>
      <c r="H353" s="568" t="s">
        <v>820</v>
      </c>
      <c r="I353" s="573"/>
      <c r="J353" s="294" t="str">
        <f>IF(ISBLANK(HLOOKUP(CaseName,CaseData,MATCH($G353,cases!$G$4:$G$2458,0),FALSE)),"",HLOOKUP(CaseName,CaseData,MATCH($G353,cases!$G$4:$G$2458,0),FALSE))</f>
        <v/>
      </c>
      <c r="K353" s="621">
        <f>((0.7*(60*60*1000*L355)^0.25)/2)/1000</f>
        <v>1.8608721138940217E-4</v>
      </c>
      <c r="L353" s="298">
        <f t="shared" ref="L353:L359" si="19">IF(ISBLANK(I353),IF(ISNUMBER(J353)=FALSE,K353,J353),I353)</f>
        <v>1.8608721138940217E-4</v>
      </c>
      <c r="M353" s="568" t="s">
        <v>820</v>
      </c>
      <c r="N353" s="567"/>
      <c r="O353" s="606"/>
      <c r="P353" s="567" t="s">
        <v>1609</v>
      </c>
    </row>
    <row r="354" spans="1:16" s="386" customFormat="1" ht="12.75" customHeight="1" x14ac:dyDescent="0.2">
      <c r="A354" s="567"/>
      <c r="B354" s="567" t="s">
        <v>1610</v>
      </c>
      <c r="C354" s="567"/>
      <c r="D354" s="567"/>
      <c r="E354" s="567"/>
      <c r="F354" s="567"/>
      <c r="G354" s="568" t="s">
        <v>1611</v>
      </c>
      <c r="H354" s="568" t="s">
        <v>296</v>
      </c>
      <c r="I354" s="573"/>
      <c r="J354" s="294" t="str">
        <f>IF(ISBLANK(HLOOKUP(CaseName,CaseData,MATCH($G354,cases!$G$4:$G$2458,0),FALSE)),"",HLOOKUP(CaseName,CaseData,MATCH($G354,cases!$G$4:$G$2458,0),FALSE))</f>
        <v/>
      </c>
      <c r="K354" s="621">
        <v>1</v>
      </c>
      <c r="L354" s="298">
        <f t="shared" si="19"/>
        <v>1</v>
      </c>
      <c r="M354" s="568" t="s">
        <v>296</v>
      </c>
      <c r="N354" s="583" t="s">
        <v>1612</v>
      </c>
      <c r="O354" s="607"/>
      <c r="P354" s="578"/>
    </row>
    <row r="355" spans="1:16" ht="12.75" customHeight="1" x14ac:dyDescent="0.2">
      <c r="A355" s="567"/>
      <c r="B355" s="567" t="s">
        <v>1613</v>
      </c>
      <c r="C355" s="567"/>
      <c r="D355" s="567"/>
      <c r="E355" s="567"/>
      <c r="F355" s="567"/>
      <c r="G355" s="568" t="s">
        <v>1614</v>
      </c>
      <c r="H355" s="568" t="s">
        <v>873</v>
      </c>
      <c r="I355" s="573"/>
      <c r="J355" s="294" t="str">
        <f>IF(ISBLANK(HLOOKUP(CaseName,CaseData,MATCH($G355,cases!$G$4:$G$2458,0),FALSE)),"",HLOOKUP(CaseName,CaseData,MATCH($G355,cases!$G$4:$G$2458,0),FALSE))</f>
        <v/>
      </c>
      <c r="K355" s="621">
        <f>RAINrate.R/L354</f>
        <v>2.219685438863521E-8</v>
      </c>
      <c r="L355" s="298">
        <f t="shared" si="19"/>
        <v>2.219685438863521E-8</v>
      </c>
      <c r="M355" s="568" t="s">
        <v>873</v>
      </c>
      <c r="N355" s="567" t="s">
        <v>1615</v>
      </c>
      <c r="O355" s="606"/>
      <c r="P355" s="567" t="s">
        <v>1616</v>
      </c>
    </row>
    <row r="356" spans="1:16" ht="12.75" customHeight="1" x14ac:dyDescent="0.2">
      <c r="A356" s="567"/>
      <c r="B356" s="567" t="s">
        <v>1617</v>
      </c>
      <c r="C356" s="567"/>
      <c r="D356" s="567"/>
      <c r="E356" s="567"/>
      <c r="F356" s="567"/>
      <c r="G356" s="568" t="s">
        <v>1618</v>
      </c>
      <c r="H356" s="568" t="s">
        <v>873</v>
      </c>
      <c r="I356" s="573"/>
      <c r="J356" s="294" t="str">
        <f>IF(ISBLANK(HLOOKUP(CaseName,CaseData,MATCH($G356,cases!$G$4:$G$2458,0),FALSE)),"",HLOOKUP(CaseName,CaseData,MATCH($G356,cases!$G$4:$G$2458,0),FALSE))</f>
        <v/>
      </c>
      <c r="K356" s="621">
        <f>((2*L353)^2*(Rho.w-input!L331)*g*L357)/(18*DYNVISC.a)</f>
        <v>4.1572688513602225</v>
      </c>
      <c r="L356" s="298">
        <f t="shared" si="19"/>
        <v>4.1572688513602225</v>
      </c>
      <c r="M356" s="568" t="s">
        <v>873</v>
      </c>
      <c r="N356" s="567"/>
      <c r="O356" s="606"/>
      <c r="P356" s="585"/>
    </row>
    <row r="357" spans="1:16" ht="12.75" customHeight="1" x14ac:dyDescent="0.2">
      <c r="A357" s="567"/>
      <c r="B357" s="567" t="s">
        <v>1619</v>
      </c>
      <c r="C357" s="567"/>
      <c r="D357" s="567"/>
      <c r="E357" s="567"/>
      <c r="F357" s="567"/>
      <c r="G357" s="568" t="s">
        <v>1620</v>
      </c>
      <c r="H357" s="568" t="s">
        <v>296</v>
      </c>
      <c r="I357" s="573"/>
      <c r="J357" s="294" t="str">
        <f>IF(ISBLANK(HLOOKUP(CaseName,CaseData,MATCH($G357,cases!$G$4:$G$2458,0),FALSE)),"",HLOOKUP(CaseName,CaseData,MATCH($G357,cases!$G$4:$G$2458,0),FALSE))</f>
        <v/>
      </c>
      <c r="K357" s="621">
        <v>1</v>
      </c>
      <c r="L357" s="298">
        <f t="shared" si="19"/>
        <v>1</v>
      </c>
      <c r="M357" s="568" t="s">
        <v>296</v>
      </c>
      <c r="N357" s="567"/>
      <c r="O357" s="606"/>
      <c r="P357" s="585"/>
    </row>
    <row r="358" spans="1:16" ht="12.75" customHeight="1" x14ac:dyDescent="0.2">
      <c r="A358" s="567"/>
      <c r="B358" s="567" t="s">
        <v>1621</v>
      </c>
      <c r="C358" s="567"/>
      <c r="D358" s="567"/>
      <c r="E358" s="567"/>
      <c r="F358" s="567"/>
      <c r="G358" s="568" t="s">
        <v>1622</v>
      </c>
      <c r="H358" s="568" t="s">
        <v>296</v>
      </c>
      <c r="I358" s="573"/>
      <c r="J358" s="294" t="str">
        <f>IF(ISBLANK(HLOOKUP(CaseName,CaseData,MATCH($G358,cases!$G$4:$G$2458,0),FALSE)),"",HLOOKUP(CaseName,CaseData,MATCH($G358,cases!$G$4:$G$2458,0),FALSE))</f>
        <v/>
      </c>
      <c r="K358" s="621">
        <f>((1.2+(1/12)*LN(1+L359))/(1+LN(1+L359)))</f>
        <v>0.30769776051183378</v>
      </c>
      <c r="L358" s="298">
        <f t="shared" si="19"/>
        <v>0.30769776051183378</v>
      </c>
      <c r="M358" s="568" t="s">
        <v>296</v>
      </c>
      <c r="N358" s="567"/>
      <c r="O358" s="606"/>
      <c r="P358" s="585"/>
    </row>
    <row r="359" spans="1:16" ht="12.75" customHeight="1" x14ac:dyDescent="0.2">
      <c r="A359" s="567"/>
      <c r="B359" s="567" t="s">
        <v>1623</v>
      </c>
      <c r="C359" s="567"/>
      <c r="D359" s="567"/>
      <c r="E359" s="567"/>
      <c r="F359" s="567"/>
      <c r="G359" s="568" t="s">
        <v>1624</v>
      </c>
      <c r="H359" s="568" t="s">
        <v>296</v>
      </c>
      <c r="I359" s="719"/>
      <c r="J359" s="294" t="str">
        <f>IF(ISBLANK(HLOOKUP(CaseName,CaseData,MATCH($G359,cases!$G$4:$G$2458,0),FALSE)),"",HLOOKUP(CaseName,CaseData,MATCH($G359,cases!$G$4:$G$2458,0),FALSE))</f>
        <v/>
      </c>
      <c r="K359" s="621">
        <f>((2*L353)*L356*input!L331)/(2*DYNVISC.a)</f>
        <v>52.357892002398742</v>
      </c>
      <c r="L359" s="298">
        <f t="shared" si="19"/>
        <v>52.357892002398742</v>
      </c>
      <c r="M359" s="568" t="s">
        <v>296</v>
      </c>
      <c r="N359" s="567"/>
      <c r="O359" s="606"/>
      <c r="P359" s="585"/>
    </row>
    <row r="360" spans="1:16" s="635" customFormat="1" ht="12.75" customHeight="1" x14ac:dyDescent="0.2">
      <c r="A360" s="634" t="s">
        <v>1625</v>
      </c>
      <c r="B360" s="634"/>
      <c r="C360" s="634"/>
      <c r="D360" s="634"/>
      <c r="E360" s="634"/>
      <c r="F360" s="634"/>
      <c r="G360" s="634"/>
      <c r="H360" s="634"/>
      <c r="I360" s="660"/>
      <c r="J360" s="641"/>
      <c r="K360" s="661"/>
      <c r="L360" s="662"/>
      <c r="M360" s="634"/>
      <c r="N360" s="958"/>
      <c r="O360" s="964"/>
      <c r="P360" s="958"/>
    </row>
    <row r="361" spans="1:16" ht="12.75" customHeight="1" x14ac:dyDescent="0.2">
      <c r="A361" s="567"/>
      <c r="B361" s="567" t="s">
        <v>1626</v>
      </c>
      <c r="C361" s="567"/>
      <c r="D361" s="567"/>
      <c r="E361" s="567"/>
      <c r="F361" s="567"/>
      <c r="G361" s="567" t="s">
        <v>1627</v>
      </c>
      <c r="H361" s="567" t="s">
        <v>820</v>
      </c>
      <c r="I361" s="573"/>
      <c r="J361" s="294" t="str">
        <f>IF(ISBLANK(HLOOKUP(CaseName,CaseData,MATCH($G361,cases!$G$4:$G$2458,0),FALSE)),"",HLOOKUP(CaseName,CaseData,MATCH($G361,cases!$G$4:$G$2458,0),FALSE))</f>
        <v/>
      </c>
      <c r="K361" s="621">
        <f>(L363/((4/3)*PI()))^(1/3)</f>
        <v>4.5372667230498981E-8</v>
      </c>
      <c r="L361" s="298">
        <f t="shared" ref="L361:L392" si="20">IF(ISBLANK(I361),IF(ISNUMBER(J361)=FALSE,K361,J361),I361)</f>
        <v>4.5372667230498981E-8</v>
      </c>
      <c r="M361" s="567" t="s">
        <v>820</v>
      </c>
      <c r="N361" s="567"/>
      <c r="O361" s="606"/>
      <c r="P361" s="585"/>
    </row>
    <row r="362" spans="1:16" ht="12.75" customHeight="1" x14ac:dyDescent="0.2">
      <c r="A362" s="567"/>
      <c r="B362" s="567" t="s">
        <v>1628</v>
      </c>
      <c r="C362" s="567"/>
      <c r="D362" s="567"/>
      <c r="E362" s="567"/>
      <c r="F362" s="567"/>
      <c r="G362" s="567" t="s">
        <v>1629</v>
      </c>
      <c r="H362" s="567" t="s">
        <v>287</v>
      </c>
      <c r="I362" s="573"/>
      <c r="J362" s="294" t="str">
        <f>IF(ISBLANK(HLOOKUP(CaseName,CaseData,MATCH($G362,cases!$G$4:$G$2458,0),FALSE)),"",HLOOKUP(CaseName,CaseData,MATCH($G362,cases!$G$4:$G$2458,0),FALSE))</f>
        <v/>
      </c>
      <c r="K362" s="621">
        <f>(L364)/L363</f>
        <v>1999.052936069301</v>
      </c>
      <c r="L362" s="298">
        <f t="shared" si="20"/>
        <v>1999.052936069301</v>
      </c>
      <c r="M362" s="567" t="s">
        <v>287</v>
      </c>
      <c r="N362" s="567"/>
      <c r="O362" s="606"/>
      <c r="P362" s="585"/>
    </row>
    <row r="363" spans="1:16" ht="12.75" customHeight="1" x14ac:dyDescent="0.2">
      <c r="A363" s="567"/>
      <c r="B363" s="567"/>
      <c r="C363" s="567" t="s">
        <v>1630</v>
      </c>
      <c r="D363" s="567"/>
      <c r="E363" s="567"/>
      <c r="F363" s="567"/>
      <c r="G363" s="567" t="s">
        <v>1631</v>
      </c>
      <c r="H363" s="567" t="s">
        <v>864</v>
      </c>
      <c r="I363" s="573"/>
      <c r="J363" s="294" t="str">
        <f>IF(ISBLANK(HLOOKUP(CaseName,CaseData,MATCH($G363,cases!$G$4:$G$2458,0),FALSE)),"",HLOOKUP(CaseName,CaseData,MATCH($G363,cases!$G$4:$G$2458,0),FALSE))</f>
        <v/>
      </c>
      <c r="K363" s="621">
        <f>((input!L275*(SingleVolS+(((4/3)*PI()*(RadNuc)^3))))+(input!L276*(SingleVolS+(((4/3)*PI()*(RadAcc)^3)))))/(input!L275+input!L276)</f>
        <v>3.9126548541830902E-22</v>
      </c>
      <c r="L363" s="298">
        <f t="shared" si="20"/>
        <v>3.9126548541830902E-22</v>
      </c>
      <c r="M363" s="567" t="s">
        <v>864</v>
      </c>
      <c r="N363" s="567"/>
      <c r="O363" s="606"/>
      <c r="P363" s="585"/>
    </row>
    <row r="364" spans="1:16" ht="12.75" customHeight="1" x14ac:dyDescent="0.2">
      <c r="A364" s="567"/>
      <c r="B364" s="567"/>
      <c r="C364" s="567" t="s">
        <v>1632</v>
      </c>
      <c r="D364" s="567"/>
      <c r="E364" s="567"/>
      <c r="F364" s="567"/>
      <c r="G364" s="567" t="s">
        <v>1633</v>
      </c>
      <c r="H364" s="567" t="s">
        <v>895</v>
      </c>
      <c r="I364" s="719"/>
      <c r="J364" s="294" t="str">
        <f>IF(ISBLANK(HLOOKUP(CaseName,CaseData,MATCH($G364,cases!$G$4:$G$2458,0),FALSE)),"",HLOOKUP(CaseName,CaseData,MATCH($G364,cases!$G$4:$G$2458,0),FALSE))</f>
        <v/>
      </c>
      <c r="K364" s="621">
        <f>((input!L275*(RhoNuc*(4/3*PI()*(RadNuc)^3)+RhoS*SingleVolS))+(input!L276*(RhoAcc*(4/3*PI()*(RadAcc)^3)+RhoS*SingleVolS)))/(input!L275+input!L276)</f>
        <v>7.8216041740805096E-19</v>
      </c>
      <c r="L364" s="298">
        <f t="shared" si="20"/>
        <v>7.8216041740805096E-19</v>
      </c>
      <c r="M364" s="567" t="s">
        <v>895</v>
      </c>
      <c r="N364" s="567" t="s">
        <v>1634</v>
      </c>
      <c r="O364" s="606"/>
      <c r="P364" s="585"/>
    </row>
    <row r="365" spans="1:16" s="635" customFormat="1" ht="12.75" customHeight="1" x14ac:dyDescent="0.2">
      <c r="A365" s="583" t="s">
        <v>1635</v>
      </c>
      <c r="B365" s="583"/>
      <c r="C365" s="583"/>
      <c r="D365" s="583"/>
      <c r="E365" s="583"/>
      <c r="F365" s="583"/>
      <c r="G365" s="582" t="s">
        <v>1636</v>
      </c>
      <c r="H365" s="582" t="s">
        <v>340</v>
      </c>
      <c r="I365" s="573"/>
      <c r="J365" s="294" t="str">
        <f>IF(ISBLANK(HLOOKUP(CaseName,CaseData,MATCH($G365,cases!$G$4:$G$2458,0),FALSE)),"",HLOOKUP(CaseName,CaseData,MATCH($G365,cases!$G$4:$G$2458,0),FALSE))</f>
        <v/>
      </c>
      <c r="K365" s="623">
        <f>(3/2)*(L373*L355)/(2*L353)</f>
        <v>9.699132067302024E-7</v>
      </c>
      <c r="L365" s="714">
        <f t="shared" si="20"/>
        <v>9.699132067302024E-7</v>
      </c>
      <c r="M365" s="582" t="s">
        <v>340</v>
      </c>
      <c r="N365" s="604"/>
      <c r="O365" s="664"/>
      <c r="P365" s="583" t="s">
        <v>1637</v>
      </c>
    </row>
    <row r="366" spans="1:16" ht="12.75" customHeight="1" x14ac:dyDescent="0.2">
      <c r="A366" s="567"/>
      <c r="B366" s="567" t="s">
        <v>1638</v>
      </c>
      <c r="C366" s="567"/>
      <c r="D366" s="567"/>
      <c r="E366" s="567"/>
      <c r="F366" s="567"/>
      <c r="G366" s="568" t="s">
        <v>1639</v>
      </c>
      <c r="H366" s="568" t="s">
        <v>1640</v>
      </c>
      <c r="I366" s="573"/>
      <c r="J366" s="294" t="str">
        <f>IF(ISBLANK(HLOOKUP(CaseName,CaseData,MATCH($G366,cases!$G$4:$G$2458,0),FALSE)),"",HLOOKUP(CaseName,CaseData,MATCH($G366,cases!$G$4:$G$2458,0),FALSE))</f>
        <v/>
      </c>
      <c r="K366" s="621">
        <f>((RhoS-input!L331)*(2*RadS)^2*CunninghamS)/(18*DYNVISC.a)</f>
        <v>2.9727496338664685E-8</v>
      </c>
      <c r="L366" s="298">
        <f t="shared" si="20"/>
        <v>2.9727496338664685E-8</v>
      </c>
      <c r="M366" s="568" t="s">
        <v>1640</v>
      </c>
      <c r="N366" s="567"/>
      <c r="O366" s="605"/>
      <c r="P366" s="585"/>
    </row>
    <row r="367" spans="1:16" ht="12.75" customHeight="1" x14ac:dyDescent="0.2">
      <c r="A367" s="567"/>
      <c r="B367" s="567" t="s">
        <v>1641</v>
      </c>
      <c r="C367" s="567"/>
      <c r="D367" s="567"/>
      <c r="E367" s="567"/>
      <c r="F367" s="567"/>
      <c r="G367" s="568" t="s">
        <v>1642</v>
      </c>
      <c r="H367" s="568" t="s">
        <v>296</v>
      </c>
      <c r="I367" s="573"/>
      <c r="J367" s="294" t="str">
        <f>IF(ISBLANK(HLOOKUP(CaseName,CaseData,MATCH($G367,cases!$G$4:$G$2458,0),FALSE)),"",HLOOKUP(CaseName,CaseData,MATCH($G367,cases!$G$4:$G$2458,0),FALSE))</f>
        <v/>
      </c>
      <c r="K367" s="621">
        <f>(2*L366*(L356-L368))/(2*L353)</f>
        <v>6.6412508933626397E-4</v>
      </c>
      <c r="L367" s="298">
        <f t="shared" si="20"/>
        <v>6.6412508933626397E-4</v>
      </c>
      <c r="M367" s="568" t="s">
        <v>296</v>
      </c>
      <c r="N367" s="585"/>
      <c r="O367" s="605" t="s">
        <v>1643</v>
      </c>
      <c r="P367" s="585"/>
    </row>
    <row r="368" spans="1:16" ht="12.75" customHeight="1" x14ac:dyDescent="0.2">
      <c r="A368" s="567"/>
      <c r="B368" s="567" t="s">
        <v>1644</v>
      </c>
      <c r="C368" s="567"/>
      <c r="D368" s="567"/>
      <c r="E368" s="567"/>
      <c r="F368" s="567"/>
      <c r="G368" s="568" t="s">
        <v>1645</v>
      </c>
      <c r="H368" s="568" t="s">
        <v>873</v>
      </c>
      <c r="I368" s="573"/>
      <c r="J368" s="294" t="str">
        <f>IF(ISBLANK(HLOOKUP(CaseName,CaseData,MATCH($G368,cases!$G$4:$G$2458,0),FALSE)),"",HLOOKUP(CaseName,CaseData,MATCH($G368,cases!$G$4:$G$2458,0),FALSE))</f>
        <v/>
      </c>
      <c r="K368" s="621">
        <f>((2*RadS)^2*(RhoS-input!L331)*9.81*CunninghamS)/(18*DYNVISC.a)</f>
        <v>2.9162673908230058E-7</v>
      </c>
      <c r="L368" s="298">
        <f t="shared" si="20"/>
        <v>2.9162673908230058E-7</v>
      </c>
      <c r="M368" s="568" t="s">
        <v>873</v>
      </c>
      <c r="N368" s="567"/>
      <c r="O368" s="606"/>
      <c r="P368" s="585"/>
    </row>
    <row r="369" spans="1:16" ht="12.75" customHeight="1" x14ac:dyDescent="0.2">
      <c r="A369" s="567"/>
      <c r="B369" s="567" t="s">
        <v>1646</v>
      </c>
      <c r="C369" s="567"/>
      <c r="D369" s="567"/>
      <c r="E369" s="567"/>
      <c r="F369" s="567"/>
      <c r="G369" s="568" t="s">
        <v>1647</v>
      </c>
      <c r="H369" s="568" t="s">
        <v>296</v>
      </c>
      <c r="I369" s="573"/>
      <c r="J369" s="294" t="str">
        <f>IF(ISBLANK(HLOOKUP(CaseName,CaseData,MATCH($G369,cases!$G$4:$G$2458,0),FALSE)),"",HLOOKUP(CaseName,CaseData,MATCH($G369,cases!$G$4:$G$2458,0),FALSE))</f>
        <v/>
      </c>
      <c r="K369" s="621">
        <f>DYNVISC.a/(input!L331*DiffS.aR)</f>
        <v>279.68506291363371</v>
      </c>
      <c r="L369" s="298">
        <f t="shared" si="20"/>
        <v>279.68506291363371</v>
      </c>
      <c r="M369" s="568" t="s">
        <v>296</v>
      </c>
      <c r="N369" s="567"/>
      <c r="O369" s="606"/>
      <c r="P369" s="585"/>
    </row>
    <row r="370" spans="1:16" ht="12.75" customHeight="1" x14ac:dyDescent="0.2">
      <c r="A370" s="567"/>
      <c r="B370" s="567"/>
      <c r="C370" s="567" t="s">
        <v>1648</v>
      </c>
      <c r="D370" s="567"/>
      <c r="E370" s="567"/>
      <c r="F370" s="567"/>
      <c r="G370" s="568" t="s">
        <v>1649</v>
      </c>
      <c r="H370" s="568" t="s">
        <v>296</v>
      </c>
      <c r="I370" s="573"/>
      <c r="J370" s="294" t="str">
        <f>IF(ISBLANK(HLOOKUP(CaseName,CaseData,MATCH($G370,cases!$G$4:$G$2458,0),FALSE)),"",HLOOKUP(CaseName,CaseData,MATCH($G370,cases!$G$4:$G$2458,0),FALSE))</f>
        <v/>
      </c>
      <c r="K370" s="621">
        <f>(4/(L359*L369))*(1+0.4*(L359^0.5*L369^(1/3))+0.16*(L359^0.5*L369^0.5))</f>
        <v>1.0732223264878138E-2</v>
      </c>
      <c r="L370" s="298">
        <f t="shared" si="20"/>
        <v>1.0732223264878138E-2</v>
      </c>
      <c r="M370" s="568" t="s">
        <v>296</v>
      </c>
      <c r="N370" s="567"/>
      <c r="O370" s="606"/>
      <c r="P370" s="585"/>
    </row>
    <row r="371" spans="1:16" ht="12.75" customHeight="1" x14ac:dyDescent="0.2">
      <c r="A371" s="567"/>
      <c r="B371" s="567"/>
      <c r="C371" s="567" t="s">
        <v>1650</v>
      </c>
      <c r="D371" s="567"/>
      <c r="E371" s="567"/>
      <c r="F371" s="567"/>
      <c r="G371" s="568" t="s">
        <v>1651</v>
      </c>
      <c r="H371" s="568" t="s">
        <v>296</v>
      </c>
      <c r="I371" s="573"/>
      <c r="J371" s="294" t="str">
        <f>IF(ISBLANK(HLOOKUP(CaseName,CaseData,MATCH($G371,cases!$G$4:$G$2458,0),FALSE)),"",HLOOKUP(CaseName,CaseData,MATCH($G371,cases!$G$4:$G$2458,0),FALSE))</f>
        <v/>
      </c>
      <c r="K371" s="621">
        <f>4*(RadS/L353)*((DYNVISC.a/DYNVISC.w)+(1+2*L359^0.5*(RadS/L353)))</f>
        <v>1.0945972137335628E-4</v>
      </c>
      <c r="L371" s="298">
        <f t="shared" si="20"/>
        <v>1.0945972137335628E-4</v>
      </c>
      <c r="M371" s="568" t="s">
        <v>296</v>
      </c>
      <c r="N371" s="567"/>
      <c r="O371" s="606"/>
      <c r="P371" s="585"/>
    </row>
    <row r="372" spans="1:16" ht="12.75" customHeight="1" x14ac:dyDescent="0.2">
      <c r="A372" s="567"/>
      <c r="B372" s="567"/>
      <c r="C372" s="567" t="s">
        <v>1652</v>
      </c>
      <c r="D372" s="567"/>
      <c r="E372" s="567"/>
      <c r="F372" s="567"/>
      <c r="G372" s="568" t="s">
        <v>1653</v>
      </c>
      <c r="H372" s="568" t="s">
        <v>296</v>
      </c>
      <c r="I372" s="573"/>
      <c r="J372" s="294" t="str">
        <f>IF(ISBLANK(HLOOKUP(CaseName,CaseData,MATCH($G372,cases!$G$4:$G$2458,0),FALSE)),"",HLOOKUP(CaseName,CaseData,MATCH($G372,cases!$G$4:$G$2458,0),FALSE))</f>
        <v/>
      </c>
      <c r="K372" s="621">
        <f>IF(L367&gt;L358,((L367-L358)/(L367-L358+2/3))^(3/2),0)</f>
        <v>0</v>
      </c>
      <c r="L372" s="298">
        <f t="shared" si="20"/>
        <v>0</v>
      </c>
      <c r="M372" s="568" t="s">
        <v>296</v>
      </c>
      <c r="N372" s="567"/>
      <c r="O372" s="606"/>
      <c r="P372" s="585"/>
    </row>
    <row r="373" spans="1:16" ht="12.75" customHeight="1" x14ac:dyDescent="0.2">
      <c r="A373" s="567"/>
      <c r="B373" s="567"/>
      <c r="C373" s="567" t="s">
        <v>1654</v>
      </c>
      <c r="D373" s="567"/>
      <c r="E373" s="567"/>
      <c r="F373" s="567"/>
      <c r="G373" s="568" t="s">
        <v>1655</v>
      </c>
      <c r="H373" s="568" t="s">
        <v>296</v>
      </c>
      <c r="I373" s="573"/>
      <c r="J373" s="294" t="str">
        <f>IF(ISBLANK(HLOOKUP(CaseName,CaseData,MATCH($G373,cases!$G$4:$G$2458,0),FALSE)),"",HLOOKUP(CaseName,CaseData,MATCH($G373,cases!$G$4:$G$2458,0),FALSE))</f>
        <v/>
      </c>
      <c r="K373" s="621">
        <f>L370+L371+L372</f>
        <v>1.0841682986251494E-2</v>
      </c>
      <c r="L373" s="298">
        <f t="shared" si="20"/>
        <v>1.0841682986251494E-2</v>
      </c>
      <c r="M373" s="568" t="s">
        <v>296</v>
      </c>
      <c r="N373" s="567"/>
      <c r="O373" s="606"/>
      <c r="P373" s="585"/>
    </row>
    <row r="374" spans="1:16" ht="12.75" customHeight="1" x14ac:dyDescent="0.2">
      <c r="A374" s="567" t="s">
        <v>1656</v>
      </c>
      <c r="B374" s="567"/>
      <c r="C374" s="567"/>
      <c r="D374" s="567"/>
      <c r="E374" s="567"/>
      <c r="F374" s="567"/>
      <c r="G374" s="568" t="s">
        <v>1657</v>
      </c>
      <c r="H374" s="568" t="s">
        <v>340</v>
      </c>
      <c r="I374" s="573"/>
      <c r="J374" s="294" t="str">
        <f>IF(ISBLANK(HLOOKUP(CaseName,CaseData,MATCH($G374,cases!$G$4:$G$2458,0),FALSE)),"",HLOOKUP(CaseName,CaseData,MATCH($G374,cases!$G$4:$G$2458,0),FALSE))</f>
        <v/>
      </c>
      <c r="K374" s="621">
        <f>((3/2)*(L384*L355)/(2*L353))</f>
        <v>1.7484098176372425E-7</v>
      </c>
      <c r="L374" s="298">
        <f t="shared" si="20"/>
        <v>1.7484098176372425E-7</v>
      </c>
      <c r="M374" s="568" t="s">
        <v>340</v>
      </c>
      <c r="N374" s="567"/>
      <c r="O374" s="606"/>
      <c r="P374" s="585"/>
    </row>
    <row r="375" spans="1:16" ht="12.75" customHeight="1" x14ac:dyDescent="0.2">
      <c r="A375" s="567"/>
      <c r="B375" s="567" t="s">
        <v>1658</v>
      </c>
      <c r="C375" s="567"/>
      <c r="D375" s="567"/>
      <c r="E375" s="567"/>
      <c r="F375" s="567"/>
      <c r="G375" s="568" t="s">
        <v>1659</v>
      </c>
      <c r="H375" s="568" t="s">
        <v>296</v>
      </c>
      <c r="I375" s="573"/>
      <c r="J375" s="294" t="str">
        <f>IF(ISBLANK(HLOOKUP(CaseName,CaseData,MATCH($G375,cases!$G$4:$G$2458,0),FALSE)),"",HLOOKUP(CaseName,CaseData,MATCH($G375,cases!$G$4:$G$2458,0),FALSE))</f>
        <v/>
      </c>
      <c r="K375" s="621">
        <f>1+(66*10^-9/L361)*(1.142+0.558*EXP(-0.999/(66*10^-9/L361)))</f>
        <v>3.0696088001070425</v>
      </c>
      <c r="L375" s="298">
        <f t="shared" si="20"/>
        <v>3.0696088001070425</v>
      </c>
      <c r="M375" s="568" t="s">
        <v>296</v>
      </c>
      <c r="N375" s="567"/>
      <c r="O375" s="606"/>
      <c r="P375" s="585"/>
    </row>
    <row r="376" spans="1:16" ht="12.75" customHeight="1" x14ac:dyDescent="0.2">
      <c r="A376" s="567"/>
      <c r="B376" s="567" t="s">
        <v>1660</v>
      </c>
      <c r="C376" s="567"/>
      <c r="D376" s="567"/>
      <c r="E376" s="567"/>
      <c r="F376" s="567"/>
      <c r="G376" s="568" t="s">
        <v>1661</v>
      </c>
      <c r="H376" s="568"/>
      <c r="I376" s="573"/>
      <c r="J376" s="294" t="str">
        <f>IF(ISBLANK(HLOOKUP(CaseName,CaseData,MATCH($G376,cases!$G$4:$G$2458,0),FALSE)),"",HLOOKUP(CaseName,CaseData,MATCH($G376,cases!$G$4:$G$2458,0),FALSE))</f>
        <v/>
      </c>
      <c r="K376" s="621">
        <f>(kboltz*TEMP.R*L375)/(6*PI()*DYNVISC.a*L361)</f>
        <v>7.8025597501893335E-10</v>
      </c>
      <c r="L376" s="298">
        <f t="shared" si="20"/>
        <v>7.8025597501893335E-10</v>
      </c>
      <c r="M376" s="568"/>
      <c r="N376" s="567"/>
      <c r="O376" s="606"/>
      <c r="P376" s="585"/>
    </row>
    <row r="377" spans="1:16" ht="12.75" customHeight="1" x14ac:dyDescent="0.2">
      <c r="A377" s="567"/>
      <c r="B377" s="567" t="s">
        <v>1638</v>
      </c>
      <c r="C377" s="567"/>
      <c r="D377" s="567"/>
      <c r="E377" s="567"/>
      <c r="F377" s="567"/>
      <c r="G377" s="568" t="s">
        <v>1662</v>
      </c>
      <c r="H377" s="568" t="s">
        <v>1640</v>
      </c>
      <c r="I377" s="573"/>
      <c r="J377" s="294" t="str">
        <f>IF(ISBLANK(HLOOKUP(CaseName,CaseData,MATCH($G377,cases!$G$4:$G$2458,0),FALSE)),"",HLOOKUP(CaseName,CaseData,MATCH($G377,cases!$G$4:$G$2458,0),FALSE))</f>
        <v/>
      </c>
      <c r="K377" s="621">
        <f>((L362-input!L331)*(2*L361)^2*L375)/(18*DYNVISC.a)</f>
        <v>1.5500247909018642E-7</v>
      </c>
      <c r="L377" s="298">
        <f t="shared" si="20"/>
        <v>1.5500247909018642E-7</v>
      </c>
      <c r="M377" s="568" t="s">
        <v>1640</v>
      </c>
      <c r="N377" s="567"/>
      <c r="O377" s="606"/>
      <c r="P377" s="585"/>
    </row>
    <row r="378" spans="1:16" ht="12.75" customHeight="1" x14ac:dyDescent="0.2">
      <c r="A378" s="567"/>
      <c r="B378" s="567" t="s">
        <v>1663</v>
      </c>
      <c r="C378" s="567"/>
      <c r="D378" s="567"/>
      <c r="E378" s="567"/>
      <c r="F378" s="567"/>
      <c r="G378" s="568" t="s">
        <v>1664</v>
      </c>
      <c r="H378" s="568" t="s">
        <v>296</v>
      </c>
      <c r="I378" s="573"/>
      <c r="J378" s="294" t="str">
        <f>IF(ISBLANK(HLOOKUP(CaseName,CaseData,MATCH($G378,cases!$G$4:$G$2458,0),FALSE)),"",HLOOKUP(CaseName,CaseData,MATCH($G378,cases!$G$4:$G$2458,0),FALSE))</f>
        <v/>
      </c>
      <c r="K378" s="621">
        <f>(2*L377*(L356-L379))/(2*L353)</f>
        <v>3.4628221599474589E-3</v>
      </c>
      <c r="L378" s="298">
        <f t="shared" si="20"/>
        <v>3.4628221599474589E-3</v>
      </c>
      <c r="M378" s="568" t="s">
        <v>296</v>
      </c>
      <c r="N378" s="567"/>
      <c r="O378" s="606"/>
      <c r="P378" s="585"/>
    </row>
    <row r="379" spans="1:16" ht="12.75" customHeight="1" x14ac:dyDescent="0.2">
      <c r="A379" s="567"/>
      <c r="B379" s="567" t="s">
        <v>1644</v>
      </c>
      <c r="C379" s="567"/>
      <c r="D379" s="567"/>
      <c r="E379" s="567"/>
      <c r="F379" s="567"/>
      <c r="G379" s="568" t="s">
        <v>1665</v>
      </c>
      <c r="H379" s="568" t="s">
        <v>873</v>
      </c>
      <c r="I379" s="573"/>
      <c r="J379" s="294" t="str">
        <f>IF(ISBLANK(HLOOKUP(CaseName,CaseData,MATCH($G379,cases!$G$4:$G$2458,0),FALSE)),"",HLOOKUP(CaseName,CaseData,MATCH($G379,cases!$G$4:$G$2458,0),FALSE))</f>
        <v/>
      </c>
      <c r="K379" s="621">
        <f>((L361)^2*(L362-input!L331)*9.81*L375)/(18*DYNVISC.a)</f>
        <v>3.8014357996868221E-7</v>
      </c>
      <c r="L379" s="298">
        <f t="shared" si="20"/>
        <v>3.8014357996868221E-7</v>
      </c>
      <c r="M379" s="568" t="s">
        <v>873</v>
      </c>
      <c r="N379" s="567"/>
      <c r="O379" s="606"/>
      <c r="P379" s="585"/>
    </row>
    <row r="380" spans="1:16" ht="12.75" customHeight="1" x14ac:dyDescent="0.2">
      <c r="A380" s="567"/>
      <c r="B380" s="567" t="s">
        <v>1646</v>
      </c>
      <c r="C380" s="567"/>
      <c r="D380" s="567"/>
      <c r="E380" s="567"/>
      <c r="F380" s="567"/>
      <c r="G380" s="568" t="s">
        <v>1666</v>
      </c>
      <c r="H380" s="568" t="s">
        <v>296</v>
      </c>
      <c r="I380" s="573"/>
      <c r="J380" s="294" t="str">
        <f>IF(ISBLANK(HLOOKUP(CaseName,CaseData,MATCH($G380,cases!$G$4:$G$2458,0),FALSE)),"",HLOOKUP(CaseName,CaseData,MATCH($G380,cases!$G$4:$G$2458,0),FALSE))</f>
        <v/>
      </c>
      <c r="K380" s="621">
        <f>DYNVISC.a/(input!L331*L376)</f>
        <v>18936.747269026804</v>
      </c>
      <c r="L380" s="298">
        <f t="shared" si="20"/>
        <v>18936.747269026804</v>
      </c>
      <c r="M380" s="568" t="s">
        <v>296</v>
      </c>
      <c r="N380" s="567"/>
      <c r="O380" s="606"/>
      <c r="P380" s="585"/>
    </row>
    <row r="381" spans="1:16" ht="12.75" customHeight="1" x14ac:dyDescent="0.2">
      <c r="A381" s="567"/>
      <c r="B381" s="567"/>
      <c r="C381" s="567" t="s">
        <v>1648</v>
      </c>
      <c r="D381" s="567"/>
      <c r="E381" s="567"/>
      <c r="F381" s="567"/>
      <c r="G381" s="568" t="s">
        <v>1667</v>
      </c>
      <c r="H381" s="568" t="s">
        <v>296</v>
      </c>
      <c r="I381" s="573"/>
      <c r="J381" s="294" t="str">
        <f>IF(ISBLANK(HLOOKUP(CaseName,CaseData,MATCH($G381,cases!$G$4:$G$2458,0),FALSE)),"",HLOOKUP(CaseName,CaseData,MATCH($G381,cases!$G$4:$G$2458,0),FALSE))</f>
        <v/>
      </c>
      <c r="K381" s="621">
        <f>(4/(L359*L380))*(1+0.4*(L359^0.5*L380^(1/3))+0.16*(L359^0.5*L380^0.5))</f>
        <v>9.5801318553660503E-4</v>
      </c>
      <c r="L381" s="298">
        <f t="shared" si="20"/>
        <v>9.5801318553660503E-4</v>
      </c>
      <c r="M381" s="568" t="s">
        <v>296</v>
      </c>
      <c r="N381" s="567"/>
      <c r="O381" s="606"/>
      <c r="P381" s="585"/>
    </row>
    <row r="382" spans="1:16" ht="12.75" customHeight="1" x14ac:dyDescent="0.2">
      <c r="A382" s="567"/>
      <c r="B382" s="567"/>
      <c r="C382" s="567" t="s">
        <v>1650</v>
      </c>
      <c r="D382" s="567"/>
      <c r="E382" s="567"/>
      <c r="F382" s="567"/>
      <c r="G382" s="568" t="s">
        <v>1668</v>
      </c>
      <c r="H382" s="568" t="s">
        <v>296</v>
      </c>
      <c r="I382" s="573"/>
      <c r="J382" s="294" t="str">
        <f>IF(ISBLANK(HLOOKUP(CaseName,CaseData,MATCH($G382,cases!$G$4:$G$2458,0),FALSE)),"",HLOOKUP(CaseName,CaseData,MATCH($G382,cases!$G$4:$G$2458,0),FALSE))</f>
        <v/>
      </c>
      <c r="K382" s="621">
        <f>4*(L361/L353)*((DYNVISC.a/DYNVISC.w)+(1+2*L359^0.5*(L361/L353)))</f>
        <v>9.9635807586489177E-4</v>
      </c>
      <c r="L382" s="298">
        <f t="shared" si="20"/>
        <v>9.9635807586489177E-4</v>
      </c>
      <c r="M382" s="568" t="s">
        <v>296</v>
      </c>
      <c r="N382" s="567"/>
      <c r="O382" s="606"/>
      <c r="P382" s="585"/>
    </row>
    <row r="383" spans="1:16" ht="12.75" customHeight="1" x14ac:dyDescent="0.2">
      <c r="A383" s="567"/>
      <c r="B383" s="567"/>
      <c r="C383" s="567" t="s">
        <v>1652</v>
      </c>
      <c r="D383" s="567"/>
      <c r="E383" s="567"/>
      <c r="F383" s="567"/>
      <c r="G383" s="568" t="s">
        <v>1669</v>
      </c>
      <c r="H383" s="568" t="s">
        <v>296</v>
      </c>
      <c r="I383" s="573"/>
      <c r="J383" s="294" t="str">
        <f>IF(ISBLANK(HLOOKUP(CaseName,CaseData,MATCH($G383,cases!$G$4:$G$2458,0),FALSE)),"",HLOOKUP(CaseName,CaseData,MATCH($G383,cases!$G$4:$G$2458,0),FALSE))</f>
        <v/>
      </c>
      <c r="K383" s="621">
        <f>IF(L378&gt;L358,((L378-L358)/(L378-L358+2/3))^(3/2),0)</f>
        <v>0</v>
      </c>
      <c r="L383" s="298">
        <f t="shared" si="20"/>
        <v>0</v>
      </c>
      <c r="M383" s="568" t="s">
        <v>296</v>
      </c>
      <c r="N383" s="567"/>
      <c r="O383" s="606"/>
      <c r="P383" s="585"/>
    </row>
    <row r="384" spans="1:16" ht="12.75" customHeight="1" x14ac:dyDescent="0.2">
      <c r="A384" s="567"/>
      <c r="B384" s="567"/>
      <c r="C384" s="567" t="s">
        <v>1654</v>
      </c>
      <c r="D384" s="567"/>
      <c r="E384" s="567"/>
      <c r="F384" s="567"/>
      <c r="G384" s="568" t="s">
        <v>1670</v>
      </c>
      <c r="H384" s="568" t="s">
        <v>296</v>
      </c>
      <c r="I384" s="573"/>
      <c r="J384" s="294" t="str">
        <f>IF(ISBLANK(HLOOKUP(CaseName,CaseData,MATCH($G384,cases!$G$4:$G$2458,0),FALSE)),"",HLOOKUP(CaseName,CaseData,MATCH($G384,cases!$G$4:$G$2458,0),FALSE))</f>
        <v/>
      </c>
      <c r="K384" s="621">
        <f>L381+L382+L383</f>
        <v>1.9543712614014967E-3</v>
      </c>
      <c r="L384" s="298">
        <f t="shared" si="20"/>
        <v>1.9543712614014967E-3</v>
      </c>
      <c r="M384" s="568" t="s">
        <v>296</v>
      </c>
      <c r="N384" s="567"/>
      <c r="O384" s="606"/>
      <c r="P384" s="585"/>
    </row>
    <row r="385" spans="1:16" ht="12.75" customHeight="1" x14ac:dyDescent="0.2">
      <c r="A385" s="567" t="s">
        <v>1671</v>
      </c>
      <c r="B385" s="567"/>
      <c r="C385" s="567"/>
      <c r="D385" s="567"/>
      <c r="E385" s="567"/>
      <c r="F385" s="567"/>
      <c r="G385" s="568" t="s">
        <v>1672</v>
      </c>
      <c r="H385" s="568" t="s">
        <v>340</v>
      </c>
      <c r="I385" s="719"/>
      <c r="J385" s="294" t="str">
        <f>IF(ISBLANK(HLOOKUP(CaseName,CaseData,MATCH($G385,cases!$G$4:$G$2458,0),FALSE)),"",HLOOKUP(CaseName,CaseData,MATCH($G385,cases!$G$4:$G$2458,0),FALSE))</f>
        <v/>
      </c>
      <c r="K385" s="902">
        <f>((L125+L126)/L126*L131*RAINrate.R)/L23</f>
        <v>7.3989514628784031E-5</v>
      </c>
      <c r="L385" s="681">
        <f t="shared" si="20"/>
        <v>7.3989514628784031E-5</v>
      </c>
      <c r="M385" s="567" t="s">
        <v>340</v>
      </c>
      <c r="N385" s="567" t="s">
        <v>1673</v>
      </c>
      <c r="O385" s="606"/>
      <c r="P385" s="585"/>
    </row>
    <row r="386" spans="1:16" s="635" customFormat="1" ht="12.75" customHeight="1" x14ac:dyDescent="0.2">
      <c r="A386" s="583" t="s">
        <v>1674</v>
      </c>
      <c r="B386" s="583"/>
      <c r="C386" s="583"/>
      <c r="D386" s="583"/>
      <c r="E386" s="583"/>
      <c r="F386" s="583"/>
      <c r="G386" s="582" t="s">
        <v>1675</v>
      </c>
      <c r="H386" s="582" t="s">
        <v>340</v>
      </c>
      <c r="I386" s="573"/>
      <c r="J386" s="294" t="str">
        <f>IF(ISBLANK(HLOOKUP(CaseName,CaseData,MATCH($G386,cases!$G$4:$G$2458,0),FALSE)),"",HLOOKUP(CaseName,CaseData,MATCH($G386,cases!$G$4:$G$2458,0),FALSE))</f>
        <v/>
      </c>
      <c r="K386" s="621">
        <f>(L387*L19*L16)/(L5)</f>
        <v>8.9902911146974618E-7</v>
      </c>
      <c r="L386" s="298">
        <f t="shared" si="20"/>
        <v>8.9902911146974618E-7</v>
      </c>
      <c r="M386" s="582" t="s">
        <v>340</v>
      </c>
      <c r="N386" s="583"/>
      <c r="O386" s="965"/>
      <c r="P386" s="966"/>
    </row>
    <row r="387" spans="1:16" ht="12.75" customHeight="1" x14ac:dyDescent="0.2">
      <c r="A387" s="567"/>
      <c r="B387" s="567" t="s">
        <v>1676</v>
      </c>
      <c r="C387" s="567"/>
      <c r="D387" s="567"/>
      <c r="E387" s="567"/>
      <c r="F387" s="567"/>
      <c r="G387" s="568" t="s">
        <v>1677</v>
      </c>
      <c r="H387" s="568" t="s">
        <v>873</v>
      </c>
      <c r="I387" s="573"/>
      <c r="J387" s="294" t="str">
        <f>IF(ISBLANK(HLOOKUP(CaseName,CaseData,MATCH($G387,cases!$G$4:$G$2458,0),FALSE)),"",HLOOKUP(CaseName,CaseData,MATCH($G387,cases!$G$4:$G$2458,0),FALSE))</f>
        <v/>
      </c>
      <c r="K387" s="621">
        <f>1/(L388+L389)+L368</f>
        <v>3.344304138987743E-3</v>
      </c>
      <c r="L387" s="298">
        <f t="shared" si="20"/>
        <v>3.344304138987743E-3</v>
      </c>
      <c r="M387" s="568" t="s">
        <v>873</v>
      </c>
      <c r="N387" s="567"/>
      <c r="O387" s="606"/>
      <c r="P387" s="585"/>
    </row>
    <row r="388" spans="1:16" ht="12.75" customHeight="1" x14ac:dyDescent="0.2">
      <c r="A388" s="567"/>
      <c r="B388" s="567" t="s">
        <v>1678</v>
      </c>
      <c r="C388" s="567"/>
      <c r="D388" s="567"/>
      <c r="E388" s="567"/>
      <c r="F388" s="567"/>
      <c r="G388" s="568" t="s">
        <v>1679</v>
      </c>
      <c r="H388" s="568" t="s">
        <v>1680</v>
      </c>
      <c r="I388" s="573"/>
      <c r="J388" s="294" t="str">
        <f>IF(ISBLANK(HLOOKUP(CaseName,CaseData,MATCH($G388,cases!$G$4:$G$2458,0),FALSE)),"",HLOOKUP(CaseName,CaseData,MATCH($G388,cases!$G$4:$G$2458,0),FALSE))</f>
        <v/>
      </c>
      <c r="K388" s="621">
        <v>74</v>
      </c>
      <c r="L388" s="298">
        <f t="shared" si="20"/>
        <v>74</v>
      </c>
      <c r="M388" s="568" t="s">
        <v>1680</v>
      </c>
      <c r="N388" s="567"/>
      <c r="O388" s="605" t="s">
        <v>1681</v>
      </c>
      <c r="P388" s="567" t="s">
        <v>1682</v>
      </c>
    </row>
    <row r="389" spans="1:16" ht="12.75" customHeight="1" x14ac:dyDescent="0.2">
      <c r="A389" s="567"/>
      <c r="B389" s="567" t="s">
        <v>1683</v>
      </c>
      <c r="C389" s="567"/>
      <c r="D389" s="567"/>
      <c r="E389" s="567"/>
      <c r="F389" s="567"/>
      <c r="G389" s="568" t="s">
        <v>1684</v>
      </c>
      <c r="H389" s="568" t="s">
        <v>1680</v>
      </c>
      <c r="I389" s="573"/>
      <c r="J389" s="294" t="str">
        <f>IF(ISBLANK(HLOOKUP(CaseName,CaseData,MATCH($G389,cases!$G$4:$G$2458,0),FALSE)),"",HLOOKUP(CaseName,CaseData,MATCH($G389,cases!$G$4:$G$2458,0),FALSE))</f>
        <v/>
      </c>
      <c r="K389" s="621">
        <f>1/(L390*(L391+L392+L396))</f>
        <v>225.04194327537255</v>
      </c>
      <c r="L389" s="298">
        <f t="shared" si="20"/>
        <v>225.04194327537255</v>
      </c>
      <c r="M389" s="568" t="s">
        <v>1680</v>
      </c>
      <c r="N389" s="567"/>
      <c r="O389" s="605" t="s">
        <v>1685</v>
      </c>
      <c r="P389" s="585"/>
    </row>
    <row r="390" spans="1:16" ht="12.75" customHeight="1" x14ac:dyDescent="0.2">
      <c r="A390" s="567"/>
      <c r="B390" s="567"/>
      <c r="C390" s="567" t="s">
        <v>1686</v>
      </c>
      <c r="D390" s="567"/>
      <c r="E390" s="567"/>
      <c r="F390" s="567"/>
      <c r="G390" s="568" t="s">
        <v>1687</v>
      </c>
      <c r="H390" s="568" t="s">
        <v>873</v>
      </c>
      <c r="I390" s="573"/>
      <c r="J390" s="294" t="str">
        <f>IF(ISBLANK(HLOOKUP(CaseName,CaseData,MATCH($G390,cases!$G$4:$G$2458,0),FALSE)),"",HLOOKUP(CaseName,CaseData,MATCH($G390,cases!$G$4:$G$2458,0),FALSE))</f>
        <v/>
      </c>
      <c r="K390" s="621">
        <v>0.19</v>
      </c>
      <c r="L390" s="298">
        <f t="shared" si="20"/>
        <v>0.19</v>
      </c>
      <c r="M390" s="568" t="s">
        <v>873</v>
      </c>
      <c r="N390" s="567"/>
      <c r="O390" s="605" t="s">
        <v>1688</v>
      </c>
      <c r="P390" s="567" t="s">
        <v>1689</v>
      </c>
    </row>
    <row r="391" spans="1:16" ht="12.75" customHeight="1" x14ac:dyDescent="0.2">
      <c r="A391" s="567"/>
      <c r="B391" s="567"/>
      <c r="C391" s="567" t="s">
        <v>1648</v>
      </c>
      <c r="D391" s="567"/>
      <c r="E391" s="567"/>
      <c r="F391" s="567"/>
      <c r="G391" s="568" t="s">
        <v>1690</v>
      </c>
      <c r="H391" s="568" t="s">
        <v>296</v>
      </c>
      <c r="I391" s="573"/>
      <c r="J391" s="294" t="str">
        <f>IF(ISBLANK(HLOOKUP(CaseName,CaseData,MATCH($G391,cases!$G$4:$G$2458,0),FALSE)),"",HLOOKUP(CaseName,CaseData,MATCH($G391,cases!$G$4:$G$2458,0),FALSE))</f>
        <v/>
      </c>
      <c r="K391" s="621">
        <f>L369^(-2/3)</f>
        <v>2.338229586631968E-2</v>
      </c>
      <c r="L391" s="298">
        <f t="shared" si="20"/>
        <v>2.338229586631968E-2</v>
      </c>
      <c r="M391" s="568" t="s">
        <v>296</v>
      </c>
      <c r="N391" s="567"/>
      <c r="O391" s="605" t="s">
        <v>1685</v>
      </c>
      <c r="P391" s="567" t="s">
        <v>1691</v>
      </c>
    </row>
    <row r="392" spans="1:16" ht="12.75" customHeight="1" x14ac:dyDescent="0.2">
      <c r="A392" s="567"/>
      <c r="B392" s="567"/>
      <c r="C392" s="567" t="s">
        <v>1650</v>
      </c>
      <c r="D392" s="567"/>
      <c r="E392" s="567"/>
      <c r="F392" s="567"/>
      <c r="G392" s="568" t="s">
        <v>1692</v>
      </c>
      <c r="H392" s="568" t="s">
        <v>296</v>
      </c>
      <c r="I392" s="573"/>
      <c r="J392" s="294" t="str">
        <f>IF(ISBLANK(HLOOKUP(CaseName,CaseData,MATCH($G392,cases!$G$4:$G$2458,0),FALSE)),"",HLOOKUP(CaseName,CaseData,MATCH($G392,cases!$G$4:$G$2458,0),FALSE))</f>
        <v/>
      </c>
      <c r="K392" s="621">
        <f>0.3*(L395*(RadS/(RadS+L393))+(1-L395)*(RadS/(RadS+L394)))</f>
        <v>4.4692206751095909E-6</v>
      </c>
      <c r="L392" s="298">
        <f t="shared" si="20"/>
        <v>4.4692206751095909E-6</v>
      </c>
      <c r="M392" s="568" t="s">
        <v>296</v>
      </c>
      <c r="N392" s="567"/>
      <c r="O392" s="605" t="s">
        <v>1685</v>
      </c>
      <c r="P392" s="567" t="s">
        <v>1691</v>
      </c>
    </row>
    <row r="393" spans="1:16" ht="12.75" customHeight="1" x14ac:dyDescent="0.2">
      <c r="A393" s="567"/>
      <c r="B393" s="567"/>
      <c r="C393" s="567"/>
      <c r="D393" s="567" t="s">
        <v>1693</v>
      </c>
      <c r="E393" s="567"/>
      <c r="F393" s="567"/>
      <c r="G393" s="568" t="s">
        <v>1694</v>
      </c>
      <c r="H393" s="568" t="s">
        <v>820</v>
      </c>
      <c r="I393" s="573"/>
      <c r="J393" s="294" t="str">
        <f>IF(ISBLANK(HLOOKUP(CaseName,CaseData,MATCH($G393,cases!$G$4:$G$2458,0),FALSE)),"",HLOOKUP(CaseName,CaseData,MATCH($G393,cases!$G$4:$G$2458,0),FALSE))</f>
        <v/>
      </c>
      <c r="K393" s="621">
        <f>1*10^-5</f>
        <v>1.0000000000000001E-5</v>
      </c>
      <c r="L393" s="298">
        <f t="shared" ref="L393:L424" si="21">IF(ISBLANK(I393),IF(ISNUMBER(J393)=FALSE,K393,J393),I393)</f>
        <v>1.0000000000000001E-5</v>
      </c>
      <c r="M393" s="568" t="s">
        <v>820</v>
      </c>
      <c r="N393" s="567"/>
      <c r="O393" s="605" t="s">
        <v>1681</v>
      </c>
      <c r="P393" s="567" t="s">
        <v>1691</v>
      </c>
    </row>
    <row r="394" spans="1:16" ht="12.75" customHeight="1" x14ac:dyDescent="0.2">
      <c r="A394" s="567"/>
      <c r="B394" s="567"/>
      <c r="C394" s="567"/>
      <c r="D394" s="567" t="s">
        <v>1695</v>
      </c>
      <c r="E394" s="567"/>
      <c r="F394" s="567"/>
      <c r="G394" s="568" t="s">
        <v>1696</v>
      </c>
      <c r="H394" s="568" t="s">
        <v>820</v>
      </c>
      <c r="I394" s="573"/>
      <c r="J394" s="294" t="str">
        <f>IF(ISBLANK(HLOOKUP(CaseName,CaseData,MATCH($G394,cases!$G$4:$G$2458,0),FALSE)),"",HLOOKUP(CaseName,CaseData,MATCH($G394,cases!$G$4:$G$2458,0),FALSE))</f>
        <v/>
      </c>
      <c r="K394" s="621">
        <f>0.0005</f>
        <v>5.0000000000000001E-4</v>
      </c>
      <c r="L394" s="298">
        <f t="shared" si="21"/>
        <v>5.0000000000000001E-4</v>
      </c>
      <c r="M394" s="568" t="s">
        <v>820</v>
      </c>
      <c r="N394" s="567"/>
      <c r="O394" s="605" t="s">
        <v>1681</v>
      </c>
      <c r="P394" s="567" t="s">
        <v>1691</v>
      </c>
    </row>
    <row r="395" spans="1:16" ht="12.75" customHeight="1" x14ac:dyDescent="0.2">
      <c r="A395" s="567"/>
      <c r="B395" s="567"/>
      <c r="C395" s="567"/>
      <c r="D395" s="567" t="s">
        <v>1697</v>
      </c>
      <c r="E395" s="567"/>
      <c r="F395" s="567"/>
      <c r="G395" s="568" t="s">
        <v>1698</v>
      </c>
      <c r="H395" s="568" t="s">
        <v>296</v>
      </c>
      <c r="I395" s="573"/>
      <c r="J395" s="294" t="str">
        <f>IF(ISBLANK(HLOOKUP(CaseName,CaseData,MATCH($G395,cases!$G$4:$G$2458,0),FALSE)),"",HLOOKUP(CaseName,CaseData,MATCH($G395,cases!$G$4:$G$2458,0),FALSE))</f>
        <v/>
      </c>
      <c r="K395" s="621">
        <v>0.01</v>
      </c>
      <c r="L395" s="298">
        <f t="shared" si="21"/>
        <v>0.01</v>
      </c>
      <c r="M395" s="568" t="s">
        <v>296</v>
      </c>
      <c r="N395" s="567"/>
      <c r="O395" s="605" t="s">
        <v>1681</v>
      </c>
      <c r="P395" s="567" t="s">
        <v>1699</v>
      </c>
    </row>
    <row r="396" spans="1:16" ht="12.75" customHeight="1" x14ac:dyDescent="0.2">
      <c r="A396" s="567"/>
      <c r="B396" s="567"/>
      <c r="C396" s="567" t="s">
        <v>1652</v>
      </c>
      <c r="D396" s="567"/>
      <c r="E396" s="567"/>
      <c r="F396" s="567"/>
      <c r="G396" s="568" t="s">
        <v>1700</v>
      </c>
      <c r="H396" s="568" t="s">
        <v>296</v>
      </c>
      <c r="I396" s="573"/>
      <c r="J396" s="294" t="str">
        <f>IF(ISBLANK(HLOOKUP(CaseName,CaseData,MATCH($G396,cases!$G$4:$G$2458,0),FALSE)),"",HLOOKUP(CaseName,CaseData,MATCH($G396,cases!$G$4:$G$2458,0),FALSE))</f>
        <v/>
      </c>
      <c r="K396" s="621">
        <f>(L367/(L367+0.8))^2</f>
        <v>6.8801678764196196E-7</v>
      </c>
      <c r="L396" s="298">
        <f t="shared" si="21"/>
        <v>6.8801678764196196E-7</v>
      </c>
      <c r="M396" s="568" t="s">
        <v>296</v>
      </c>
      <c r="N396" s="567"/>
      <c r="O396" s="605" t="s">
        <v>1685</v>
      </c>
      <c r="P396" s="567" t="s">
        <v>1691</v>
      </c>
    </row>
    <row r="397" spans="1:16" ht="12.75" customHeight="1" x14ac:dyDescent="0.2">
      <c r="A397" s="567" t="s">
        <v>1701</v>
      </c>
      <c r="B397" s="567"/>
      <c r="C397" s="567"/>
      <c r="D397" s="567"/>
      <c r="E397" s="567"/>
      <c r="F397" s="567"/>
      <c r="G397" s="568" t="s">
        <v>1702</v>
      </c>
      <c r="H397" s="568" t="s">
        <v>340</v>
      </c>
      <c r="I397" s="573"/>
      <c r="J397" s="294" t="str">
        <f>IF(ISBLANK(HLOOKUP(CaseName,CaseData,MATCH($G397,cases!$G$4:$G$2458,0),FALSE)),"",HLOOKUP(CaseName,CaseData,MATCH($G397,cases!$G$4:$G$2458,0),FALSE))</f>
        <v/>
      </c>
      <c r="K397" s="621">
        <f>(L398*L20*L16)/(L5)</f>
        <v>1.9978424699327687E-6</v>
      </c>
      <c r="L397" s="298">
        <f t="shared" si="21"/>
        <v>1.9978424699327687E-6</v>
      </c>
      <c r="M397" s="568" t="s">
        <v>340</v>
      </c>
      <c r="N397" s="567"/>
      <c r="O397" s="606"/>
      <c r="P397" s="567"/>
    </row>
    <row r="398" spans="1:16" ht="12.75" customHeight="1" x14ac:dyDescent="0.2">
      <c r="A398" s="567"/>
      <c r="B398" s="567" t="s">
        <v>1676</v>
      </c>
      <c r="C398" s="567"/>
      <c r="D398" s="567"/>
      <c r="E398" s="567"/>
      <c r="F398" s="567"/>
      <c r="G398" s="568" t="s">
        <v>1703</v>
      </c>
      <c r="H398" s="568" t="s">
        <v>873</v>
      </c>
      <c r="I398" s="573"/>
      <c r="J398" s="294" t="str">
        <f>IF(ISBLANK(HLOOKUP(CaseName,CaseData,MATCH($G398,cases!$G$4:$G$2458,0),FALSE)),"",HLOOKUP(CaseName,CaseData,MATCH($G398,cases!$G$4:$G$2458,0),FALSE))</f>
        <v/>
      </c>
      <c r="K398" s="621">
        <f>1/(L399+L400)+L368</f>
        <v>3.344304138987743E-3</v>
      </c>
      <c r="L398" s="298">
        <f t="shared" si="21"/>
        <v>3.344304138987743E-3</v>
      </c>
      <c r="M398" s="568" t="s">
        <v>873</v>
      </c>
      <c r="N398" s="567"/>
      <c r="O398" s="606"/>
      <c r="P398" s="567"/>
    </row>
    <row r="399" spans="1:16" ht="12.75" customHeight="1" x14ac:dyDescent="0.2">
      <c r="A399" s="567"/>
      <c r="B399" s="567" t="s">
        <v>1678</v>
      </c>
      <c r="C399" s="567"/>
      <c r="D399" s="567"/>
      <c r="E399" s="567"/>
      <c r="F399" s="567"/>
      <c r="G399" s="568" t="s">
        <v>1704</v>
      </c>
      <c r="H399" s="568" t="s">
        <v>1680</v>
      </c>
      <c r="I399" s="573"/>
      <c r="J399" s="294" t="str">
        <f>IF(ISBLANK(HLOOKUP(CaseName,CaseData,MATCH($G399,cases!$G$4:$G$2458,0),FALSE)),"",HLOOKUP(CaseName,CaseData,MATCH($G399,cases!$G$4:$G$2458,0),FALSE))</f>
        <v/>
      </c>
      <c r="K399" s="621">
        <v>74</v>
      </c>
      <c r="L399" s="298">
        <f t="shared" si="21"/>
        <v>74</v>
      </c>
      <c r="M399" s="568" t="s">
        <v>1680</v>
      </c>
      <c r="N399" s="567"/>
      <c r="O399" s="606"/>
      <c r="P399" s="567" t="s">
        <v>1682</v>
      </c>
    </row>
    <row r="400" spans="1:16" ht="12.75" customHeight="1" x14ac:dyDescent="0.2">
      <c r="A400" s="567"/>
      <c r="B400" s="567" t="s">
        <v>1683</v>
      </c>
      <c r="C400" s="567"/>
      <c r="D400" s="567"/>
      <c r="E400" s="567"/>
      <c r="F400" s="567"/>
      <c r="G400" s="568" t="s">
        <v>1705</v>
      </c>
      <c r="H400" s="568" t="s">
        <v>1680</v>
      </c>
      <c r="I400" s="573"/>
      <c r="J400" s="294" t="str">
        <f>IF(ISBLANK(HLOOKUP(CaseName,CaseData,MATCH($G400,cases!$G$4:$G$2458,0),FALSE)),"",HLOOKUP(CaseName,CaseData,MATCH($G400,cases!$G$4:$G$2458,0),FALSE))</f>
        <v/>
      </c>
      <c r="K400" s="621">
        <f>1/(L401*(L402+L403+L407))</f>
        <v>225.04194327537255</v>
      </c>
      <c r="L400" s="298">
        <f t="shared" si="21"/>
        <v>225.04194327537255</v>
      </c>
      <c r="M400" s="568" t="s">
        <v>1680</v>
      </c>
      <c r="N400" s="567"/>
      <c r="O400" s="606"/>
      <c r="P400" s="567"/>
    </row>
    <row r="401" spans="1:16" ht="12.75" customHeight="1" x14ac:dyDescent="0.2">
      <c r="A401" s="567"/>
      <c r="B401" s="567"/>
      <c r="C401" s="567" t="s">
        <v>1686</v>
      </c>
      <c r="D401" s="567"/>
      <c r="E401" s="567"/>
      <c r="F401" s="567"/>
      <c r="G401" s="568" t="s">
        <v>1706</v>
      </c>
      <c r="H401" s="568" t="s">
        <v>873</v>
      </c>
      <c r="I401" s="573"/>
      <c r="J401" s="294" t="str">
        <f>IF(ISBLANK(HLOOKUP(CaseName,CaseData,MATCH($G401,cases!$G$4:$G$2458,0),FALSE)),"",HLOOKUP(CaseName,CaseData,MATCH($G401,cases!$G$4:$G$2458,0),FALSE))</f>
        <v/>
      </c>
      <c r="K401" s="621">
        <v>0.19</v>
      </c>
      <c r="L401" s="298">
        <f t="shared" si="21"/>
        <v>0.19</v>
      </c>
      <c r="M401" s="568" t="s">
        <v>873</v>
      </c>
      <c r="N401" s="567"/>
      <c r="O401" s="606"/>
      <c r="P401" s="567" t="s">
        <v>1689</v>
      </c>
    </row>
    <row r="402" spans="1:16" ht="12.75" customHeight="1" x14ac:dyDescent="0.2">
      <c r="A402" s="567"/>
      <c r="B402" s="567"/>
      <c r="C402" s="567" t="s">
        <v>1648</v>
      </c>
      <c r="D402" s="567"/>
      <c r="E402" s="567"/>
      <c r="F402" s="567"/>
      <c r="G402" s="568" t="s">
        <v>1707</v>
      </c>
      <c r="H402" s="568" t="s">
        <v>296</v>
      </c>
      <c r="I402" s="573"/>
      <c r="J402" s="294" t="str">
        <f>IF(ISBLANK(HLOOKUP(CaseName,CaseData,MATCH($G402,cases!$G$4:$G$2458,0),FALSE)),"",HLOOKUP(CaseName,CaseData,MATCH($G402,cases!$G$4:$G$2458,0),FALSE))</f>
        <v/>
      </c>
      <c r="K402" s="621">
        <f>L369^(-2/3)</f>
        <v>2.338229586631968E-2</v>
      </c>
      <c r="L402" s="298">
        <f t="shared" si="21"/>
        <v>2.338229586631968E-2</v>
      </c>
      <c r="M402" s="568" t="s">
        <v>296</v>
      </c>
      <c r="N402" s="567"/>
      <c r="O402" s="606"/>
      <c r="P402" s="567" t="s">
        <v>1691</v>
      </c>
    </row>
    <row r="403" spans="1:16" ht="12.75" customHeight="1" x14ac:dyDescent="0.2">
      <c r="A403" s="567"/>
      <c r="B403" s="567"/>
      <c r="C403" s="567" t="s">
        <v>1650</v>
      </c>
      <c r="D403" s="567"/>
      <c r="E403" s="567"/>
      <c r="F403" s="567"/>
      <c r="G403" s="568" t="s">
        <v>1708</v>
      </c>
      <c r="H403" s="568" t="s">
        <v>296</v>
      </c>
      <c r="I403" s="573"/>
      <c r="J403" s="294" t="str">
        <f>IF(ISBLANK(HLOOKUP(CaseName,CaseData,MATCH($G403,cases!$G$4:$G$2458,0),FALSE)),"",HLOOKUP(CaseName,CaseData,MATCH($G403,cases!$G$4:$G$2458,0),FALSE))</f>
        <v/>
      </c>
      <c r="K403" s="621">
        <f>0.3*(L406*(RadS/(RadS+L404))+(1-L406)*(RadS/(RadS+L405)))</f>
        <v>4.4692206751095909E-6</v>
      </c>
      <c r="L403" s="298">
        <f t="shared" si="21"/>
        <v>4.4692206751095909E-6</v>
      </c>
      <c r="M403" s="568" t="s">
        <v>296</v>
      </c>
      <c r="N403" s="567"/>
      <c r="O403" s="606"/>
      <c r="P403" s="567" t="s">
        <v>1691</v>
      </c>
    </row>
    <row r="404" spans="1:16" ht="12.75" customHeight="1" x14ac:dyDescent="0.2">
      <c r="A404" s="567"/>
      <c r="B404" s="567"/>
      <c r="C404" s="567"/>
      <c r="D404" s="567" t="s">
        <v>1693</v>
      </c>
      <c r="E404" s="567"/>
      <c r="F404" s="567"/>
      <c r="G404" s="568" t="s">
        <v>1709</v>
      </c>
      <c r="H404" s="568" t="s">
        <v>820</v>
      </c>
      <c r="I404" s="573"/>
      <c r="J404" s="294" t="str">
        <f>IF(ISBLANK(HLOOKUP(CaseName,CaseData,MATCH($G404,cases!$G$4:$G$2458,0),FALSE)),"",HLOOKUP(CaseName,CaseData,MATCH($G404,cases!$G$4:$G$2458,0),FALSE))</f>
        <v/>
      </c>
      <c r="K404" s="621">
        <f>1*10^-5</f>
        <v>1.0000000000000001E-5</v>
      </c>
      <c r="L404" s="298">
        <f t="shared" si="21"/>
        <v>1.0000000000000001E-5</v>
      </c>
      <c r="M404" s="568" t="s">
        <v>820</v>
      </c>
      <c r="N404" s="567"/>
      <c r="O404" s="606"/>
      <c r="P404" s="567" t="s">
        <v>1691</v>
      </c>
    </row>
    <row r="405" spans="1:16" ht="12.75" customHeight="1" x14ac:dyDescent="0.2">
      <c r="A405" s="567"/>
      <c r="B405" s="567"/>
      <c r="C405" s="567"/>
      <c r="D405" s="567" t="s">
        <v>1695</v>
      </c>
      <c r="E405" s="567"/>
      <c r="F405" s="567"/>
      <c r="G405" s="568" t="s">
        <v>1710</v>
      </c>
      <c r="H405" s="568" t="s">
        <v>820</v>
      </c>
      <c r="I405" s="573"/>
      <c r="J405" s="294" t="str">
        <f>IF(ISBLANK(HLOOKUP(CaseName,CaseData,MATCH($G405,cases!$G$4:$G$2458,0),FALSE)),"",HLOOKUP(CaseName,CaseData,MATCH($G405,cases!$G$4:$G$2458,0),FALSE))</f>
        <v/>
      </c>
      <c r="K405" s="621">
        <f>0.0005</f>
        <v>5.0000000000000001E-4</v>
      </c>
      <c r="L405" s="298">
        <f t="shared" si="21"/>
        <v>5.0000000000000001E-4</v>
      </c>
      <c r="M405" s="568" t="s">
        <v>820</v>
      </c>
      <c r="N405" s="567"/>
      <c r="O405" s="606"/>
      <c r="P405" s="567" t="s">
        <v>1691</v>
      </c>
    </row>
    <row r="406" spans="1:16" ht="12.75" customHeight="1" x14ac:dyDescent="0.2">
      <c r="A406" s="567"/>
      <c r="B406" s="567"/>
      <c r="C406" s="567"/>
      <c r="D406" s="567" t="s">
        <v>1697</v>
      </c>
      <c r="E406" s="567"/>
      <c r="F406" s="567"/>
      <c r="G406" s="568" t="s">
        <v>1711</v>
      </c>
      <c r="H406" s="568" t="s">
        <v>296</v>
      </c>
      <c r="I406" s="573"/>
      <c r="J406" s="294" t="str">
        <f>IF(ISBLANK(HLOOKUP(CaseName,CaseData,MATCH($G406,cases!$G$4:$G$2458,0),FALSE)),"",HLOOKUP(CaseName,CaseData,MATCH($G406,cases!$G$4:$G$2458,0),FALSE))</f>
        <v/>
      </c>
      <c r="K406" s="621">
        <v>0.01</v>
      </c>
      <c r="L406" s="298">
        <f t="shared" si="21"/>
        <v>0.01</v>
      </c>
      <c r="M406" s="568" t="s">
        <v>296</v>
      </c>
      <c r="N406" s="567"/>
      <c r="O406" s="606"/>
      <c r="P406" s="567" t="s">
        <v>1691</v>
      </c>
    </row>
    <row r="407" spans="1:16" ht="12.75" customHeight="1" x14ac:dyDescent="0.2">
      <c r="A407" s="567"/>
      <c r="B407" s="567"/>
      <c r="C407" s="567" t="s">
        <v>1652</v>
      </c>
      <c r="D407" s="567"/>
      <c r="E407" s="567"/>
      <c r="F407" s="567"/>
      <c r="G407" s="568" t="s">
        <v>1712</v>
      </c>
      <c r="H407" s="568" t="s">
        <v>296</v>
      </c>
      <c r="I407" s="573"/>
      <c r="J407" s="294" t="str">
        <f>IF(ISBLANK(HLOOKUP(CaseName,CaseData,MATCH($G407,cases!$G$4:$G$2458,0),FALSE)),"",HLOOKUP(CaseName,CaseData,MATCH($G407,cases!$G$4:$G$2458,0),FALSE))</f>
        <v/>
      </c>
      <c r="K407" s="621">
        <f>(L367/(L367+0.8))^2</f>
        <v>6.8801678764196196E-7</v>
      </c>
      <c r="L407" s="298">
        <f t="shared" si="21"/>
        <v>6.8801678764196196E-7</v>
      </c>
      <c r="M407" s="568" t="s">
        <v>296</v>
      </c>
      <c r="N407" s="567"/>
      <c r="O407" s="606"/>
      <c r="P407" s="567" t="s">
        <v>1691</v>
      </c>
    </row>
    <row r="408" spans="1:16" ht="12.75" customHeight="1" x14ac:dyDescent="0.2">
      <c r="A408" s="567" t="s">
        <v>1713</v>
      </c>
      <c r="B408" s="567"/>
      <c r="C408" s="567"/>
      <c r="D408" s="567"/>
      <c r="E408" s="567"/>
      <c r="F408" s="567"/>
      <c r="G408" s="568" t="s">
        <v>1714</v>
      </c>
      <c r="H408" s="568" t="s">
        <v>340</v>
      </c>
      <c r="I408" s="573"/>
      <c r="J408" s="294" t="str">
        <f>IF(ISBLANK(HLOOKUP(CaseName,CaseData,MATCH($G408,cases!$G$4:$G$2458,0),FALSE)),"",HLOOKUP(CaseName,CaseData,MATCH($G408,cases!$G$4:$G$2458,0),FALSE))</f>
        <v/>
      </c>
      <c r="K408" s="621">
        <f>(L409*L21*L16)/(L5)</f>
        <v>3.3297374498879489E-7</v>
      </c>
      <c r="L408" s="298">
        <f t="shared" si="21"/>
        <v>3.3297374498879489E-7</v>
      </c>
      <c r="M408" s="568" t="s">
        <v>340</v>
      </c>
      <c r="N408" s="567"/>
      <c r="O408" s="606"/>
      <c r="P408" s="567"/>
    </row>
    <row r="409" spans="1:16" ht="12.75" customHeight="1" x14ac:dyDescent="0.2">
      <c r="A409" s="567"/>
      <c r="B409" s="567" t="s">
        <v>1676</v>
      </c>
      <c r="C409" s="567"/>
      <c r="D409" s="567"/>
      <c r="E409" s="567"/>
      <c r="F409" s="567"/>
      <c r="G409" s="568" t="s">
        <v>1715</v>
      </c>
      <c r="H409" s="568" t="s">
        <v>873</v>
      </c>
      <c r="I409" s="573"/>
      <c r="J409" s="294" t="str">
        <f>IF(ISBLANK(HLOOKUP(CaseName,CaseData,MATCH($G409,cases!$G$4:$G$2458,0),FALSE)),"",HLOOKUP(CaseName,CaseData,MATCH($G409,cases!$G$4:$G$2458,0),FALSE))</f>
        <v/>
      </c>
      <c r="K409" s="621">
        <f>1/(L410+L411)+L368</f>
        <v>3.344304138987743E-3</v>
      </c>
      <c r="L409" s="298">
        <f t="shared" si="21"/>
        <v>3.344304138987743E-3</v>
      </c>
      <c r="M409" s="568" t="s">
        <v>873</v>
      </c>
      <c r="N409" s="567"/>
      <c r="O409" s="606"/>
      <c r="P409" s="567"/>
    </row>
    <row r="410" spans="1:16" ht="12.75" customHeight="1" x14ac:dyDescent="0.2">
      <c r="A410" s="567"/>
      <c r="B410" s="567" t="s">
        <v>1678</v>
      </c>
      <c r="C410" s="567"/>
      <c r="D410" s="567"/>
      <c r="E410" s="567"/>
      <c r="F410" s="567"/>
      <c r="G410" s="568" t="s">
        <v>1716</v>
      </c>
      <c r="H410" s="568" t="s">
        <v>1680</v>
      </c>
      <c r="I410" s="573"/>
      <c r="J410" s="294" t="str">
        <f>IF(ISBLANK(HLOOKUP(CaseName,CaseData,MATCH($G410,cases!$G$4:$G$2458,0),FALSE)),"",HLOOKUP(CaseName,CaseData,MATCH($G410,cases!$G$4:$G$2458,0),FALSE))</f>
        <v/>
      </c>
      <c r="K410" s="621">
        <v>74</v>
      </c>
      <c r="L410" s="298">
        <f t="shared" si="21"/>
        <v>74</v>
      </c>
      <c r="M410" s="568" t="s">
        <v>1680</v>
      </c>
      <c r="N410" s="567"/>
      <c r="O410" s="606"/>
      <c r="P410" s="567" t="s">
        <v>1689</v>
      </c>
    </row>
    <row r="411" spans="1:16" ht="12.75" customHeight="1" x14ac:dyDescent="0.2">
      <c r="A411" s="567"/>
      <c r="B411" s="567" t="s">
        <v>1683</v>
      </c>
      <c r="C411" s="567"/>
      <c r="D411" s="567"/>
      <c r="E411" s="567"/>
      <c r="F411" s="567"/>
      <c r="G411" s="568" t="s">
        <v>1717</v>
      </c>
      <c r="H411" s="568" t="s">
        <v>1680</v>
      </c>
      <c r="I411" s="573"/>
      <c r="J411" s="294" t="str">
        <f>IF(ISBLANK(HLOOKUP(CaseName,CaseData,MATCH($G411,cases!$G$4:$G$2458,0),FALSE)),"",HLOOKUP(CaseName,CaseData,MATCH($G411,cases!$G$4:$G$2458,0),FALSE))</f>
        <v/>
      </c>
      <c r="K411" s="621">
        <f>1/(L412*(L413+L414+L418))</f>
        <v>225.04194327537255</v>
      </c>
      <c r="L411" s="298">
        <f t="shared" si="21"/>
        <v>225.04194327537255</v>
      </c>
      <c r="M411" s="568" t="s">
        <v>1680</v>
      </c>
      <c r="N411" s="567"/>
      <c r="O411" s="606"/>
      <c r="P411" s="567"/>
    </row>
    <row r="412" spans="1:16" ht="12.75" customHeight="1" x14ac:dyDescent="0.2">
      <c r="A412" s="567"/>
      <c r="B412" s="567"/>
      <c r="C412" s="567" t="s">
        <v>1686</v>
      </c>
      <c r="D412" s="567"/>
      <c r="E412" s="567"/>
      <c r="F412" s="567"/>
      <c r="G412" s="568" t="s">
        <v>1718</v>
      </c>
      <c r="H412" s="568" t="s">
        <v>873</v>
      </c>
      <c r="I412" s="573"/>
      <c r="J412" s="294" t="str">
        <f>IF(ISBLANK(HLOOKUP(CaseName,CaseData,MATCH($G412,cases!$G$4:$G$2458,0),FALSE)),"",HLOOKUP(CaseName,CaseData,MATCH($G412,cases!$G$4:$G$2458,0),FALSE))</f>
        <v/>
      </c>
      <c r="K412" s="621">
        <v>0.19</v>
      </c>
      <c r="L412" s="298">
        <f t="shared" si="21"/>
        <v>0.19</v>
      </c>
      <c r="M412" s="568" t="s">
        <v>873</v>
      </c>
      <c r="N412" s="567"/>
      <c r="O412" s="606"/>
      <c r="P412" s="567" t="s">
        <v>1689</v>
      </c>
    </row>
    <row r="413" spans="1:16" ht="12.75" customHeight="1" x14ac:dyDescent="0.2">
      <c r="A413" s="567"/>
      <c r="B413" s="567"/>
      <c r="C413" s="567" t="s">
        <v>1648</v>
      </c>
      <c r="D413" s="567"/>
      <c r="E413" s="567"/>
      <c r="F413" s="567"/>
      <c r="G413" s="568" t="s">
        <v>1719</v>
      </c>
      <c r="H413" s="568" t="s">
        <v>296</v>
      </c>
      <c r="I413" s="573"/>
      <c r="J413" s="294" t="str">
        <f>IF(ISBLANK(HLOOKUP(CaseName,CaseData,MATCH($G413,cases!$G$4:$G$2458,0),FALSE)),"",HLOOKUP(CaseName,CaseData,MATCH($G413,cases!$G$4:$G$2458,0),FALSE))</f>
        <v/>
      </c>
      <c r="K413" s="621">
        <f>L369^(-2/3)</f>
        <v>2.338229586631968E-2</v>
      </c>
      <c r="L413" s="298">
        <f t="shared" si="21"/>
        <v>2.338229586631968E-2</v>
      </c>
      <c r="M413" s="568" t="s">
        <v>296</v>
      </c>
      <c r="N413" s="567"/>
      <c r="O413" s="606"/>
      <c r="P413" s="567" t="s">
        <v>1691</v>
      </c>
    </row>
    <row r="414" spans="1:16" ht="12.75" customHeight="1" x14ac:dyDescent="0.2">
      <c r="A414" s="567"/>
      <c r="B414" s="567"/>
      <c r="C414" s="567" t="s">
        <v>1650</v>
      </c>
      <c r="D414" s="567"/>
      <c r="E414" s="567"/>
      <c r="F414" s="567"/>
      <c r="G414" s="568" t="s">
        <v>1720</v>
      </c>
      <c r="H414" s="568" t="s">
        <v>296</v>
      </c>
      <c r="I414" s="573"/>
      <c r="J414" s="294" t="str">
        <f>IF(ISBLANK(HLOOKUP(CaseName,CaseData,MATCH($G414,cases!$G$4:$G$2458,0),FALSE)),"",HLOOKUP(CaseName,CaseData,MATCH($G414,cases!$G$4:$G$2458,0),FALSE))</f>
        <v/>
      </c>
      <c r="K414" s="621">
        <f>0.3*(L417*(RadS/(RadS+L415))+(1-L417)*(RadS/(RadS+L416)))</f>
        <v>4.4692206751095909E-6</v>
      </c>
      <c r="L414" s="298">
        <f t="shared" si="21"/>
        <v>4.4692206751095909E-6</v>
      </c>
      <c r="M414" s="568" t="s">
        <v>296</v>
      </c>
      <c r="N414" s="567"/>
      <c r="O414" s="606"/>
      <c r="P414" s="567" t="s">
        <v>1691</v>
      </c>
    </row>
    <row r="415" spans="1:16" ht="12.75" customHeight="1" x14ac:dyDescent="0.2">
      <c r="A415" s="567"/>
      <c r="B415" s="567"/>
      <c r="C415" s="567"/>
      <c r="D415" s="567" t="s">
        <v>1693</v>
      </c>
      <c r="E415" s="567"/>
      <c r="F415" s="567"/>
      <c r="G415" s="568" t="s">
        <v>1721</v>
      </c>
      <c r="H415" s="568" t="s">
        <v>820</v>
      </c>
      <c r="I415" s="573"/>
      <c r="J415" s="294" t="str">
        <f>IF(ISBLANK(HLOOKUP(CaseName,CaseData,MATCH($G415,cases!$G$4:$G$2458,0),FALSE)),"",HLOOKUP(CaseName,CaseData,MATCH($G415,cases!$G$4:$G$2458,0),FALSE))</f>
        <v/>
      </c>
      <c r="K415" s="621">
        <f>1*10^-5</f>
        <v>1.0000000000000001E-5</v>
      </c>
      <c r="L415" s="298">
        <f t="shared" si="21"/>
        <v>1.0000000000000001E-5</v>
      </c>
      <c r="M415" s="568" t="s">
        <v>820</v>
      </c>
      <c r="N415" s="567"/>
      <c r="O415" s="606"/>
      <c r="P415" s="567" t="s">
        <v>1691</v>
      </c>
    </row>
    <row r="416" spans="1:16" ht="12.75" customHeight="1" x14ac:dyDescent="0.2">
      <c r="A416" s="567"/>
      <c r="B416" s="567"/>
      <c r="C416" s="567"/>
      <c r="D416" s="567" t="s">
        <v>1695</v>
      </c>
      <c r="E416" s="567"/>
      <c r="F416" s="567"/>
      <c r="G416" s="568" t="s">
        <v>1722</v>
      </c>
      <c r="H416" s="568" t="s">
        <v>820</v>
      </c>
      <c r="I416" s="573"/>
      <c r="J416" s="294" t="str">
        <f>IF(ISBLANK(HLOOKUP(CaseName,CaseData,MATCH($G416,cases!$G$4:$G$2458,0),FALSE)),"",HLOOKUP(CaseName,CaseData,MATCH($G416,cases!$G$4:$G$2458,0),FALSE))</f>
        <v/>
      </c>
      <c r="K416" s="621">
        <f>0.0005</f>
        <v>5.0000000000000001E-4</v>
      </c>
      <c r="L416" s="298">
        <f t="shared" si="21"/>
        <v>5.0000000000000001E-4</v>
      </c>
      <c r="M416" s="568" t="s">
        <v>820</v>
      </c>
      <c r="N416" s="567"/>
      <c r="O416" s="606"/>
      <c r="P416" s="567" t="s">
        <v>1691</v>
      </c>
    </row>
    <row r="417" spans="1:16" ht="12.75" customHeight="1" x14ac:dyDescent="0.2">
      <c r="A417" s="567"/>
      <c r="B417" s="567"/>
      <c r="C417" s="567"/>
      <c r="D417" s="567" t="s">
        <v>1697</v>
      </c>
      <c r="E417" s="567"/>
      <c r="F417" s="567"/>
      <c r="G417" s="568" t="s">
        <v>1723</v>
      </c>
      <c r="H417" s="568" t="s">
        <v>296</v>
      </c>
      <c r="I417" s="573"/>
      <c r="J417" s="294" t="str">
        <f>IF(ISBLANK(HLOOKUP(CaseName,CaseData,MATCH($G417,cases!$G$4:$G$2458,0),FALSE)),"",HLOOKUP(CaseName,CaseData,MATCH($G417,cases!$G$4:$G$2458,0),FALSE))</f>
        <v/>
      </c>
      <c r="K417" s="621">
        <v>0.01</v>
      </c>
      <c r="L417" s="298">
        <f t="shared" si="21"/>
        <v>0.01</v>
      </c>
      <c r="M417" s="568" t="s">
        <v>296</v>
      </c>
      <c r="N417" s="567"/>
      <c r="O417" s="606"/>
      <c r="P417" s="567" t="s">
        <v>1691</v>
      </c>
    </row>
    <row r="418" spans="1:16" ht="12.75" customHeight="1" x14ac:dyDescent="0.2">
      <c r="A418" s="567"/>
      <c r="B418" s="567"/>
      <c r="C418" s="567" t="s">
        <v>1652</v>
      </c>
      <c r="D418" s="567"/>
      <c r="E418" s="567"/>
      <c r="F418" s="567"/>
      <c r="G418" s="568" t="s">
        <v>1724</v>
      </c>
      <c r="H418" s="568" t="s">
        <v>296</v>
      </c>
      <c r="I418" s="573"/>
      <c r="J418" s="294" t="str">
        <f>IF(ISBLANK(HLOOKUP(CaseName,CaseData,MATCH($G418,cases!$G$4:$G$2458,0),FALSE)),"",HLOOKUP(CaseName,CaseData,MATCH($G418,cases!$G$4:$G$2458,0),FALSE))</f>
        <v/>
      </c>
      <c r="K418" s="621">
        <f>(L367/(L367+0.8))^2</f>
        <v>6.8801678764196196E-7</v>
      </c>
      <c r="L418" s="298">
        <f t="shared" si="21"/>
        <v>6.8801678764196196E-7</v>
      </c>
      <c r="M418" s="568" t="s">
        <v>296</v>
      </c>
      <c r="N418" s="567"/>
      <c r="O418" s="606"/>
      <c r="P418" s="567" t="s">
        <v>1691</v>
      </c>
    </row>
    <row r="419" spans="1:16" ht="12.75" customHeight="1" x14ac:dyDescent="0.2">
      <c r="A419" s="567" t="s">
        <v>1725</v>
      </c>
      <c r="B419" s="567"/>
      <c r="C419" s="567"/>
      <c r="D419" s="567"/>
      <c r="E419" s="567"/>
      <c r="F419" s="567"/>
      <c r="G419" s="568" t="s">
        <v>1726</v>
      </c>
      <c r="H419" s="568" t="s">
        <v>340</v>
      </c>
      <c r="I419" s="720"/>
      <c r="J419" s="294" t="str">
        <f>IF(ISBLANK(HLOOKUP(CaseName,CaseData,MATCH($G419,cases!$G$4:$G$2458,0),FALSE)),"",HLOOKUP(CaseName,CaseData,MATCH($G419,cases!$G$4:$G$2458,0),FALSE))</f>
        <v/>
      </c>
      <c r="K419" s="621">
        <f>(L420*L19*L16)/(L5)</f>
        <v>7.3498691768682326E-8</v>
      </c>
      <c r="L419" s="298">
        <f t="shared" si="21"/>
        <v>7.3498691768682326E-8</v>
      </c>
      <c r="M419" s="568" t="s">
        <v>340</v>
      </c>
      <c r="N419" s="585"/>
      <c r="O419" s="606"/>
      <c r="P419" s="567"/>
    </row>
    <row r="420" spans="1:16" ht="12.75" customHeight="1" x14ac:dyDescent="0.2">
      <c r="A420" s="567"/>
      <c r="B420" s="567" t="s">
        <v>1676</v>
      </c>
      <c r="C420" s="567"/>
      <c r="D420" s="567"/>
      <c r="E420" s="567"/>
      <c r="F420" s="567"/>
      <c r="G420" s="568" t="s">
        <v>1727</v>
      </c>
      <c r="H420" s="568" t="s">
        <v>873</v>
      </c>
      <c r="I420" s="720"/>
      <c r="J420" s="294" t="str">
        <f>IF(ISBLANK(HLOOKUP(CaseName,CaseData,MATCH($G420,cases!$G$4:$G$2458,0),FALSE)),"",HLOOKUP(CaseName,CaseData,MATCH($G420,cases!$G$4:$G$2458,0),FALSE))</f>
        <v/>
      </c>
      <c r="K420" s="621">
        <f>1/(L388+L421)+L379</f>
        <v>2.7340825336606499E-4</v>
      </c>
      <c r="L420" s="298">
        <f t="shared" si="21"/>
        <v>2.7340825336606499E-4</v>
      </c>
      <c r="M420" s="568" t="s">
        <v>873</v>
      </c>
      <c r="N420" s="585"/>
      <c r="O420" s="606"/>
      <c r="P420" s="567"/>
    </row>
    <row r="421" spans="1:16" ht="12.75" customHeight="1" x14ac:dyDescent="0.2">
      <c r="A421" s="567"/>
      <c r="B421" s="567" t="s">
        <v>1683</v>
      </c>
      <c r="C421" s="567"/>
      <c r="D421" s="567"/>
      <c r="E421" s="567"/>
      <c r="F421" s="567"/>
      <c r="G421" s="568" t="s">
        <v>1728</v>
      </c>
      <c r="H421" s="568" t="s">
        <v>1680</v>
      </c>
      <c r="I421" s="573"/>
      <c r="J421" s="294" t="str">
        <f>IF(ISBLANK(HLOOKUP(CaseName,CaseData,MATCH($G421,cases!$G$4:$G$2458,0),FALSE)),"",HLOOKUP(CaseName,CaseData,MATCH($G421,cases!$G$4:$G$2458,0),FALSE))</f>
        <v/>
      </c>
      <c r="K421" s="621">
        <f>1/(L390*(L422+L423+L424))</f>
        <v>3588.6265360861535</v>
      </c>
      <c r="L421" s="298">
        <f t="shared" si="21"/>
        <v>3588.6265360861535</v>
      </c>
      <c r="M421" s="568" t="s">
        <v>1680</v>
      </c>
      <c r="N421" s="585"/>
      <c r="O421" s="606"/>
      <c r="P421" s="567"/>
    </row>
    <row r="422" spans="1:16" ht="12.75" customHeight="1" x14ac:dyDescent="0.2">
      <c r="A422" s="567"/>
      <c r="B422" s="567"/>
      <c r="C422" s="567" t="s">
        <v>1648</v>
      </c>
      <c r="D422" s="567"/>
      <c r="E422" s="567"/>
      <c r="F422" s="567"/>
      <c r="G422" s="568" t="s">
        <v>1729</v>
      </c>
      <c r="H422" s="568" t="s">
        <v>296</v>
      </c>
      <c r="I422" s="573"/>
      <c r="J422" s="294" t="str">
        <f>IF(ISBLANK(HLOOKUP(CaseName,CaseData,MATCH($G422,cases!$G$4:$G$2458,0),FALSE)),"",HLOOKUP(CaseName,CaseData,MATCH($G422,cases!$G$4:$G$2458,0),FALSE))</f>
        <v/>
      </c>
      <c r="K422" s="621">
        <f>L380^(-2/3)</f>
        <v>1.4075475589468128E-3</v>
      </c>
      <c r="L422" s="298">
        <f t="shared" si="21"/>
        <v>1.4075475589468128E-3</v>
      </c>
      <c r="M422" s="568" t="s">
        <v>296</v>
      </c>
      <c r="N422" s="585"/>
      <c r="O422" s="606"/>
      <c r="P422" s="567" t="s">
        <v>1691</v>
      </c>
    </row>
    <row r="423" spans="1:16" ht="12.75" customHeight="1" x14ac:dyDescent="0.2">
      <c r="A423" s="567"/>
      <c r="B423" s="567"/>
      <c r="C423" s="567" t="s">
        <v>1650</v>
      </c>
      <c r="D423" s="567"/>
      <c r="E423" s="567"/>
      <c r="F423" s="567"/>
      <c r="G423" s="568" t="s">
        <v>1730</v>
      </c>
      <c r="H423" s="568" t="s">
        <v>296</v>
      </c>
      <c r="I423" s="573"/>
      <c r="J423" s="294" t="str">
        <f>IF(ISBLANK(HLOOKUP(CaseName,CaseData,MATCH($G423,cases!$G$4:$G$2458,0),FALSE)),"",HLOOKUP(CaseName,CaseData,MATCH($G423,cases!$G$4:$G$2458,0),FALSE))</f>
        <v/>
      </c>
      <c r="K423" s="621">
        <f>0.3*(L395*(L361/(L361+L393))+(1-L395)*(L361/(L361+L394)))</f>
        <v>4.0499237605021189E-5</v>
      </c>
      <c r="L423" s="298">
        <f t="shared" si="21"/>
        <v>4.0499237605021189E-5</v>
      </c>
      <c r="M423" s="568" t="s">
        <v>296</v>
      </c>
      <c r="N423" s="585"/>
      <c r="O423" s="606"/>
      <c r="P423" s="567" t="s">
        <v>1691</v>
      </c>
    </row>
    <row r="424" spans="1:16" ht="12.75" customHeight="1" x14ac:dyDescent="0.2">
      <c r="A424" s="567"/>
      <c r="B424" s="567"/>
      <c r="C424" s="567" t="s">
        <v>1652</v>
      </c>
      <c r="D424" s="567"/>
      <c r="E424" s="567"/>
      <c r="F424" s="567"/>
      <c r="G424" s="568" t="s">
        <v>1731</v>
      </c>
      <c r="H424" s="568" t="s">
        <v>296</v>
      </c>
      <c r="I424" s="573"/>
      <c r="J424" s="294" t="str">
        <f>IF(ISBLANK(HLOOKUP(CaseName,CaseData,MATCH($G424,cases!$G$4:$G$2458,0),FALSE)),"",HLOOKUP(CaseName,CaseData,MATCH($G424,cases!$G$4:$G$2458,0),FALSE))</f>
        <v/>
      </c>
      <c r="K424" s="621">
        <f>(L378/(L378+0.8))^2</f>
        <v>1.857499922772198E-5</v>
      </c>
      <c r="L424" s="298">
        <f t="shared" si="21"/>
        <v>1.857499922772198E-5</v>
      </c>
      <c r="M424" s="568" t="s">
        <v>296</v>
      </c>
      <c r="N424" s="585"/>
      <c r="O424" s="606"/>
      <c r="P424" s="567" t="s">
        <v>1691</v>
      </c>
    </row>
    <row r="425" spans="1:16" ht="12.75" customHeight="1" x14ac:dyDescent="0.2">
      <c r="A425" s="567" t="s">
        <v>1732</v>
      </c>
      <c r="B425" s="567"/>
      <c r="C425" s="567"/>
      <c r="D425" s="567"/>
      <c r="E425" s="567"/>
      <c r="F425" s="567"/>
      <c r="G425" s="568" t="s">
        <v>1733</v>
      </c>
      <c r="H425" s="568" t="s">
        <v>340</v>
      </c>
      <c r="I425" s="573"/>
      <c r="J425" s="294" t="str">
        <f>IF(ISBLANK(HLOOKUP(CaseName,CaseData,MATCH($G425,cases!$G$4:$G$2458,0),FALSE)),"",HLOOKUP(CaseName,CaseData,MATCH($G425,cases!$G$4:$G$2458,0),FALSE))</f>
        <v/>
      </c>
      <c r="K425" s="621">
        <f>(L426*L20*L16)/(L5)</f>
        <v>1.6333042615262735E-7</v>
      </c>
      <c r="L425" s="298">
        <f t="shared" ref="L425:L456" si="22">IF(ISBLANK(I425),IF(ISNUMBER(J425)=FALSE,K425,J425),I425)</f>
        <v>1.6333042615262735E-7</v>
      </c>
      <c r="M425" s="568" t="s">
        <v>340</v>
      </c>
      <c r="N425" s="567"/>
      <c r="O425" s="606"/>
      <c r="P425" s="585"/>
    </row>
    <row r="426" spans="1:16" ht="12.75" customHeight="1" x14ac:dyDescent="0.2">
      <c r="A426" s="567"/>
      <c r="B426" s="567" t="s">
        <v>1676</v>
      </c>
      <c r="C426" s="567"/>
      <c r="D426" s="567"/>
      <c r="E426" s="567"/>
      <c r="F426" s="567"/>
      <c r="G426" s="568" t="s">
        <v>1734</v>
      </c>
      <c r="H426" s="568" t="s">
        <v>873</v>
      </c>
      <c r="I426" s="573"/>
      <c r="J426" s="294" t="str">
        <f>IF(ISBLANK(HLOOKUP(CaseName,CaseData,MATCH($G426,cases!$G$4:$G$2458,0),FALSE)),"",HLOOKUP(CaseName,CaseData,MATCH($G426,cases!$G$4:$G$2458,0),FALSE))</f>
        <v/>
      </c>
      <c r="K426" s="621">
        <f>1/(L399+L427)+L379</f>
        <v>2.7340825336606499E-4</v>
      </c>
      <c r="L426" s="298">
        <f t="shared" si="22"/>
        <v>2.7340825336606499E-4</v>
      </c>
      <c r="M426" s="568" t="s">
        <v>873</v>
      </c>
      <c r="N426" s="567"/>
      <c r="O426" s="606"/>
      <c r="P426" s="585"/>
    </row>
    <row r="427" spans="1:16" ht="12.75" customHeight="1" x14ac:dyDescent="0.2">
      <c r="A427" s="567"/>
      <c r="B427" s="567" t="s">
        <v>1683</v>
      </c>
      <c r="C427" s="567"/>
      <c r="D427" s="567"/>
      <c r="E427" s="567"/>
      <c r="F427" s="567"/>
      <c r="G427" s="568" t="s">
        <v>1735</v>
      </c>
      <c r="H427" s="568" t="s">
        <v>1680</v>
      </c>
      <c r="I427" s="573"/>
      <c r="J427" s="294" t="str">
        <f>IF(ISBLANK(HLOOKUP(CaseName,CaseData,MATCH($G427,cases!$G$4:$G$2458,0),FALSE)),"",HLOOKUP(CaseName,CaseData,MATCH($G427,cases!$G$4:$G$2458,0),FALSE))</f>
        <v/>
      </c>
      <c r="K427" s="621">
        <f>1/(L401*(L428+L429+L430))</f>
        <v>3588.6265360861535</v>
      </c>
      <c r="L427" s="298">
        <f t="shared" si="22"/>
        <v>3588.6265360861535</v>
      </c>
      <c r="M427" s="568" t="s">
        <v>1680</v>
      </c>
      <c r="N427" s="567"/>
      <c r="O427" s="606"/>
      <c r="P427" s="585"/>
    </row>
    <row r="428" spans="1:16" ht="12.75" customHeight="1" x14ac:dyDescent="0.2">
      <c r="A428" s="567"/>
      <c r="B428" s="567"/>
      <c r="C428" s="567" t="s">
        <v>1648</v>
      </c>
      <c r="D428" s="567"/>
      <c r="E428" s="567"/>
      <c r="F428" s="567"/>
      <c r="G428" s="568" t="s">
        <v>1736</v>
      </c>
      <c r="H428" s="568" t="s">
        <v>296</v>
      </c>
      <c r="I428" s="573"/>
      <c r="J428" s="294" t="str">
        <f>IF(ISBLANK(HLOOKUP(CaseName,CaseData,MATCH($G428,cases!$G$4:$G$2458,0),FALSE)),"",HLOOKUP(CaseName,CaseData,MATCH($G428,cases!$G$4:$G$2458,0),FALSE))</f>
        <v/>
      </c>
      <c r="K428" s="621">
        <f>L380^(-2/3)</f>
        <v>1.4075475589468128E-3</v>
      </c>
      <c r="L428" s="298">
        <f t="shared" si="22"/>
        <v>1.4075475589468128E-3</v>
      </c>
      <c r="M428" s="568" t="s">
        <v>296</v>
      </c>
      <c r="N428" s="585"/>
      <c r="O428" s="606"/>
      <c r="P428" s="567" t="s">
        <v>1691</v>
      </c>
    </row>
    <row r="429" spans="1:16" ht="12.75" customHeight="1" x14ac:dyDescent="0.2">
      <c r="A429" s="567"/>
      <c r="B429" s="567"/>
      <c r="C429" s="567" t="s">
        <v>1650</v>
      </c>
      <c r="D429" s="567"/>
      <c r="E429" s="567"/>
      <c r="F429" s="567"/>
      <c r="G429" s="568" t="s">
        <v>1737</v>
      </c>
      <c r="H429" s="568" t="s">
        <v>296</v>
      </c>
      <c r="I429" s="573"/>
      <c r="J429" s="294" t="str">
        <f>IF(ISBLANK(HLOOKUP(CaseName,CaseData,MATCH($G429,cases!$G$4:$G$2458,0),FALSE)),"",HLOOKUP(CaseName,CaseData,MATCH($G429,cases!$G$4:$G$2458,0),FALSE))</f>
        <v/>
      </c>
      <c r="K429" s="621">
        <f>0.3*(L406*(L361/(L361+L404))+(1-L406)*(L361/(L361+L405)))</f>
        <v>4.0499237605021189E-5</v>
      </c>
      <c r="L429" s="298">
        <f t="shared" si="22"/>
        <v>4.0499237605021189E-5</v>
      </c>
      <c r="M429" s="568" t="s">
        <v>296</v>
      </c>
      <c r="N429" s="585"/>
      <c r="O429" s="606"/>
      <c r="P429" s="567" t="s">
        <v>1691</v>
      </c>
    </row>
    <row r="430" spans="1:16" ht="12.75" customHeight="1" x14ac:dyDescent="0.2">
      <c r="A430" s="567"/>
      <c r="B430" s="567"/>
      <c r="C430" s="567" t="s">
        <v>1652</v>
      </c>
      <c r="D430" s="567"/>
      <c r="E430" s="567"/>
      <c r="F430" s="567"/>
      <c r="G430" s="568" t="s">
        <v>1738</v>
      </c>
      <c r="H430" s="568" t="s">
        <v>296</v>
      </c>
      <c r="I430" s="573"/>
      <c r="J430" s="294" t="str">
        <f>IF(ISBLANK(HLOOKUP(CaseName,CaseData,MATCH($G430,cases!$G$4:$G$2458,0),FALSE)),"",HLOOKUP(CaseName,CaseData,MATCH($G430,cases!$G$4:$G$2458,0),FALSE))</f>
        <v/>
      </c>
      <c r="K430" s="621">
        <f>(L378/(L378+0.8))^2</f>
        <v>1.857499922772198E-5</v>
      </c>
      <c r="L430" s="298">
        <f t="shared" si="22"/>
        <v>1.857499922772198E-5</v>
      </c>
      <c r="M430" s="568" t="s">
        <v>296</v>
      </c>
      <c r="N430" s="585"/>
      <c r="O430" s="606"/>
      <c r="P430" s="567" t="s">
        <v>1691</v>
      </c>
    </row>
    <row r="431" spans="1:16" ht="12.75" customHeight="1" x14ac:dyDescent="0.2">
      <c r="A431" s="567" t="s">
        <v>1739</v>
      </c>
      <c r="B431" s="567"/>
      <c r="C431" s="567"/>
      <c r="D431" s="567"/>
      <c r="E431" s="567"/>
      <c r="F431" s="567"/>
      <c r="G431" s="568" t="s">
        <v>1740</v>
      </c>
      <c r="H431" s="568" t="s">
        <v>340</v>
      </c>
      <c r="I431" s="573"/>
      <c r="J431" s="294" t="str">
        <f>IF(ISBLANK(HLOOKUP(CaseName,CaseData,MATCH($G431,cases!$G$4:$G$2458,0),FALSE)),"",HLOOKUP(CaseName,CaseData,MATCH($G431,cases!$G$4:$G$2458,0),FALSE))</f>
        <v/>
      </c>
      <c r="K431" s="621">
        <f>(L432*L21*L16)/(L5)</f>
        <v>2.7221737692104566E-8</v>
      </c>
      <c r="L431" s="298">
        <f t="shared" si="22"/>
        <v>2.7221737692104566E-8</v>
      </c>
      <c r="M431" s="568" t="s">
        <v>340</v>
      </c>
      <c r="N431" s="585"/>
      <c r="O431" s="606"/>
      <c r="P431" s="567"/>
    </row>
    <row r="432" spans="1:16" ht="12.75" customHeight="1" x14ac:dyDescent="0.2">
      <c r="A432" s="567"/>
      <c r="B432" s="567" t="s">
        <v>1676</v>
      </c>
      <c r="C432" s="567"/>
      <c r="D432" s="567"/>
      <c r="E432" s="567"/>
      <c r="F432" s="567"/>
      <c r="G432" s="568" t="s">
        <v>1741</v>
      </c>
      <c r="H432" s="568" t="s">
        <v>873</v>
      </c>
      <c r="I432" s="573"/>
      <c r="J432" s="294" t="str">
        <f>IF(ISBLANK(HLOOKUP(CaseName,CaseData,MATCH($G432,cases!$G$4:$G$2458,0),FALSE)),"",HLOOKUP(CaseName,CaseData,MATCH($G432,cases!$G$4:$G$2458,0),FALSE))</f>
        <v/>
      </c>
      <c r="K432" s="621">
        <f>1/(L410+L433)+L379</f>
        <v>2.7340825336606499E-4</v>
      </c>
      <c r="L432" s="298">
        <f t="shared" si="22"/>
        <v>2.7340825336606499E-4</v>
      </c>
      <c r="M432" s="568" t="s">
        <v>873</v>
      </c>
      <c r="N432" s="585"/>
      <c r="O432" s="606"/>
      <c r="P432" s="567"/>
    </row>
    <row r="433" spans="1:16" ht="12.75" customHeight="1" x14ac:dyDescent="0.2">
      <c r="A433" s="567"/>
      <c r="B433" s="567" t="s">
        <v>1683</v>
      </c>
      <c r="C433" s="567"/>
      <c r="D433" s="567"/>
      <c r="E433" s="567"/>
      <c r="F433" s="567"/>
      <c r="G433" s="568" t="s">
        <v>1742</v>
      </c>
      <c r="H433" s="568" t="s">
        <v>1680</v>
      </c>
      <c r="I433" s="573"/>
      <c r="J433" s="294" t="str">
        <f>IF(ISBLANK(HLOOKUP(CaseName,CaseData,MATCH($G433,cases!$G$4:$G$2458,0),FALSE)),"",HLOOKUP(CaseName,CaseData,MATCH($G433,cases!$G$4:$G$2458,0),FALSE))</f>
        <v/>
      </c>
      <c r="K433" s="621">
        <f>1/(L412*(L434+L435+L436))</f>
        <v>3588.6265360861535</v>
      </c>
      <c r="L433" s="298">
        <f t="shared" si="22"/>
        <v>3588.6265360861535</v>
      </c>
      <c r="M433" s="568" t="s">
        <v>1680</v>
      </c>
      <c r="N433" s="585"/>
      <c r="O433" s="606"/>
      <c r="P433" s="567"/>
    </row>
    <row r="434" spans="1:16" ht="12.75" customHeight="1" x14ac:dyDescent="0.2">
      <c r="A434" s="567"/>
      <c r="B434" s="567"/>
      <c r="C434" s="567" t="s">
        <v>1648</v>
      </c>
      <c r="D434" s="567"/>
      <c r="E434" s="567"/>
      <c r="F434" s="567"/>
      <c r="G434" s="568" t="s">
        <v>1743</v>
      </c>
      <c r="H434" s="568" t="s">
        <v>296</v>
      </c>
      <c r="I434" s="573"/>
      <c r="J434" s="294" t="str">
        <f>IF(ISBLANK(HLOOKUP(CaseName,CaseData,MATCH($G434,cases!$G$4:$G$2458,0),FALSE)),"",HLOOKUP(CaseName,CaseData,MATCH($G434,cases!$G$4:$G$2458,0),FALSE))</f>
        <v/>
      </c>
      <c r="K434" s="621">
        <f>L380^(-2/3)</f>
        <v>1.4075475589468128E-3</v>
      </c>
      <c r="L434" s="298">
        <f t="shared" si="22"/>
        <v>1.4075475589468128E-3</v>
      </c>
      <c r="M434" s="568" t="s">
        <v>296</v>
      </c>
      <c r="N434" s="585"/>
      <c r="O434" s="606"/>
      <c r="P434" s="567" t="s">
        <v>1691</v>
      </c>
    </row>
    <row r="435" spans="1:16" ht="12.75" customHeight="1" x14ac:dyDescent="0.2">
      <c r="A435" s="567"/>
      <c r="B435" s="567"/>
      <c r="C435" s="567" t="s">
        <v>1650</v>
      </c>
      <c r="D435" s="567"/>
      <c r="E435" s="567"/>
      <c r="F435" s="567"/>
      <c r="G435" s="568" t="s">
        <v>1744</v>
      </c>
      <c r="H435" s="568" t="s">
        <v>296</v>
      </c>
      <c r="I435" s="573"/>
      <c r="J435" s="294" t="str">
        <f>IF(ISBLANK(HLOOKUP(CaseName,CaseData,MATCH($G435,cases!$G$4:$G$2458,0),FALSE)),"",HLOOKUP(CaseName,CaseData,MATCH($G435,cases!$G$4:$G$2458,0),FALSE))</f>
        <v/>
      </c>
      <c r="K435" s="621">
        <f>0.3*(L417*(L361/(L361+L415))+(1-L417)*(L361/(L361+L416)))</f>
        <v>4.0499237605021189E-5</v>
      </c>
      <c r="L435" s="298">
        <f t="shared" si="22"/>
        <v>4.0499237605021189E-5</v>
      </c>
      <c r="M435" s="568" t="s">
        <v>296</v>
      </c>
      <c r="N435" s="585"/>
      <c r="O435" s="606"/>
      <c r="P435" s="567" t="s">
        <v>1691</v>
      </c>
    </row>
    <row r="436" spans="1:16" ht="12.75" customHeight="1" x14ac:dyDescent="0.2">
      <c r="A436" s="567"/>
      <c r="B436" s="567"/>
      <c r="C436" s="567" t="s">
        <v>1652</v>
      </c>
      <c r="D436" s="567"/>
      <c r="E436" s="567"/>
      <c r="F436" s="567"/>
      <c r="G436" s="568" t="s">
        <v>1745</v>
      </c>
      <c r="H436" s="568" t="s">
        <v>296</v>
      </c>
      <c r="I436" s="573"/>
      <c r="J436" s="294" t="str">
        <f>IF(ISBLANK(HLOOKUP(CaseName,CaseData,MATCH($G436,cases!$G$4:$G$2458,0),FALSE)),"",HLOOKUP(CaseName,CaseData,MATCH($G436,cases!$G$4:$G$2458,0),FALSE))</f>
        <v/>
      </c>
      <c r="K436" s="621">
        <f>(L378/(L378+0.8))^2</f>
        <v>1.857499922772198E-5</v>
      </c>
      <c r="L436" s="298">
        <f t="shared" si="22"/>
        <v>1.857499922772198E-5</v>
      </c>
      <c r="M436" s="568" t="s">
        <v>296</v>
      </c>
      <c r="N436" s="585"/>
      <c r="O436" s="606"/>
      <c r="P436" s="567" t="s">
        <v>1691</v>
      </c>
    </row>
    <row r="437" spans="1:16" ht="12.75" customHeight="1" x14ac:dyDescent="0.2">
      <c r="A437" s="567" t="s">
        <v>1746</v>
      </c>
      <c r="B437" s="567"/>
      <c r="C437" s="567"/>
      <c r="D437" s="567"/>
      <c r="E437" s="567"/>
      <c r="F437" s="567"/>
      <c r="G437" s="568" t="s">
        <v>1747</v>
      </c>
      <c r="H437" s="568" t="s">
        <v>340</v>
      </c>
      <c r="I437" s="573"/>
      <c r="J437" s="294" t="str">
        <f>IF(ISBLANK(HLOOKUP(CaseName,CaseData,MATCH($G437,cases!$G$4:$G$2458,0),FALSE)),"",HLOOKUP(CaseName,CaseData,MATCH($G437,cases!$G$4:$G$2458,0),FALSE))</f>
        <v/>
      </c>
      <c r="K437" s="621">
        <f>(L130*L19*L16)/(L5)</f>
        <v>2.6882396878588473E-7</v>
      </c>
      <c r="L437" s="298">
        <f t="shared" si="22"/>
        <v>2.6882396878588473E-7</v>
      </c>
      <c r="M437" s="568" t="s">
        <v>340</v>
      </c>
      <c r="N437" s="567" t="s">
        <v>1748</v>
      </c>
      <c r="O437" s="606"/>
      <c r="P437" s="585"/>
    </row>
    <row r="438" spans="1:16" ht="12.75" customHeight="1" x14ac:dyDescent="0.2">
      <c r="A438" s="567" t="s">
        <v>1749</v>
      </c>
      <c r="B438" s="567"/>
      <c r="C438" s="567"/>
      <c r="D438" s="567"/>
      <c r="E438" s="567"/>
      <c r="F438" s="567"/>
      <c r="G438" s="568" t="s">
        <v>1750</v>
      </c>
      <c r="H438" s="568" t="s">
        <v>340</v>
      </c>
      <c r="I438" s="573"/>
      <c r="J438" s="294" t="str">
        <f>IF(ISBLANK(HLOOKUP(CaseName,CaseData,MATCH($G438,cases!$G$4:$G$2458,0),FALSE)),"",HLOOKUP(CaseName,CaseData,MATCH($G438,cases!$G$4:$G$2458,0),FALSE))</f>
        <v/>
      </c>
      <c r="K438" s="621">
        <f>(L130*L20*L16)/(L5)</f>
        <v>5.9738659730196605E-7</v>
      </c>
      <c r="L438" s="298">
        <f t="shared" si="22"/>
        <v>5.9738659730196605E-7</v>
      </c>
      <c r="M438" s="568" t="s">
        <v>340</v>
      </c>
      <c r="N438" s="567" t="s">
        <v>1748</v>
      </c>
      <c r="O438" s="606"/>
      <c r="P438" s="585"/>
    </row>
    <row r="439" spans="1:16" ht="12.75" customHeight="1" x14ac:dyDescent="0.2">
      <c r="A439" s="567" t="s">
        <v>1751</v>
      </c>
      <c r="B439" s="567"/>
      <c r="C439" s="567"/>
      <c r="D439" s="567"/>
      <c r="E439" s="567"/>
      <c r="F439" s="567"/>
      <c r="G439" s="568" t="s">
        <v>1752</v>
      </c>
      <c r="H439" s="568" t="s">
        <v>340</v>
      </c>
      <c r="I439" s="573"/>
      <c r="J439" s="294" t="str">
        <f>IF(ISBLANK(HLOOKUP(CaseName,CaseData,MATCH($G439,cases!$G$4:$G$2458,0),FALSE)),"",HLOOKUP(CaseName,CaseData,MATCH($G439,cases!$G$4:$G$2458,0),FALSE))</f>
        <v/>
      </c>
      <c r="K439" s="621">
        <f>(L130*L21*L16)/(L5)</f>
        <v>9.9564432883661004E-8</v>
      </c>
      <c r="L439" s="298">
        <f t="shared" si="22"/>
        <v>9.9564432883661004E-8</v>
      </c>
      <c r="M439" s="568" t="s">
        <v>340</v>
      </c>
      <c r="N439" s="567" t="s">
        <v>1748</v>
      </c>
      <c r="O439" s="606"/>
      <c r="P439" s="585"/>
    </row>
    <row r="440" spans="1:16" ht="12.75" customHeight="1" x14ac:dyDescent="0.2">
      <c r="A440" s="567" t="s">
        <v>1753</v>
      </c>
      <c r="B440" s="567"/>
      <c r="C440" s="567"/>
      <c r="D440" s="567"/>
      <c r="E440" s="567"/>
      <c r="F440" s="567"/>
      <c r="G440" s="568" t="s">
        <v>1754</v>
      </c>
      <c r="H440" s="568" t="s">
        <v>340</v>
      </c>
      <c r="I440" s="573"/>
      <c r="J440" s="294" t="str">
        <f>IF(ISBLANK(HLOOKUP(CaseName,CaseData,MATCH($G440,cases!$G$4:$G$2458,0),FALSE)),"",HLOOKUP(CaseName,CaseData,MATCH($G440,cases!$G$4:$G$2458,0),FALSE))</f>
        <v/>
      </c>
      <c r="K440" s="621">
        <f>(L441*L17*L16)/(L5)</f>
        <v>1.5363717163615614E-8</v>
      </c>
      <c r="L440" s="298">
        <f t="shared" si="22"/>
        <v>1.5363717163615614E-8</v>
      </c>
      <c r="M440" s="568" t="s">
        <v>340</v>
      </c>
      <c r="N440" s="567"/>
      <c r="O440" s="606"/>
      <c r="P440" s="585"/>
    </row>
    <row r="441" spans="1:16" ht="12.75" customHeight="1" x14ac:dyDescent="0.2">
      <c r="A441" s="567"/>
      <c r="B441" s="567" t="s">
        <v>1676</v>
      </c>
      <c r="C441" s="567"/>
      <c r="D441" s="567"/>
      <c r="E441" s="567"/>
      <c r="F441" s="567"/>
      <c r="G441" s="568" t="s">
        <v>1755</v>
      </c>
      <c r="H441" s="568" t="s">
        <v>873</v>
      </c>
      <c r="I441" s="573"/>
      <c r="J441" s="294" t="str">
        <f>IF(ISBLANK(HLOOKUP(CaseName,CaseData,MATCH($G441,cases!$G$4:$G$2458,0),FALSE)),"",HLOOKUP(CaseName,CaseData,MATCH($G441,cases!$G$4:$G$2458,0),FALSE))</f>
        <v/>
      </c>
      <c r="K441" s="621">
        <f>1/(L442+L443)+L368</f>
        <v>6.1723716868122194E-3</v>
      </c>
      <c r="L441" s="298">
        <f t="shared" si="22"/>
        <v>6.1723716868122194E-3</v>
      </c>
      <c r="M441" s="568" t="s">
        <v>873</v>
      </c>
      <c r="N441" s="567"/>
      <c r="O441" s="606"/>
      <c r="P441" s="585"/>
    </row>
    <row r="442" spans="1:16" ht="12.75" customHeight="1" x14ac:dyDescent="0.2">
      <c r="A442" s="567"/>
      <c r="B442" s="567"/>
      <c r="C442" s="567" t="s">
        <v>1756</v>
      </c>
      <c r="D442" s="567"/>
      <c r="E442" s="567"/>
      <c r="F442" s="567"/>
      <c r="G442" s="567" t="s">
        <v>1757</v>
      </c>
      <c r="H442" s="568" t="s">
        <v>1680</v>
      </c>
      <c r="I442" s="573"/>
      <c r="J442" s="294" t="str">
        <f>IF(ISBLANK(HLOOKUP(CaseName,CaseData,MATCH($G442,cases!$G$4:$G$2458,0),FALSE)),"",HLOOKUP(CaseName,CaseData,MATCH($G442,cases!$G$4:$G$2458,0),FALSE))</f>
        <v/>
      </c>
      <c r="K442" s="621">
        <v>74</v>
      </c>
      <c r="L442" s="298">
        <f t="shared" si="22"/>
        <v>74</v>
      </c>
      <c r="M442" s="568" t="s">
        <v>1680</v>
      </c>
      <c r="N442" s="585"/>
      <c r="O442" s="606"/>
      <c r="P442" s="567" t="s">
        <v>1682</v>
      </c>
    </row>
    <row r="443" spans="1:16" ht="12.75" customHeight="1" x14ac:dyDescent="0.2">
      <c r="A443" s="567"/>
      <c r="B443" s="567"/>
      <c r="C443" s="567" t="s">
        <v>1758</v>
      </c>
      <c r="D443" s="567"/>
      <c r="E443" s="567"/>
      <c r="F443" s="567"/>
      <c r="G443" s="568" t="s">
        <v>1759</v>
      </c>
      <c r="H443" s="568" t="s">
        <v>1680</v>
      </c>
      <c r="I443" s="573"/>
      <c r="J443" s="294" t="str">
        <f>IF(ISBLANK(HLOOKUP(CaseName,CaseData,MATCH($G443,cases!$G$4:$G$2458,0),FALSE)),"",HLOOKUP(CaseName,CaseData,MATCH($G443,cases!$G$4:$G$2458,0),FALSE))</f>
        <v/>
      </c>
      <c r="K443" s="621">
        <f>1/(L444*(L445+L446))</f>
        <v>88.019933355846689</v>
      </c>
      <c r="L443" s="298">
        <f t="shared" si="22"/>
        <v>88.019933355846689</v>
      </c>
      <c r="M443" s="568" t="s">
        <v>1680</v>
      </c>
      <c r="N443" s="585"/>
      <c r="O443" s="606"/>
      <c r="P443" s="567"/>
    </row>
    <row r="444" spans="1:16" ht="12.75" customHeight="1" x14ac:dyDescent="0.2">
      <c r="A444" s="567"/>
      <c r="B444" s="567"/>
      <c r="C444" s="567" t="s">
        <v>1760</v>
      </c>
      <c r="D444" s="567"/>
      <c r="E444" s="567"/>
      <c r="F444" s="567"/>
      <c r="G444" s="568" t="s">
        <v>1761</v>
      </c>
      <c r="H444" s="568" t="s">
        <v>873</v>
      </c>
      <c r="I444" s="573"/>
      <c r="J444" s="294" t="str">
        <f>IF(ISBLANK(HLOOKUP(CaseName,CaseData,MATCH($G444,cases!$G$4:$G$2458,0),FALSE)),"",HLOOKUP(CaseName,CaseData,MATCH($G444,cases!$G$4:$G$2458,0),FALSE))</f>
        <v/>
      </c>
      <c r="K444" s="621">
        <v>0.19</v>
      </c>
      <c r="L444" s="298">
        <f t="shared" si="22"/>
        <v>0.19</v>
      </c>
      <c r="M444" s="568" t="s">
        <v>873</v>
      </c>
      <c r="N444" s="585"/>
      <c r="O444" s="605" t="s">
        <v>1688</v>
      </c>
      <c r="P444" s="567" t="s">
        <v>1689</v>
      </c>
    </row>
    <row r="445" spans="1:16" ht="12.75" customHeight="1" x14ac:dyDescent="0.2">
      <c r="A445" s="567"/>
      <c r="B445" s="567"/>
      <c r="C445" s="567"/>
      <c r="D445" s="567" t="s">
        <v>1648</v>
      </c>
      <c r="E445" s="567"/>
      <c r="F445" s="567"/>
      <c r="G445" s="568" t="s">
        <v>1762</v>
      </c>
      <c r="H445" s="568" t="s">
        <v>296</v>
      </c>
      <c r="I445" s="573"/>
      <c r="J445" s="294" t="str">
        <f>IF(ISBLANK(HLOOKUP(CaseName,CaseData,MATCH($G445,cases!$G$4:$G$2458,0),FALSE)),"",HLOOKUP(CaseName,CaseData,MATCH($G445,cases!$G$4:$G$2458,0),FALSE))</f>
        <v/>
      </c>
      <c r="K445" s="621">
        <f>L369^-(1/2)</f>
        <v>5.9795067936020407E-2</v>
      </c>
      <c r="L445" s="298">
        <f t="shared" si="22"/>
        <v>5.9795067936020407E-2</v>
      </c>
      <c r="M445" s="568" t="s">
        <v>296</v>
      </c>
      <c r="N445" s="567"/>
      <c r="O445" s="606"/>
      <c r="P445" s="567"/>
    </row>
    <row r="446" spans="1:16" ht="12.75" customHeight="1" x14ac:dyDescent="0.2">
      <c r="A446" s="567"/>
      <c r="B446" s="567"/>
      <c r="C446" s="567"/>
      <c r="D446" s="567" t="s">
        <v>1652</v>
      </c>
      <c r="E446" s="567"/>
      <c r="F446" s="567"/>
      <c r="G446" s="568" t="s">
        <v>1763</v>
      </c>
      <c r="H446" s="568" t="s">
        <v>296</v>
      </c>
      <c r="I446" s="573"/>
      <c r="J446" s="294" t="str">
        <f>IF(ISBLANK(HLOOKUP(CaseName,CaseData,MATCH($G446,cases!$G$4:$G$2458,0),FALSE)),"",HLOOKUP(CaseName,CaseData,MATCH($G446,cases!$G$4:$G$2458,0),FALSE))</f>
        <v/>
      </c>
      <c r="K446" s="621">
        <f>10^(-3/L367)</f>
        <v>0</v>
      </c>
      <c r="L446" s="298">
        <f t="shared" si="22"/>
        <v>0</v>
      </c>
      <c r="M446" s="568" t="s">
        <v>296</v>
      </c>
      <c r="N446" s="567"/>
      <c r="O446" s="606"/>
      <c r="P446" s="567"/>
    </row>
    <row r="447" spans="1:16" ht="12.75" customHeight="1" x14ac:dyDescent="0.2">
      <c r="A447" s="567" t="s">
        <v>1764</v>
      </c>
      <c r="B447" s="567"/>
      <c r="C447" s="567"/>
      <c r="D447" s="567"/>
      <c r="E447" s="567"/>
      <c r="F447" s="567"/>
      <c r="G447" s="568" t="s">
        <v>1765</v>
      </c>
      <c r="H447" s="568" t="s">
        <v>340</v>
      </c>
      <c r="I447" s="573"/>
      <c r="J447" s="294" t="str">
        <f>IF(ISBLANK(HLOOKUP(CaseName,CaseData,MATCH($G447,cases!$G$4:$G$2458,0),FALSE)),"",HLOOKUP(CaseName,CaseData,MATCH($G447,cases!$G$4:$G$2458,0),FALSE))</f>
        <v/>
      </c>
      <c r="K447" s="621">
        <f>(L448*L18*L16)/(L5)</f>
        <v>1.6900088879977177E-7</v>
      </c>
      <c r="L447" s="298">
        <f t="shared" si="22"/>
        <v>1.6900088879977177E-7</v>
      </c>
      <c r="M447" s="568" t="s">
        <v>340</v>
      </c>
      <c r="N447" s="567"/>
      <c r="O447" s="606"/>
      <c r="P447" s="567"/>
    </row>
    <row r="448" spans="1:16" ht="12.75" customHeight="1" x14ac:dyDescent="0.2">
      <c r="A448" s="567"/>
      <c r="B448" s="567" t="s">
        <v>1676</v>
      </c>
      <c r="C448" s="567"/>
      <c r="D448" s="567"/>
      <c r="E448" s="567"/>
      <c r="F448" s="567"/>
      <c r="G448" s="568" t="s">
        <v>1766</v>
      </c>
      <c r="H448" s="568" t="s">
        <v>873</v>
      </c>
      <c r="I448" s="573"/>
      <c r="J448" s="294" t="str">
        <f>IF(ISBLANK(HLOOKUP(CaseName,CaseData,MATCH($G448,cases!$G$4:$G$2458,0),FALSE)),"",HLOOKUP(CaseName,CaseData,MATCH($G448,cases!$G$4:$G$2458,0),FALSE))</f>
        <v/>
      </c>
      <c r="K448" s="621">
        <f>1/(L449+L443)+L368</f>
        <v>6.1723716868122194E-3</v>
      </c>
      <c r="L448" s="298">
        <f t="shared" si="22"/>
        <v>6.1723716868122194E-3</v>
      </c>
      <c r="M448" s="568" t="s">
        <v>873</v>
      </c>
      <c r="N448" s="567"/>
      <c r="O448" s="606"/>
      <c r="P448" s="567"/>
    </row>
    <row r="449" spans="1:16" ht="12.75" customHeight="1" x14ac:dyDescent="0.2">
      <c r="A449" s="567"/>
      <c r="B449" s="567"/>
      <c r="C449" s="567" t="s">
        <v>1767</v>
      </c>
      <c r="D449" s="567"/>
      <c r="E449" s="567"/>
      <c r="F449" s="567"/>
      <c r="G449" s="567" t="s">
        <v>1768</v>
      </c>
      <c r="H449" s="568" t="s">
        <v>1680</v>
      </c>
      <c r="I449" s="573"/>
      <c r="J449" s="294" t="str">
        <f>IF(ISBLANK(HLOOKUP(CaseName,CaseData,MATCH($G449,cases!$G$4:$G$2458,0),FALSE)),"",HLOOKUP(CaseName,CaseData,MATCH($G449,cases!$G$4:$G$2458,0),FALSE))</f>
        <v/>
      </c>
      <c r="K449" s="621">
        <v>74</v>
      </c>
      <c r="L449" s="298">
        <f t="shared" si="22"/>
        <v>74</v>
      </c>
      <c r="M449" s="568" t="s">
        <v>1680</v>
      </c>
      <c r="N449" s="585"/>
      <c r="O449" s="605" t="s">
        <v>1681</v>
      </c>
      <c r="P449" s="567" t="s">
        <v>1682</v>
      </c>
    </row>
    <row r="450" spans="1:16" ht="12.75" customHeight="1" x14ac:dyDescent="0.2">
      <c r="A450" s="567" t="s">
        <v>1769</v>
      </c>
      <c r="B450" s="567"/>
      <c r="C450" s="567"/>
      <c r="D450" s="567"/>
      <c r="E450" s="567"/>
      <c r="F450" s="567"/>
      <c r="G450" s="568" t="s">
        <v>1770</v>
      </c>
      <c r="H450" s="568" t="s">
        <v>340</v>
      </c>
      <c r="I450" s="573"/>
      <c r="J450" s="294" t="str">
        <f>IF(ISBLANK(HLOOKUP(CaseName,CaseData,MATCH($G450,cases!$G$4:$G$2458,0),FALSE)),"",HLOOKUP(CaseName,CaseData,MATCH($G450,cases!$G$4:$G$2458,0),FALSE))</f>
        <v/>
      </c>
      <c r="K450" s="621">
        <f>(L451*L22*L16)/(L5)</f>
        <v>1.9533027402937933E-8</v>
      </c>
      <c r="L450" s="298">
        <f t="shared" si="22"/>
        <v>1.9533027402937933E-8</v>
      </c>
      <c r="M450" s="568" t="s">
        <v>340</v>
      </c>
      <c r="N450" s="585"/>
      <c r="O450" s="606"/>
      <c r="P450" s="567"/>
    </row>
    <row r="451" spans="1:16" ht="12.75" customHeight="1" x14ac:dyDescent="0.2">
      <c r="A451" s="567"/>
      <c r="B451" s="567" t="s">
        <v>1676</v>
      </c>
      <c r="C451" s="567"/>
      <c r="D451" s="567"/>
      <c r="E451" s="567"/>
      <c r="F451" s="567"/>
      <c r="G451" s="568" t="s">
        <v>1771</v>
      </c>
      <c r="H451" s="568" t="s">
        <v>873</v>
      </c>
      <c r="I451" s="573"/>
      <c r="J451" s="294" t="str">
        <f>IF(ISBLANK(HLOOKUP(CaseName,CaseData,MATCH($G451,cases!$G$4:$G$2458,0),FALSE)),"",HLOOKUP(CaseName,CaseData,MATCH($G451,cases!$G$4:$G$2458,0),FALSE))</f>
        <v/>
      </c>
      <c r="K451" s="621">
        <f>1/(L452+L443)+L368</f>
        <v>4.4841957556333257E-3</v>
      </c>
      <c r="L451" s="298">
        <f t="shared" si="22"/>
        <v>4.4841957556333257E-3</v>
      </c>
      <c r="M451" s="568" t="s">
        <v>873</v>
      </c>
      <c r="N451" s="585"/>
      <c r="O451" s="606"/>
      <c r="P451" s="567"/>
    </row>
    <row r="452" spans="1:16" ht="12.75" customHeight="1" x14ac:dyDescent="0.2">
      <c r="A452" s="567"/>
      <c r="B452" s="567"/>
      <c r="C452" s="567" t="s">
        <v>1772</v>
      </c>
      <c r="D452" s="567"/>
      <c r="E452" s="567"/>
      <c r="F452" s="567"/>
      <c r="G452" s="567" t="s">
        <v>1773</v>
      </c>
      <c r="H452" s="568" t="s">
        <v>1680</v>
      </c>
      <c r="I452" s="573"/>
      <c r="J452" s="294" t="str">
        <f>IF(ISBLANK(HLOOKUP(CaseName,CaseData,MATCH($G452,cases!$G$4:$G$2458,0),FALSE)),"",HLOOKUP(CaseName,CaseData,MATCH($G452,cases!$G$4:$G$2458,0),FALSE))</f>
        <v/>
      </c>
      <c r="K452" s="621">
        <v>135</v>
      </c>
      <c r="L452" s="298">
        <f t="shared" si="22"/>
        <v>135</v>
      </c>
      <c r="M452" s="568" t="s">
        <v>1680</v>
      </c>
      <c r="N452" s="585"/>
      <c r="O452" s="605" t="s">
        <v>1681</v>
      </c>
      <c r="P452" s="567" t="s">
        <v>1682</v>
      </c>
    </row>
    <row r="453" spans="1:16" ht="12.75" customHeight="1" x14ac:dyDescent="0.2">
      <c r="A453" s="567" t="s">
        <v>1774</v>
      </c>
      <c r="B453" s="567"/>
      <c r="C453" s="567"/>
      <c r="D453" s="567"/>
      <c r="E453" s="567"/>
      <c r="F453" s="567"/>
      <c r="G453" s="567" t="s">
        <v>1775</v>
      </c>
      <c r="H453" s="568" t="s">
        <v>340</v>
      </c>
      <c r="I453" s="573"/>
      <c r="J453" s="294" t="str">
        <f>IF(ISBLANK(HLOOKUP(CaseName,CaseData,MATCH($G453,cases!$G$4:$G$2458,0),FALSE)),"",HLOOKUP(CaseName,CaseData,MATCH($G453,cases!$G$4:$G$2458,0),FALSE))</f>
        <v/>
      </c>
      <c r="K453" s="621">
        <f>L454*L17*L16/L5</f>
        <v>3.1190868658211615E-9</v>
      </c>
      <c r="L453" s="298">
        <f t="shared" si="22"/>
        <v>3.1190868658211615E-9</v>
      </c>
      <c r="M453" s="568" t="s">
        <v>340</v>
      </c>
      <c r="N453" s="578"/>
      <c r="O453" s="606"/>
      <c r="P453" s="585"/>
    </row>
    <row r="454" spans="1:16" ht="12.75" customHeight="1" x14ac:dyDescent="0.2">
      <c r="A454" s="567"/>
      <c r="B454" s="567" t="s">
        <v>1676</v>
      </c>
      <c r="C454" s="567"/>
      <c r="D454" s="567"/>
      <c r="E454" s="567"/>
      <c r="F454" s="567"/>
      <c r="G454" s="568" t="s">
        <v>1776</v>
      </c>
      <c r="H454" s="568" t="s">
        <v>873</v>
      </c>
      <c r="I454" s="573"/>
      <c r="J454" s="294" t="str">
        <f>IF(ISBLANK(HLOOKUP(CaseName,CaseData,MATCH($G454,cases!$G$4:$G$2458,0),FALSE)),"",HLOOKUP(CaseName,CaseData,MATCH($G454,cases!$G$4:$G$2458,0),FALSE))</f>
        <v/>
      </c>
      <c r="K454" s="621">
        <f>1/(L442+L455)+L379</f>
        <v>1.2530928065309229E-3</v>
      </c>
      <c r="L454" s="298">
        <f t="shared" si="22"/>
        <v>1.2530928065309229E-3</v>
      </c>
      <c r="M454" s="568" t="s">
        <v>873</v>
      </c>
      <c r="N454" s="578"/>
      <c r="O454" s="606"/>
      <c r="P454" s="585"/>
    </row>
    <row r="455" spans="1:16" s="386" customFormat="1" ht="12.75" customHeight="1" x14ac:dyDescent="0.2">
      <c r="A455" s="567"/>
      <c r="B455" s="567"/>
      <c r="C455" s="567" t="s">
        <v>1777</v>
      </c>
      <c r="D455" s="567"/>
      <c r="E455" s="567"/>
      <c r="F455" s="567"/>
      <c r="G455" s="568" t="s">
        <v>1778</v>
      </c>
      <c r="H455" s="568" t="s">
        <v>1680</v>
      </c>
      <c r="I455" s="573"/>
      <c r="J455" s="294" t="str">
        <f>IF(ISBLANK(HLOOKUP(CaseName,CaseData,MATCH($G455,cases!$G$4:$G$2458,0),FALSE)),"",HLOOKUP(CaseName,CaseData,MATCH($G455,cases!$G$4:$G$2458,0),FALSE))</f>
        <v/>
      </c>
      <c r="K455" s="621">
        <f>1/(L444*(L456+L457))</f>
        <v>724.26765512559666</v>
      </c>
      <c r="L455" s="298">
        <f t="shared" si="22"/>
        <v>724.26765512559666</v>
      </c>
      <c r="M455" s="568" t="s">
        <v>1680</v>
      </c>
      <c r="N455" s="578"/>
      <c r="O455" s="607"/>
      <c r="P455" s="578"/>
    </row>
    <row r="456" spans="1:16" s="386" customFormat="1" ht="12.75" customHeight="1" x14ac:dyDescent="0.2">
      <c r="A456" s="567"/>
      <c r="B456" s="567"/>
      <c r="C456" s="567"/>
      <c r="D456" s="567" t="s">
        <v>1648</v>
      </c>
      <c r="E456" s="567"/>
      <c r="F456" s="567"/>
      <c r="G456" s="568" t="s">
        <v>1779</v>
      </c>
      <c r="H456" s="568" t="s">
        <v>296</v>
      </c>
      <c r="I456" s="573"/>
      <c r="J456" s="294" t="str">
        <f>IF(ISBLANK(HLOOKUP(CaseName,CaseData,MATCH($G456,cases!$G$4:$G$2458,0),FALSE)),"",HLOOKUP(CaseName,CaseData,MATCH($G456,cases!$G$4:$G$2458,0),FALSE))</f>
        <v/>
      </c>
      <c r="K456" s="621">
        <f>L380^-(1/2)</f>
        <v>7.2668686189281051E-3</v>
      </c>
      <c r="L456" s="298">
        <f t="shared" si="22"/>
        <v>7.2668686189281051E-3</v>
      </c>
      <c r="M456" s="568" t="s">
        <v>296</v>
      </c>
      <c r="N456" s="578"/>
      <c r="O456" s="607"/>
      <c r="P456" s="578"/>
    </row>
    <row r="457" spans="1:16" s="386" customFormat="1" ht="12.75" customHeight="1" x14ac:dyDescent="0.2">
      <c r="A457" s="567"/>
      <c r="B457" s="567"/>
      <c r="C457" s="567"/>
      <c r="D457" s="567" t="s">
        <v>1652</v>
      </c>
      <c r="E457" s="567"/>
      <c r="F457" s="567"/>
      <c r="G457" s="568" t="s">
        <v>1780</v>
      </c>
      <c r="H457" s="568" t="s">
        <v>296</v>
      </c>
      <c r="I457" s="573"/>
      <c r="J457" s="294" t="str">
        <f>IF(ISBLANK(HLOOKUP(CaseName,CaseData,MATCH($G457,cases!$G$4:$G$2458,0),FALSE)),"",HLOOKUP(CaseName,CaseData,MATCH($G457,cases!$G$4:$G$2458,0),FALSE))</f>
        <v/>
      </c>
      <c r="K457" s="621">
        <f>10^(-3/L378)</f>
        <v>0</v>
      </c>
      <c r="L457" s="298">
        <f t="shared" ref="L457:L488" si="23">IF(ISBLANK(I457),IF(ISNUMBER(J457)=FALSE,K457,J457),I457)</f>
        <v>0</v>
      </c>
      <c r="M457" s="568" t="s">
        <v>296</v>
      </c>
      <c r="N457" s="578"/>
      <c r="O457" s="607"/>
      <c r="P457" s="578"/>
    </row>
    <row r="458" spans="1:16" ht="12.75" customHeight="1" x14ac:dyDescent="0.2">
      <c r="A458" s="567" t="s">
        <v>1781</v>
      </c>
      <c r="B458" s="567"/>
      <c r="C458" s="567"/>
      <c r="D458" s="567"/>
      <c r="E458" s="567"/>
      <c r="F458" s="567"/>
      <c r="G458" s="567" t="s">
        <v>1782</v>
      </c>
      <c r="H458" s="568" t="s">
        <v>340</v>
      </c>
      <c r="I458" s="573"/>
      <c r="J458" s="294" t="str">
        <f>IF(ISBLANK(HLOOKUP(CaseName,CaseData,MATCH($G458,cases!$G$4:$G$2458,0),FALSE)),"",HLOOKUP(CaseName,CaseData,MATCH($G458,cases!$G$4:$G$2458,0),FALSE))</f>
        <v/>
      </c>
      <c r="K458" s="621">
        <f>L459*L18*L16/L5</f>
        <v>3.4309955524032778E-8</v>
      </c>
      <c r="L458" s="298">
        <f t="shared" si="23"/>
        <v>3.4309955524032778E-8</v>
      </c>
      <c r="M458" s="568" t="s">
        <v>340</v>
      </c>
      <c r="N458" s="578"/>
      <c r="O458" s="606"/>
      <c r="P458" s="585"/>
    </row>
    <row r="459" spans="1:16" ht="12.75" customHeight="1" x14ac:dyDescent="0.2">
      <c r="A459" s="567"/>
      <c r="B459" s="567" t="s">
        <v>1676</v>
      </c>
      <c r="C459" s="567"/>
      <c r="D459" s="567"/>
      <c r="E459" s="567"/>
      <c r="F459" s="567"/>
      <c r="G459" s="568" t="s">
        <v>1783</v>
      </c>
      <c r="H459" s="568" t="s">
        <v>873</v>
      </c>
      <c r="I459" s="573"/>
      <c r="J459" s="294" t="str">
        <f>IF(ISBLANK(HLOOKUP(CaseName,CaseData,MATCH($G459,cases!$G$4:$G$2458,0),FALSE)),"",HLOOKUP(CaseName,CaseData,MATCH($G459,cases!$G$4:$G$2458,0),FALSE))</f>
        <v/>
      </c>
      <c r="K459" s="621">
        <f>1/(L449+L455)+L379</f>
        <v>1.2530928065309229E-3</v>
      </c>
      <c r="L459" s="298">
        <f t="shared" si="23"/>
        <v>1.2530928065309229E-3</v>
      </c>
      <c r="M459" s="568" t="s">
        <v>873</v>
      </c>
      <c r="N459" s="578"/>
      <c r="O459" s="606"/>
      <c r="P459" s="585"/>
    </row>
    <row r="460" spans="1:16" ht="12.75" customHeight="1" x14ac:dyDescent="0.2">
      <c r="A460" s="567" t="s">
        <v>1784</v>
      </c>
      <c r="B460" s="567"/>
      <c r="C460" s="567"/>
      <c r="D460" s="567"/>
      <c r="E460" s="567"/>
      <c r="F460" s="567"/>
      <c r="G460" s="567" t="s">
        <v>1785</v>
      </c>
      <c r="H460" s="568" t="s">
        <v>340</v>
      </c>
      <c r="I460" s="573"/>
      <c r="J460" s="294" t="str">
        <f>IF(ISBLANK(HLOOKUP(CaseName,CaseData,MATCH($G460,cases!$G$4:$G$2458,0),FALSE)),"",HLOOKUP(CaseName,CaseData,MATCH($G460,cases!$G$4:$G$2458,0),FALSE))</f>
        <v/>
      </c>
      <c r="K460" s="621">
        <f>L461*L22*L16/L5</f>
        <v>5.0710555599854488E-9</v>
      </c>
      <c r="L460" s="298">
        <f t="shared" si="23"/>
        <v>5.0710555599854488E-9</v>
      </c>
      <c r="M460" s="568" t="s">
        <v>340</v>
      </c>
      <c r="N460" s="578"/>
      <c r="O460" s="606"/>
      <c r="P460" s="585"/>
    </row>
    <row r="461" spans="1:16" ht="12.75" customHeight="1" x14ac:dyDescent="0.2">
      <c r="A461" s="567"/>
      <c r="B461" s="567" t="s">
        <v>1676</v>
      </c>
      <c r="C461" s="567"/>
      <c r="D461" s="567"/>
      <c r="E461" s="567"/>
      <c r="F461" s="567"/>
      <c r="G461" s="568" t="s">
        <v>1786</v>
      </c>
      <c r="H461" s="568" t="s">
        <v>873</v>
      </c>
      <c r="I461" s="573"/>
      <c r="J461" s="294" t="str">
        <f>IF(ISBLANK(HLOOKUP(CaseName,CaseData,MATCH($G461,cases!$G$4:$G$2458,0),FALSE)),"",HLOOKUP(CaseName,CaseData,MATCH($G461,cases!$G$4:$G$2458,0),FALSE))</f>
        <v/>
      </c>
      <c r="K461" s="621">
        <f>1/(L452+L455)+L379</f>
        <v>1.1641618756571908E-3</v>
      </c>
      <c r="L461" s="298">
        <f t="shared" si="23"/>
        <v>1.1641618756571908E-3</v>
      </c>
      <c r="M461" s="568" t="s">
        <v>873</v>
      </c>
      <c r="N461" s="578"/>
      <c r="O461" s="606"/>
      <c r="P461" s="585"/>
    </row>
    <row r="462" spans="1:16" ht="12.75" customHeight="1" x14ac:dyDescent="0.2">
      <c r="A462" s="567" t="s">
        <v>1787</v>
      </c>
      <c r="B462" s="567"/>
      <c r="C462" s="567"/>
      <c r="D462" s="567"/>
      <c r="E462" s="567"/>
      <c r="F462" s="567"/>
      <c r="G462" s="567" t="s">
        <v>1788</v>
      </c>
      <c r="H462" s="568" t="s">
        <v>340</v>
      </c>
      <c r="I462" s="573"/>
      <c r="J462" s="294" t="str">
        <f>IF(ISBLANK(HLOOKUP(CaseName,CaseData,MATCH($G462,cases!$G$4:$G$2458,0),FALSE)),"",HLOOKUP(CaseName,CaseData,MATCH($G462,cases!$G$4:$G$2458,0),FALSE))</f>
        <v/>
      </c>
      <c r="K462" s="621">
        <f>(L130*L17*L16)/L5</f>
        <v>2.4891108220915248E-9</v>
      </c>
      <c r="L462" s="298">
        <f t="shared" si="23"/>
        <v>2.4891108220915248E-9</v>
      </c>
      <c r="M462" s="568" t="s">
        <v>340</v>
      </c>
      <c r="N462" s="567" t="s">
        <v>1748</v>
      </c>
      <c r="O462" s="606"/>
      <c r="P462" s="585"/>
    </row>
    <row r="463" spans="1:16" ht="12.75" customHeight="1" x14ac:dyDescent="0.2">
      <c r="A463" s="567" t="s">
        <v>1789</v>
      </c>
      <c r="B463" s="567"/>
      <c r="C463" s="567"/>
      <c r="D463" s="567"/>
      <c r="E463" s="567"/>
      <c r="F463" s="567"/>
      <c r="G463" s="567" t="s">
        <v>1790</v>
      </c>
      <c r="H463" s="568" t="s">
        <v>340</v>
      </c>
      <c r="I463" s="573"/>
      <c r="J463" s="294" t="str">
        <f>IF(ISBLANK(HLOOKUP(CaseName,CaseData,MATCH($G463,cases!$G$4:$G$2458,0),FALSE)),"",HLOOKUP(CaseName,CaseData,MATCH($G463,cases!$G$4:$G$2458,0),FALSE))</f>
        <v/>
      </c>
      <c r="K463" s="621">
        <f>(L130*L18*L16)/L5</f>
        <v>2.7380219043006776E-8</v>
      </c>
      <c r="L463" s="298">
        <f t="shared" si="23"/>
        <v>2.7380219043006776E-8</v>
      </c>
      <c r="M463" s="568" t="s">
        <v>340</v>
      </c>
      <c r="N463" s="567" t="s">
        <v>1748</v>
      </c>
      <c r="O463" s="606"/>
      <c r="P463" s="585"/>
    </row>
    <row r="464" spans="1:16" ht="12.75" customHeight="1" x14ac:dyDescent="0.2">
      <c r="A464" s="567" t="s">
        <v>1791</v>
      </c>
      <c r="B464" s="567"/>
      <c r="C464" s="567"/>
      <c r="D464" s="567"/>
      <c r="E464" s="567"/>
      <c r="F464" s="567"/>
      <c r="G464" s="567" t="s">
        <v>1792</v>
      </c>
      <c r="H464" s="568" t="s">
        <v>340</v>
      </c>
      <c r="I464" s="573"/>
      <c r="J464" s="294" t="str">
        <f>IF(ISBLANK(HLOOKUP(CaseName,CaseData,MATCH($G464,cases!$G$4:$G$2458,0),FALSE)),"",HLOOKUP(CaseName,CaseData,MATCH($G464,cases!$G$4:$G$2458,0),FALSE))</f>
        <v/>
      </c>
      <c r="K464" s="621">
        <f>(L130*L22*L16)/L5</f>
        <v>4.3559711634799455E-9</v>
      </c>
      <c r="L464" s="298">
        <f t="shared" si="23"/>
        <v>4.3559711634799455E-9</v>
      </c>
      <c r="M464" s="568" t="s">
        <v>340</v>
      </c>
      <c r="N464" s="567" t="s">
        <v>1748</v>
      </c>
      <c r="O464" s="606"/>
      <c r="P464" s="585"/>
    </row>
    <row r="465" spans="1:16" s="635" customFormat="1" ht="12.75" customHeight="1" x14ac:dyDescent="0.2">
      <c r="A465" s="583" t="s">
        <v>1793</v>
      </c>
      <c r="B465" s="583"/>
      <c r="C465" s="583"/>
      <c r="D465" s="583"/>
      <c r="E465" s="583"/>
      <c r="F465" s="583"/>
      <c r="G465" s="582" t="s">
        <v>1794</v>
      </c>
      <c r="H465" s="582" t="s">
        <v>340</v>
      </c>
      <c r="I465" s="573"/>
      <c r="J465" s="294" t="str">
        <f>IF(ISBLANK(HLOOKUP(CaseName,CaseData,MATCH($G465,cases!$G$4:$G$2458,0),FALSE)),"",HLOOKUP(CaseName,CaseData,MATCH($G465,cases!$G$4:$G$2458,0),FALSE))</f>
        <v/>
      </c>
      <c r="K465" s="623">
        <f>(RAINrate.R*L19*L16)/(L6)</f>
        <v>1.9890154971051001E-5</v>
      </c>
      <c r="L465" s="714">
        <f t="shared" si="23"/>
        <v>1.9890154971051001E-5</v>
      </c>
      <c r="M465" s="582" t="s">
        <v>340</v>
      </c>
      <c r="N465" s="583" t="s">
        <v>1795</v>
      </c>
      <c r="O465" s="965"/>
      <c r="P465" s="966"/>
    </row>
    <row r="466" spans="1:16" ht="12" customHeight="1" x14ac:dyDescent="0.2">
      <c r="A466" s="567" t="s">
        <v>1796</v>
      </c>
      <c r="B466" s="567"/>
      <c r="C466" s="567"/>
      <c r="D466" s="567"/>
      <c r="E466" s="567"/>
      <c r="F466" s="567"/>
      <c r="G466" s="568" t="s">
        <v>1797</v>
      </c>
      <c r="H466" s="568" t="s">
        <v>340</v>
      </c>
      <c r="I466" s="573"/>
      <c r="J466" s="294" t="str">
        <f>IF(ISBLANK(HLOOKUP(CaseName,CaseData,MATCH($G466,cases!$G$4:$G$2458,0),FALSE)),"",HLOOKUP(CaseName,CaseData,MATCH($G466,cases!$G$4:$G$2458,0),FALSE))</f>
        <v/>
      </c>
      <c r="K466" s="621">
        <f>(RAINrate.R*L20*L16)/L6</f>
        <v>4.4200344380113331E-5</v>
      </c>
      <c r="L466" s="298">
        <f t="shared" si="23"/>
        <v>4.4200344380113331E-5</v>
      </c>
      <c r="M466" s="568" t="s">
        <v>340</v>
      </c>
      <c r="N466" s="567" t="s">
        <v>1795</v>
      </c>
      <c r="O466" s="606"/>
      <c r="P466" s="585"/>
    </row>
    <row r="467" spans="1:16" ht="12.75" customHeight="1" x14ac:dyDescent="0.2">
      <c r="A467" s="567" t="s">
        <v>1798</v>
      </c>
      <c r="B467" s="567"/>
      <c r="C467" s="567"/>
      <c r="D467" s="567"/>
      <c r="E467" s="567"/>
      <c r="F467" s="567"/>
      <c r="G467" s="568" t="s">
        <v>1799</v>
      </c>
      <c r="H467" s="568" t="s">
        <v>340</v>
      </c>
      <c r="I467" s="573"/>
      <c r="J467" s="294" t="str">
        <f>IF(ISBLANK(HLOOKUP(CaseName,CaseData,MATCH($G467,cases!$G$4:$G$2458,0),FALSE)),"",HLOOKUP(CaseName,CaseData,MATCH($G467,cases!$G$4:$G$2458,0),FALSE))</f>
        <v/>
      </c>
      <c r="K467" s="621">
        <f>(RAINrate.R*L21*L16)/(L6)</f>
        <v>7.3667240633522224E-6</v>
      </c>
      <c r="L467" s="298">
        <f t="shared" si="23"/>
        <v>7.3667240633522224E-6</v>
      </c>
      <c r="M467" s="568" t="s">
        <v>340</v>
      </c>
      <c r="N467" s="567"/>
      <c r="O467" s="606"/>
      <c r="P467" s="585"/>
    </row>
    <row r="468" spans="1:16" ht="12.75" customHeight="1" x14ac:dyDescent="0.2">
      <c r="A468" s="567" t="s">
        <v>1800</v>
      </c>
      <c r="B468" s="567"/>
      <c r="C468" s="567"/>
      <c r="D468" s="567"/>
      <c r="E468" s="567"/>
      <c r="F468" s="567"/>
      <c r="G468" s="568" t="s">
        <v>1801</v>
      </c>
      <c r="H468" s="568" t="s">
        <v>340</v>
      </c>
      <c r="I468" s="573"/>
      <c r="J468" s="294" t="str">
        <f>IF(ISBLANK(HLOOKUP(CaseName,CaseData,MATCH($G468,cases!$G$4:$G$2458,0),FALSE)),"",HLOOKUP(CaseName,CaseData,MATCH($G468,cases!$G$4:$G$2458,0),FALSE))</f>
        <v/>
      </c>
      <c r="K468" s="621">
        <f>(RAINrate.R*L19*L16)/(L6)</f>
        <v>1.9890154971051001E-5</v>
      </c>
      <c r="L468" s="298">
        <f t="shared" si="23"/>
        <v>1.9890154971051001E-5</v>
      </c>
      <c r="M468" s="568" t="s">
        <v>340</v>
      </c>
      <c r="N468" s="567"/>
      <c r="O468" s="606"/>
      <c r="P468" s="585"/>
    </row>
    <row r="469" spans="1:16" ht="12.75" customHeight="1" x14ac:dyDescent="0.2">
      <c r="A469" s="567" t="s">
        <v>1802</v>
      </c>
      <c r="B469" s="567"/>
      <c r="C469" s="567"/>
      <c r="D469" s="567"/>
      <c r="E469" s="567"/>
      <c r="F469" s="567"/>
      <c r="G469" s="568" t="s">
        <v>1803</v>
      </c>
      <c r="H469" s="568" t="s">
        <v>340</v>
      </c>
      <c r="I469" s="573"/>
      <c r="J469" s="294" t="str">
        <f>IF(ISBLANK(HLOOKUP(CaseName,CaseData,MATCH($G469,cases!$G$4:$G$2458,0),FALSE)),"",HLOOKUP(CaseName,CaseData,MATCH($G469,cases!$G$4:$G$2458,0),FALSE))</f>
        <v/>
      </c>
      <c r="K469" s="621">
        <f>(RAINrate.R*L20*L16)/L6</f>
        <v>4.4200344380113331E-5</v>
      </c>
      <c r="L469" s="298">
        <f t="shared" si="23"/>
        <v>4.4200344380113331E-5</v>
      </c>
      <c r="M469" s="568" t="s">
        <v>340</v>
      </c>
      <c r="N469" s="567"/>
      <c r="O469" s="606"/>
      <c r="P469" s="585"/>
    </row>
    <row r="470" spans="1:16" ht="12.75" customHeight="1" x14ac:dyDescent="0.2">
      <c r="A470" s="567" t="s">
        <v>1804</v>
      </c>
      <c r="B470" s="567"/>
      <c r="C470" s="567"/>
      <c r="D470" s="567"/>
      <c r="E470" s="567"/>
      <c r="F470" s="567"/>
      <c r="G470" s="568" t="s">
        <v>1805</v>
      </c>
      <c r="H470" s="568" t="s">
        <v>340</v>
      </c>
      <c r="I470" s="573"/>
      <c r="J470" s="294" t="str">
        <f>IF(ISBLANK(HLOOKUP(CaseName,CaseData,MATCH($G470,cases!$G$4:$G$2458,0),FALSE)),"",HLOOKUP(CaseName,CaseData,MATCH($G470,cases!$G$4:$G$2458,0),FALSE))</f>
        <v/>
      </c>
      <c r="K470" s="621">
        <f>(RAINrate.R*L21*L16)/(L6)</f>
        <v>7.3667240633522224E-6</v>
      </c>
      <c r="L470" s="298">
        <f t="shared" si="23"/>
        <v>7.3667240633522224E-6</v>
      </c>
      <c r="M470" s="568" t="s">
        <v>340</v>
      </c>
      <c r="N470" s="567"/>
      <c r="O470" s="606"/>
      <c r="P470" s="585"/>
    </row>
    <row r="471" spans="1:16" ht="12.75" customHeight="1" x14ac:dyDescent="0.2">
      <c r="A471" s="567" t="s">
        <v>1806</v>
      </c>
      <c r="B471" s="567"/>
      <c r="C471" s="567"/>
      <c r="D471" s="567"/>
      <c r="E471" s="567"/>
      <c r="F471" s="567"/>
      <c r="G471" s="568" t="s">
        <v>1807</v>
      </c>
      <c r="H471" s="568" t="s">
        <v>340</v>
      </c>
      <c r="I471" s="573"/>
      <c r="J471" s="294" t="str">
        <f>IF(ISBLANK(HLOOKUP(CaseName,CaseData,MATCH($G471,cases!$G$4:$G$2458,0),FALSE)),"",HLOOKUP(CaseName,CaseData,MATCH($G471,cases!$G$4:$G$2458,0),FALSE))</f>
        <v/>
      </c>
      <c r="K471" s="621">
        <f>(RAINrate.R*L19*L16)/(L6)</f>
        <v>1.9890154971051001E-5</v>
      </c>
      <c r="L471" s="298">
        <f t="shared" si="23"/>
        <v>1.9890154971051001E-5</v>
      </c>
      <c r="M471" s="568" t="s">
        <v>340</v>
      </c>
      <c r="N471" s="567"/>
      <c r="O471" s="606"/>
      <c r="P471" s="585"/>
    </row>
    <row r="472" spans="1:16" ht="12.75" customHeight="1" x14ac:dyDescent="0.2">
      <c r="A472" s="567" t="s">
        <v>1808</v>
      </c>
      <c r="B472" s="567"/>
      <c r="C472" s="567"/>
      <c r="D472" s="567"/>
      <c r="E472" s="567"/>
      <c r="F472" s="567"/>
      <c r="G472" s="568" t="s">
        <v>1809</v>
      </c>
      <c r="H472" s="568" t="s">
        <v>340</v>
      </c>
      <c r="I472" s="573"/>
      <c r="J472" s="294" t="str">
        <f>IF(ISBLANK(HLOOKUP(CaseName,CaseData,MATCH($G472,cases!$G$4:$G$2458,0),FALSE)),"",HLOOKUP(CaseName,CaseData,MATCH($G472,cases!$G$4:$G$2458,0),FALSE))</f>
        <v/>
      </c>
      <c r="K472" s="621">
        <f>(RAINrate.R*L20*L16)/(L6)</f>
        <v>4.4200344380113331E-5</v>
      </c>
      <c r="L472" s="298">
        <f t="shared" si="23"/>
        <v>4.4200344380113331E-5</v>
      </c>
      <c r="M472" s="568" t="s">
        <v>340</v>
      </c>
      <c r="N472" s="567"/>
      <c r="O472" s="606"/>
      <c r="P472" s="585"/>
    </row>
    <row r="473" spans="1:16" ht="12.75" customHeight="1" x14ac:dyDescent="0.2">
      <c r="A473" s="567" t="s">
        <v>1810</v>
      </c>
      <c r="B473" s="567"/>
      <c r="C473" s="567"/>
      <c r="D473" s="567"/>
      <c r="E473" s="567"/>
      <c r="F473" s="567"/>
      <c r="G473" s="568" t="s">
        <v>1811</v>
      </c>
      <c r="H473" s="568" t="s">
        <v>340</v>
      </c>
      <c r="I473" s="573"/>
      <c r="J473" s="294" t="str">
        <f>IF(ISBLANK(HLOOKUP(CaseName,CaseData,MATCH($G473,cases!$G$4:$G$2458,0),FALSE)),"",HLOOKUP(CaseName,CaseData,MATCH($G473,cases!$G$4:$G$2458,0),FALSE))</f>
        <v/>
      </c>
      <c r="K473" s="621">
        <f>(RAINrate.R*L21*L16)/L6</f>
        <v>7.3667240633522224E-6</v>
      </c>
      <c r="L473" s="298">
        <f t="shared" si="23"/>
        <v>7.3667240633522224E-6</v>
      </c>
      <c r="M473" s="568" t="s">
        <v>340</v>
      </c>
      <c r="N473" s="567"/>
      <c r="O473" s="606"/>
      <c r="P473" s="585"/>
    </row>
    <row r="474" spans="1:16" ht="12.75" customHeight="1" x14ac:dyDescent="0.2">
      <c r="A474" s="567" t="s">
        <v>1812</v>
      </c>
      <c r="B474" s="567"/>
      <c r="C474" s="567"/>
      <c r="D474" s="567"/>
      <c r="E474" s="567"/>
      <c r="F474" s="567"/>
      <c r="G474" s="568" t="s">
        <v>1813</v>
      </c>
      <c r="H474" s="568" t="s">
        <v>340</v>
      </c>
      <c r="I474" s="573"/>
      <c r="J474" s="294" t="str">
        <f>IF(ISBLANK(HLOOKUP(CaseName,CaseData,MATCH($G474,cases!$G$4:$G$2458,0),FALSE)),"",HLOOKUP(CaseName,CaseData,MATCH($G474,cases!$G$4:$G$2458,0),FALSE))</f>
        <v/>
      </c>
      <c r="K474" s="621">
        <f>(RAINrate.R*L17*L16)/(L6)</f>
        <v>1.8416810158380553E-7</v>
      </c>
      <c r="L474" s="298">
        <f t="shared" si="23"/>
        <v>1.8416810158380553E-7</v>
      </c>
      <c r="M474" s="568" t="s">
        <v>340</v>
      </c>
      <c r="N474" s="567"/>
      <c r="O474" s="606"/>
      <c r="P474" s="585"/>
    </row>
    <row r="475" spans="1:16" ht="12.75" customHeight="1" x14ac:dyDescent="0.2">
      <c r="A475" s="567" t="s">
        <v>1814</v>
      </c>
      <c r="B475" s="567"/>
      <c r="C475" s="567"/>
      <c r="D475" s="567"/>
      <c r="E475" s="567"/>
      <c r="F475" s="567"/>
      <c r="G475" s="568" t="s">
        <v>1815</v>
      </c>
      <c r="H475" s="568" t="s">
        <v>340</v>
      </c>
      <c r="I475" s="573"/>
      <c r="J475" s="294" t="str">
        <f>IF(ISBLANK(HLOOKUP(CaseName,CaseData,MATCH($G475,cases!$G$4:$G$2458,0),FALSE)),"",HLOOKUP(CaseName,CaseData,MATCH($G475,cases!$G$4:$G$2458,0),FALSE))</f>
        <v/>
      </c>
      <c r="K475" s="621">
        <f>(RAINrate.R*L18*L16)/(L6)</f>
        <v>2.0258491174218609E-6</v>
      </c>
      <c r="L475" s="298">
        <f t="shared" si="23"/>
        <v>2.0258491174218609E-6</v>
      </c>
      <c r="M475" s="568" t="s">
        <v>340</v>
      </c>
      <c r="N475" s="567"/>
      <c r="O475" s="606"/>
      <c r="P475" s="585"/>
    </row>
    <row r="476" spans="1:16" ht="12.75" customHeight="1" x14ac:dyDescent="0.2">
      <c r="A476" s="567" t="s">
        <v>1816</v>
      </c>
      <c r="B476" s="567"/>
      <c r="C476" s="567"/>
      <c r="D476" s="567"/>
      <c r="E476" s="567"/>
      <c r="F476" s="567"/>
      <c r="G476" s="568" t="s">
        <v>1817</v>
      </c>
      <c r="H476" s="568" t="s">
        <v>340</v>
      </c>
      <c r="I476" s="573"/>
      <c r="J476" s="294" t="str">
        <f>IF(ISBLANK(HLOOKUP(CaseName,CaseData,MATCH($G476,cases!$G$4:$G$2458,0),FALSE)),"",HLOOKUP(CaseName,CaseData,MATCH($G476,cases!$G$4:$G$2458,0),FALSE))</f>
        <v/>
      </c>
      <c r="K476" s="621">
        <f>(RAINrate.R*L22*L16)/(L6)</f>
        <v>3.2229619212286083E-7</v>
      </c>
      <c r="L476" s="298">
        <f t="shared" si="23"/>
        <v>3.2229619212286083E-7</v>
      </c>
      <c r="M476" s="568" t="s">
        <v>340</v>
      </c>
      <c r="N476" s="567"/>
      <c r="O476" s="606"/>
      <c r="P476" s="585"/>
    </row>
    <row r="477" spans="1:16" ht="12.75" customHeight="1" x14ac:dyDescent="0.2">
      <c r="A477" s="567" t="s">
        <v>1818</v>
      </c>
      <c r="B477" s="567"/>
      <c r="C477" s="567"/>
      <c r="D477" s="567"/>
      <c r="E477" s="567"/>
      <c r="F477" s="567"/>
      <c r="G477" s="568" t="s">
        <v>1819</v>
      </c>
      <c r="H477" s="568" t="s">
        <v>340</v>
      </c>
      <c r="I477" s="573"/>
      <c r="J477" s="294" t="str">
        <f>IF(ISBLANK(HLOOKUP(CaseName,CaseData,MATCH($G477,cases!$G$4:$G$2458,0),FALSE)),"",HLOOKUP(CaseName,CaseData,MATCH($G477,cases!$G$4:$G$2458,0),FALSE))</f>
        <v/>
      </c>
      <c r="K477" s="621">
        <f>(RAINrate.R*L17*L16)/(L6)</f>
        <v>1.8416810158380553E-7</v>
      </c>
      <c r="L477" s="298">
        <f t="shared" si="23"/>
        <v>1.8416810158380553E-7</v>
      </c>
      <c r="M477" s="568" t="s">
        <v>340</v>
      </c>
      <c r="N477" s="567"/>
      <c r="O477" s="606"/>
      <c r="P477" s="585"/>
    </row>
    <row r="478" spans="1:16" ht="12.75" customHeight="1" x14ac:dyDescent="0.2">
      <c r="A478" s="567" t="s">
        <v>1820</v>
      </c>
      <c r="B478" s="567"/>
      <c r="C478" s="567"/>
      <c r="D478" s="567"/>
      <c r="E478" s="567"/>
      <c r="F478" s="567"/>
      <c r="G478" s="568" t="s">
        <v>1821</v>
      </c>
      <c r="H478" s="568" t="s">
        <v>340</v>
      </c>
      <c r="I478" s="573"/>
      <c r="J478" s="294" t="str">
        <f>IF(ISBLANK(HLOOKUP(CaseName,CaseData,MATCH($G478,cases!$G$4:$G$2458,0),FALSE)),"",HLOOKUP(CaseName,CaseData,MATCH($G478,cases!$G$4:$G$2458,0),FALSE))</f>
        <v/>
      </c>
      <c r="K478" s="621">
        <f>(RAINrate.R*L18*L16)/(L6)</f>
        <v>2.0258491174218609E-6</v>
      </c>
      <c r="L478" s="298">
        <f t="shared" si="23"/>
        <v>2.0258491174218609E-6</v>
      </c>
      <c r="M478" s="568" t="s">
        <v>340</v>
      </c>
      <c r="N478" s="567"/>
      <c r="O478" s="606"/>
      <c r="P478" s="585"/>
    </row>
    <row r="479" spans="1:16" ht="12.75" customHeight="1" x14ac:dyDescent="0.2">
      <c r="A479" s="567" t="s">
        <v>1822</v>
      </c>
      <c r="B479" s="567"/>
      <c r="C479" s="567"/>
      <c r="D479" s="567"/>
      <c r="E479" s="567"/>
      <c r="F479" s="567"/>
      <c r="G479" s="568" t="s">
        <v>1823</v>
      </c>
      <c r="H479" s="568" t="s">
        <v>340</v>
      </c>
      <c r="I479" s="573"/>
      <c r="J479" s="294" t="str">
        <f>IF(ISBLANK(HLOOKUP(CaseName,CaseData,MATCH($G479,cases!$G$4:$G$2458,0),FALSE)),"",HLOOKUP(CaseName,CaseData,MATCH($G479,cases!$G$4:$G$2458,0),FALSE))</f>
        <v/>
      </c>
      <c r="K479" s="621">
        <f>(RAINrate.R*L22*L16)/(L6)</f>
        <v>3.2229619212286083E-7</v>
      </c>
      <c r="L479" s="298">
        <f t="shared" si="23"/>
        <v>3.2229619212286083E-7</v>
      </c>
      <c r="M479" s="568" t="s">
        <v>340</v>
      </c>
      <c r="N479" s="567"/>
      <c r="O479" s="606"/>
      <c r="P479" s="585"/>
    </row>
    <row r="480" spans="1:16" ht="12.75" customHeight="1" x14ac:dyDescent="0.2">
      <c r="A480" s="567" t="s">
        <v>1824</v>
      </c>
      <c r="B480" s="567"/>
      <c r="C480" s="567"/>
      <c r="D480" s="567"/>
      <c r="E480" s="567"/>
      <c r="F480" s="567"/>
      <c r="G480" s="568" t="s">
        <v>1825</v>
      </c>
      <c r="H480" s="568" t="s">
        <v>340</v>
      </c>
      <c r="I480" s="573"/>
      <c r="J480" s="294" t="str">
        <f>IF(ISBLANK(HLOOKUP(CaseName,CaseData,MATCH($G480,cases!$G$4:$G$2458,0),FALSE)),"",HLOOKUP(CaseName,CaseData,MATCH($G480,cases!$G$4:$G$2458,0),FALSE))</f>
        <v/>
      </c>
      <c r="K480" s="621">
        <f>(RAINrate.R*L17*L16)/(L6)</f>
        <v>1.8416810158380553E-7</v>
      </c>
      <c r="L480" s="298">
        <f t="shared" si="23"/>
        <v>1.8416810158380553E-7</v>
      </c>
      <c r="M480" s="568" t="s">
        <v>340</v>
      </c>
      <c r="N480" s="567"/>
      <c r="O480" s="606"/>
      <c r="P480" s="585"/>
    </row>
    <row r="481" spans="1:19" ht="12.75" customHeight="1" x14ac:dyDescent="0.2">
      <c r="A481" s="567" t="s">
        <v>1826</v>
      </c>
      <c r="B481" s="567"/>
      <c r="C481" s="567"/>
      <c r="D481" s="567"/>
      <c r="E481" s="567"/>
      <c r="F481" s="567"/>
      <c r="G481" s="568" t="s">
        <v>1827</v>
      </c>
      <c r="H481" s="568" t="s">
        <v>340</v>
      </c>
      <c r="I481" s="573"/>
      <c r="J481" s="294" t="str">
        <f>IF(ISBLANK(HLOOKUP(CaseName,CaseData,MATCH($G481,cases!$G$4:$G$2458,0),FALSE)),"",HLOOKUP(CaseName,CaseData,MATCH($G481,cases!$G$4:$G$2458,0),FALSE))</f>
        <v/>
      </c>
      <c r="K481" s="621">
        <f>(RAINrate.R*L18*L16)/(L6)</f>
        <v>2.0258491174218609E-6</v>
      </c>
      <c r="L481" s="298">
        <f t="shared" si="23"/>
        <v>2.0258491174218609E-6</v>
      </c>
      <c r="M481" s="568" t="s">
        <v>340</v>
      </c>
      <c r="N481" s="567"/>
      <c r="O481" s="606"/>
      <c r="P481" s="585"/>
      <c r="Q481" s="11"/>
      <c r="R481" s="11"/>
      <c r="S481" s="11"/>
    </row>
    <row r="482" spans="1:19" ht="12.75" customHeight="1" x14ac:dyDescent="0.2">
      <c r="A482" s="567" t="s">
        <v>1828</v>
      </c>
      <c r="B482" s="567"/>
      <c r="C482" s="567"/>
      <c r="D482" s="567"/>
      <c r="E482" s="567"/>
      <c r="F482" s="567"/>
      <c r="G482" s="568" t="s">
        <v>1829</v>
      </c>
      <c r="H482" s="568" t="s">
        <v>340</v>
      </c>
      <c r="I482" s="573"/>
      <c r="J482" s="294" t="str">
        <f>IF(ISBLANK(HLOOKUP(CaseName,CaseData,MATCH($G482,cases!$G$4:$G$2458,0),FALSE)),"",HLOOKUP(CaseName,CaseData,MATCH($G482,cases!$G$4:$G$2458,0),FALSE))</f>
        <v/>
      </c>
      <c r="K482" s="621">
        <f>(RAINrate.R*L22*L16)/(L6)</f>
        <v>3.2229619212286083E-7</v>
      </c>
      <c r="L482" s="298">
        <f t="shared" si="23"/>
        <v>3.2229619212286083E-7</v>
      </c>
      <c r="M482" s="568" t="s">
        <v>340</v>
      </c>
      <c r="N482" s="567"/>
      <c r="O482" s="606"/>
      <c r="P482" s="585"/>
      <c r="Q482" s="11"/>
      <c r="R482" s="11"/>
      <c r="S482" s="11"/>
    </row>
    <row r="483" spans="1:19" s="635" customFormat="1" ht="12.75" customHeight="1" x14ac:dyDescent="0.2">
      <c r="A483" s="583" t="s">
        <v>1830</v>
      </c>
      <c r="B483" s="583"/>
      <c r="C483" s="583"/>
      <c r="D483" s="583"/>
      <c r="E483" s="583"/>
      <c r="F483" s="583"/>
      <c r="G483" s="582" t="s">
        <v>1831</v>
      </c>
      <c r="H483" s="582" t="s">
        <v>340</v>
      </c>
      <c r="I483" s="573"/>
      <c r="J483" s="294" t="str">
        <f>IF(ISBLANK(HLOOKUP(CaseName,CaseData,MATCH($G483,cases!$G$4:$G$2458,0),FALSE)),"",HLOOKUP(CaseName,CaseData,MATCH($G483,cases!$G$4:$G$2458,0),FALSE))</f>
        <v/>
      </c>
      <c r="K483" s="623">
        <f>IF(SetVelS.w/L24&gt;0,SetVelS.w/L24,0)</f>
        <v>1.7579241516966072E-12</v>
      </c>
      <c r="L483" s="714">
        <f t="shared" si="23"/>
        <v>1.7579241516966072E-12</v>
      </c>
      <c r="M483" s="582" t="s">
        <v>340</v>
      </c>
      <c r="N483" s="605"/>
      <c r="O483" s="621"/>
      <c r="P483" s="567"/>
      <c r="Q483" s="335"/>
      <c r="R483"/>
      <c r="S483" s="11"/>
    </row>
    <row r="484" spans="1:19" ht="12.75" customHeight="1" x14ac:dyDescent="0.2">
      <c r="A484" s="567" t="s">
        <v>1832</v>
      </c>
      <c r="B484" s="567"/>
      <c r="C484" s="567"/>
      <c r="D484" s="567"/>
      <c r="E484" s="567"/>
      <c r="F484" s="567"/>
      <c r="G484" s="568" t="s">
        <v>1833</v>
      </c>
      <c r="H484" s="568" t="s">
        <v>340</v>
      </c>
      <c r="I484" s="573"/>
      <c r="J484" s="294" t="str">
        <f>IF(ISBLANK(HLOOKUP(CaseName,CaseData,MATCH($G484,cases!$G$4:$G$2458,0),FALSE)),"",HLOOKUP(CaseName,CaseData,MATCH($G484,cases!$G$4:$G$2458,0),FALSE))</f>
        <v/>
      </c>
      <c r="K484" s="621">
        <f>IF(SetVelS.w/L25&gt;0,SetVelS.w/L25,0)</f>
        <v>5.8597471723220234E-11</v>
      </c>
      <c r="L484" s="298">
        <f t="shared" si="23"/>
        <v>5.8597471723220234E-11</v>
      </c>
      <c r="M484" s="568" t="s">
        <v>340</v>
      </c>
      <c r="N484" s="605"/>
      <c r="O484" s="621"/>
      <c r="P484" s="567"/>
      <c r="Q484" s="335"/>
      <c r="R484"/>
      <c r="S484" s="11"/>
    </row>
    <row r="485" spans="1:19" ht="12.75" customHeight="1" x14ac:dyDescent="0.2">
      <c r="A485" s="567" t="s">
        <v>1834</v>
      </c>
      <c r="B485" s="567"/>
      <c r="C485" s="567"/>
      <c r="D485" s="567"/>
      <c r="E485" s="567"/>
      <c r="F485" s="567"/>
      <c r="G485" s="568" t="s">
        <v>1835</v>
      </c>
      <c r="H485" s="568" t="s">
        <v>340</v>
      </c>
      <c r="I485" s="573"/>
      <c r="J485" s="294" t="str">
        <f>IF(ISBLANK(HLOOKUP(CaseName,CaseData,MATCH($G485,cases!$G$4:$G$2458,0),FALSE)),"",HLOOKUP(CaseName,CaseData,MATCH($G485,cases!$G$4:$G$2458,0),FALSE))</f>
        <v/>
      </c>
      <c r="K485" s="621">
        <f>IF(SetVelS.w/L26&gt;0,SetVelS.w/L26,0)</f>
        <v>1.7579241516966073E-11</v>
      </c>
      <c r="L485" s="298">
        <f t="shared" si="23"/>
        <v>1.7579241516966073E-11</v>
      </c>
      <c r="M485" s="568" t="s">
        <v>340</v>
      </c>
      <c r="N485" s="605"/>
      <c r="O485" s="621"/>
      <c r="P485" s="567"/>
      <c r="Q485" s="335"/>
      <c r="R485"/>
      <c r="S485" s="11"/>
    </row>
    <row r="486" spans="1:19" ht="12.75" customHeight="1" x14ac:dyDescent="0.2">
      <c r="A486" s="567" t="s">
        <v>1836</v>
      </c>
      <c r="B486" s="567"/>
      <c r="C486" s="567"/>
      <c r="D486" s="567"/>
      <c r="E486" s="567"/>
      <c r="F486" s="567"/>
      <c r="G486" s="568" t="s">
        <v>1837</v>
      </c>
      <c r="H486" s="568" t="s">
        <v>340</v>
      </c>
      <c r="I486" s="573"/>
      <c r="J486" s="294" t="str">
        <f>IF(ISBLANK(HLOOKUP(CaseName,CaseData,MATCH($G486,cases!$G$4:$G$2458,0),FALSE)),"",HLOOKUP(CaseName,CaseData,MATCH($G486,cases!$G$4:$G$2458,0),FALSE))</f>
        <v/>
      </c>
      <c r="K486" s="621">
        <f>IF(SetVelA.w/L24&gt;0,SetVelA.w/L24,0)</f>
        <v>4.9055254134227732E-10</v>
      </c>
      <c r="L486" s="298">
        <f t="shared" si="23"/>
        <v>4.9055254134227732E-10</v>
      </c>
      <c r="M486" s="568" t="s">
        <v>340</v>
      </c>
      <c r="N486" s="605"/>
      <c r="O486" s="621"/>
      <c r="P486" s="567"/>
      <c r="Q486" s="335"/>
      <c r="R486"/>
      <c r="S486" s="11"/>
    </row>
    <row r="487" spans="1:19" ht="12.75" customHeight="1" x14ac:dyDescent="0.2">
      <c r="A487" s="567" t="s">
        <v>1838</v>
      </c>
      <c r="B487" s="567"/>
      <c r="C487" s="567"/>
      <c r="D487" s="567"/>
      <c r="E487" s="567"/>
      <c r="F487" s="567"/>
      <c r="G487" s="568" t="s">
        <v>1839</v>
      </c>
      <c r="H487" s="568" t="s">
        <v>340</v>
      </c>
      <c r="I487" s="573"/>
      <c r="J487" s="294" t="str">
        <f>IF(ISBLANK(HLOOKUP(CaseName,CaseData,MATCH($G487,cases!$G$4:$G$2458,0),FALSE)),"",HLOOKUP(CaseName,CaseData,MATCH($G487,cases!$G$4:$G$2458,0),FALSE))</f>
        <v/>
      </c>
      <c r="K487" s="621">
        <f>IF(SetVelA.w/L25&gt;0,SetVelA.w/L25,0)</f>
        <v>1.6351751378075909E-8</v>
      </c>
      <c r="L487" s="298">
        <f t="shared" si="23"/>
        <v>1.6351751378075909E-8</v>
      </c>
      <c r="M487" s="568" t="s">
        <v>340</v>
      </c>
      <c r="N487" s="605"/>
      <c r="O487" s="621"/>
      <c r="P487" s="567"/>
      <c r="Q487" s="335"/>
      <c r="R487"/>
      <c r="S487" s="11"/>
    </row>
    <row r="488" spans="1:19" ht="12.75" customHeight="1" x14ac:dyDescent="0.2">
      <c r="A488" s="567" t="s">
        <v>1840</v>
      </c>
      <c r="B488" s="567"/>
      <c r="C488" s="567"/>
      <c r="D488" s="567"/>
      <c r="E488" s="567"/>
      <c r="F488" s="567"/>
      <c r="G488" s="568" t="s">
        <v>1841</v>
      </c>
      <c r="H488" s="568" t="s">
        <v>340</v>
      </c>
      <c r="I488" s="573"/>
      <c r="J488" s="294" t="str">
        <f>IF(ISBLANK(HLOOKUP(CaseName,CaseData,MATCH($G488,cases!$G$4:$G$2458,0),FALSE)),"",HLOOKUP(CaseName,CaseData,MATCH($G488,cases!$G$4:$G$2458,0),FALSE))</f>
        <v/>
      </c>
      <c r="K488" s="621">
        <f>IF(SetVelA.w/L26&gt;0,SetVelA.w/L26,0)</f>
        <v>4.9055254134227726E-9</v>
      </c>
      <c r="L488" s="298">
        <f t="shared" si="23"/>
        <v>4.9055254134227726E-9</v>
      </c>
      <c r="M488" s="568" t="s">
        <v>340</v>
      </c>
      <c r="N488" s="605"/>
      <c r="O488" s="621"/>
      <c r="P488" s="567"/>
      <c r="Q488" s="335"/>
      <c r="R488"/>
      <c r="S488" s="11"/>
    </row>
    <row r="489" spans="1:19" ht="12.75" customHeight="1" x14ac:dyDescent="0.2">
      <c r="A489" s="567" t="s">
        <v>1842</v>
      </c>
      <c r="B489" s="567"/>
      <c r="C489" s="567"/>
      <c r="D489" s="567"/>
      <c r="E489" s="567"/>
      <c r="F489" s="567"/>
      <c r="G489" s="568" t="s">
        <v>1843</v>
      </c>
      <c r="H489" s="568" t="s">
        <v>340</v>
      </c>
      <c r="I489" s="573"/>
      <c r="J489" s="294" t="str">
        <f>IF(ISBLANK(HLOOKUP(CaseName,CaseData,MATCH($G489,cases!$G$4:$G$2458,0),FALSE)),"",HLOOKUP(CaseName,CaseData,MATCH($G489,cases!$G$4:$G$2458,0),FALSE))</f>
        <v/>
      </c>
      <c r="K489" s="621">
        <f>IF(SetVelP.w/L24&gt;0,SetVelP.w/L24,0)</f>
        <v>2.9410419409277556E-7</v>
      </c>
      <c r="L489" s="298">
        <f t="shared" ref="L489:L509" si="24">IF(ISBLANK(I489),IF(ISNUMBER(J489)=FALSE,K489,J489),I489)</f>
        <v>2.9410419409277556E-7</v>
      </c>
      <c r="M489" s="568" t="s">
        <v>340</v>
      </c>
      <c r="N489" s="605"/>
      <c r="O489" s="621"/>
      <c r="P489" s="567"/>
      <c r="Q489" s="335"/>
      <c r="R489"/>
      <c r="S489" s="11"/>
    </row>
    <row r="490" spans="1:19" ht="12.75" customHeight="1" x14ac:dyDescent="0.2">
      <c r="A490" s="567" t="s">
        <v>1844</v>
      </c>
      <c r="B490" s="567"/>
      <c r="C490" s="567"/>
      <c r="D490" s="567"/>
      <c r="E490" s="567"/>
      <c r="F490" s="567"/>
      <c r="G490" s="568" t="s">
        <v>1845</v>
      </c>
      <c r="H490" s="568" t="s">
        <v>340</v>
      </c>
      <c r="I490" s="573"/>
      <c r="J490" s="294" t="str">
        <f>IF(ISBLANK(HLOOKUP(CaseName,CaseData,MATCH($G490,cases!$G$4:$G$2458,0),FALSE)),"",HLOOKUP(CaseName,CaseData,MATCH($G490,cases!$G$4:$G$2458,0),FALSE))</f>
        <v/>
      </c>
      <c r="K490" s="621">
        <f>IF(SetVelP.w/L25&gt;0,SetVelP.w/L25,0)</f>
        <v>9.8034731364258519E-6</v>
      </c>
      <c r="L490" s="298">
        <f t="shared" si="24"/>
        <v>9.8034731364258519E-6</v>
      </c>
      <c r="M490" s="568" t="s">
        <v>340</v>
      </c>
      <c r="N490" s="605"/>
      <c r="O490" s="621"/>
      <c r="P490" s="567"/>
      <c r="Q490" s="335"/>
      <c r="R490"/>
      <c r="S490" s="11"/>
    </row>
    <row r="491" spans="1:19" ht="12.75" customHeight="1" x14ac:dyDescent="0.2">
      <c r="A491" s="567" t="s">
        <v>1846</v>
      </c>
      <c r="B491" s="567"/>
      <c r="C491" s="567"/>
      <c r="D491" s="567"/>
      <c r="E491" s="567"/>
      <c r="F491" s="567"/>
      <c r="G491" s="568" t="s">
        <v>1847</v>
      </c>
      <c r="H491" s="568" t="s">
        <v>340</v>
      </c>
      <c r="I491" s="719"/>
      <c r="J491" s="294" t="str">
        <f>IF(ISBLANK(HLOOKUP(CaseName,CaseData,MATCH($G491,cases!$G$4:$G$2458,0),FALSE)),"",HLOOKUP(CaseName,CaseData,MATCH($G491,cases!$G$4:$G$2458,0),FALSE))</f>
        <v/>
      </c>
      <c r="K491" s="621">
        <f>IF(SetVelP.w/L26&gt;0,SetVelP.w/L26,0)</f>
        <v>2.9410419409277556E-6</v>
      </c>
      <c r="L491" s="298">
        <f t="shared" si="24"/>
        <v>2.9410419409277556E-6</v>
      </c>
      <c r="M491" s="568" t="s">
        <v>340</v>
      </c>
      <c r="N491" s="605"/>
      <c r="O491" s="621"/>
      <c r="P491" s="567"/>
      <c r="Q491" s="335"/>
      <c r="R491"/>
      <c r="S491" s="11"/>
    </row>
    <row r="492" spans="1:19" s="635" customFormat="1" ht="12.75" customHeight="1" x14ac:dyDescent="0.2">
      <c r="A492" s="583" t="s">
        <v>1848</v>
      </c>
      <c r="B492" s="583"/>
      <c r="C492" s="583"/>
      <c r="D492" s="583"/>
      <c r="E492" s="583"/>
      <c r="F492" s="583"/>
      <c r="G492" s="582" t="s">
        <v>1849</v>
      </c>
      <c r="H492" s="582" t="s">
        <v>340</v>
      </c>
      <c r="I492" s="573"/>
      <c r="J492" s="294" t="str">
        <f>IF(ISBLANK(HLOOKUP(CaseName,CaseData,MATCH($G492,cases!$G$4:$G$2458,0),FALSE)),"",HLOOKUP(CaseName,CaseData,MATCH($G492,cases!$G$4:$G$2458,0),FALSE))</f>
        <v/>
      </c>
      <c r="K492" s="623">
        <f>L155/L27</f>
        <v>0</v>
      </c>
      <c r="L492" s="714">
        <f t="shared" si="24"/>
        <v>0</v>
      </c>
      <c r="M492" s="582" t="s">
        <v>340</v>
      </c>
      <c r="N492" s="567" t="s">
        <v>1850</v>
      </c>
      <c r="O492" s="606"/>
      <c r="P492" s="585"/>
      <c r="Q492" s="11"/>
      <c r="R492" s="11"/>
      <c r="S492" s="11"/>
    </row>
    <row r="493" spans="1:19" ht="12.75" customHeight="1" x14ac:dyDescent="0.2">
      <c r="A493" s="567" t="s">
        <v>1851</v>
      </c>
      <c r="B493" s="567"/>
      <c r="C493" s="567"/>
      <c r="D493" s="567"/>
      <c r="E493" s="567"/>
      <c r="F493" s="567"/>
      <c r="G493" s="568" t="s">
        <v>1852</v>
      </c>
      <c r="H493" s="568" t="s">
        <v>340</v>
      </c>
      <c r="I493" s="573"/>
      <c r="J493" s="294" t="str">
        <f>IF(ISBLANK(HLOOKUP(CaseName,CaseData,MATCH($G493,cases!$G$4:$G$2458,0),FALSE)),"",HLOOKUP(CaseName,CaseData,MATCH($G493,cases!$G$4:$G$2458,0),FALSE))</f>
        <v/>
      </c>
      <c r="K493" s="621">
        <f>L157/L28</f>
        <v>2.6515050905292422E-8</v>
      </c>
      <c r="L493" s="298">
        <f t="shared" si="24"/>
        <v>2.6515050905292422E-8</v>
      </c>
      <c r="M493" s="568" t="s">
        <v>340</v>
      </c>
      <c r="N493" s="567" t="s">
        <v>1850</v>
      </c>
      <c r="O493" s="606"/>
      <c r="P493" s="585"/>
      <c r="Q493" s="11"/>
      <c r="R493" s="11"/>
      <c r="S493" s="11"/>
    </row>
    <row r="494" spans="1:19" ht="12.75" customHeight="1" x14ac:dyDescent="0.2">
      <c r="A494" s="567" t="s">
        <v>1853</v>
      </c>
      <c r="B494" s="567"/>
      <c r="C494" s="567"/>
      <c r="D494" s="567"/>
      <c r="E494" s="567"/>
      <c r="F494" s="567"/>
      <c r="G494" s="568" t="s">
        <v>1854</v>
      </c>
      <c r="H494" s="568" t="s">
        <v>340</v>
      </c>
      <c r="I494" s="573"/>
      <c r="J494" s="294" t="str">
        <f>IF(ISBLANK(HLOOKUP(CaseName,CaseData,MATCH($G494,cases!$G$4:$G$2458,0),FALSE)),"",HLOOKUP(CaseName,CaseData,MATCH($G494,cases!$G$4:$G$2458,0),FALSE))</f>
        <v/>
      </c>
      <c r="K494" s="621">
        <f>L159/L29</f>
        <v>8.8891798123057166E-9</v>
      </c>
      <c r="L494" s="298">
        <f t="shared" si="24"/>
        <v>8.8891798123057166E-9</v>
      </c>
      <c r="M494" s="568" t="s">
        <v>340</v>
      </c>
      <c r="N494" s="567" t="s">
        <v>1850</v>
      </c>
      <c r="O494" s="606"/>
      <c r="P494" s="585"/>
      <c r="Q494" s="11"/>
      <c r="R494" s="11"/>
      <c r="S494" s="11"/>
    </row>
    <row r="495" spans="1:19" ht="12.75" customHeight="1" x14ac:dyDescent="0.2">
      <c r="A495" s="567" t="s">
        <v>1855</v>
      </c>
      <c r="B495" s="567"/>
      <c r="C495" s="567"/>
      <c r="D495" s="567"/>
      <c r="E495" s="567"/>
      <c r="F495" s="567"/>
      <c r="G495" s="568" t="s">
        <v>1856</v>
      </c>
      <c r="H495" s="568" t="s">
        <v>340</v>
      </c>
      <c r="I495" s="573"/>
      <c r="J495" s="294" t="str">
        <f>IF(ISBLANK(HLOOKUP(CaseName,CaseData,MATCH($G495,cases!$G$4:$G$2458,0),FALSE)),"",HLOOKUP(CaseName,CaseData,MATCH($G495,cases!$G$4:$G$2458,0),FALSE))</f>
        <v/>
      </c>
      <c r="K495" s="621">
        <f>L155/L27</f>
        <v>0</v>
      </c>
      <c r="L495" s="298">
        <f t="shared" si="24"/>
        <v>0</v>
      </c>
      <c r="M495" s="568" t="s">
        <v>340</v>
      </c>
      <c r="N495" s="567" t="s">
        <v>1850</v>
      </c>
      <c r="O495" s="606"/>
      <c r="P495" s="585"/>
      <c r="Q495" s="11"/>
      <c r="R495" s="11"/>
      <c r="S495" s="11"/>
    </row>
    <row r="496" spans="1:19" ht="12.75" customHeight="1" x14ac:dyDescent="0.2">
      <c r="A496" s="567" t="s">
        <v>1857</v>
      </c>
      <c r="B496" s="567"/>
      <c r="C496" s="567"/>
      <c r="D496" s="567"/>
      <c r="E496" s="567"/>
      <c r="F496" s="567"/>
      <c r="G496" s="568" t="s">
        <v>1858</v>
      </c>
      <c r="H496" s="568" t="s">
        <v>340</v>
      </c>
      <c r="I496" s="573"/>
      <c r="J496" s="294" t="str">
        <f>IF(ISBLANK(HLOOKUP(CaseName,CaseData,MATCH($G496,cases!$G$4:$G$2458,0),FALSE)),"",HLOOKUP(CaseName,CaseData,MATCH($G496,cases!$G$4:$G$2458,0),FALSE))</f>
        <v/>
      </c>
      <c r="K496" s="621">
        <f>L157/L28</f>
        <v>2.6515050905292422E-8</v>
      </c>
      <c r="L496" s="298">
        <f t="shared" si="24"/>
        <v>2.6515050905292422E-8</v>
      </c>
      <c r="M496" s="568" t="s">
        <v>340</v>
      </c>
      <c r="N496" s="567" t="s">
        <v>1850</v>
      </c>
      <c r="O496" s="606"/>
      <c r="P496" s="585"/>
      <c r="Q496" s="11"/>
      <c r="R496" s="11"/>
      <c r="S496" s="11"/>
    </row>
    <row r="497" spans="1:19" ht="12.75" customHeight="1" x14ac:dyDescent="0.2">
      <c r="A497" s="567" t="s">
        <v>1859</v>
      </c>
      <c r="B497" s="567"/>
      <c r="C497" s="567"/>
      <c r="D497" s="567"/>
      <c r="E497" s="567"/>
      <c r="F497" s="567"/>
      <c r="G497" s="568" t="s">
        <v>1860</v>
      </c>
      <c r="H497" s="568" t="s">
        <v>340</v>
      </c>
      <c r="I497" s="573"/>
      <c r="J497" s="294" t="str">
        <f>IF(ISBLANK(HLOOKUP(CaseName,CaseData,MATCH($G497,cases!$G$4:$G$2458,0),FALSE)),"",HLOOKUP(CaseName,CaseData,MATCH($G497,cases!$G$4:$G$2458,0),FALSE))</f>
        <v/>
      </c>
      <c r="K497" s="621">
        <f>L159/L29</f>
        <v>8.8891798123057166E-9</v>
      </c>
      <c r="L497" s="298">
        <f t="shared" si="24"/>
        <v>8.8891798123057166E-9</v>
      </c>
      <c r="M497" s="568" t="s">
        <v>340</v>
      </c>
      <c r="N497" s="567" t="s">
        <v>1850</v>
      </c>
      <c r="O497" s="606"/>
      <c r="P497" s="585"/>
      <c r="Q497" s="11"/>
      <c r="R497" s="11"/>
      <c r="S497" s="11"/>
    </row>
    <row r="498" spans="1:19" ht="12.75" customHeight="1" x14ac:dyDescent="0.2">
      <c r="A498" s="567" t="s">
        <v>1861</v>
      </c>
      <c r="B498" s="567"/>
      <c r="C498" s="567"/>
      <c r="D498" s="567"/>
      <c r="E498" s="567"/>
      <c r="F498" s="567"/>
      <c r="G498" s="568" t="s">
        <v>1862</v>
      </c>
      <c r="H498" s="568" t="s">
        <v>340</v>
      </c>
      <c r="I498" s="573"/>
      <c r="J498" s="294" t="str">
        <f>IF(ISBLANK(HLOOKUP(CaseName,CaseData,MATCH($G498,cases!$G$4:$G$2458,0),FALSE)),"",HLOOKUP(CaseName,CaseData,MATCH($G498,cases!$G$4:$G$2458,0),FALSE))</f>
        <v/>
      </c>
      <c r="K498" s="621">
        <f>L155/L27</f>
        <v>0</v>
      </c>
      <c r="L498" s="298">
        <f t="shared" si="24"/>
        <v>0</v>
      </c>
      <c r="M498" s="568" t="s">
        <v>340</v>
      </c>
      <c r="N498" s="567" t="s">
        <v>1850</v>
      </c>
      <c r="O498" s="606"/>
      <c r="P498" s="585"/>
      <c r="Q498" s="11"/>
      <c r="R498" s="11"/>
      <c r="S498" s="11"/>
    </row>
    <row r="499" spans="1:19" ht="12.75" customHeight="1" x14ac:dyDescent="0.2">
      <c r="A499" s="567" t="s">
        <v>1863</v>
      </c>
      <c r="B499" s="567"/>
      <c r="C499" s="567"/>
      <c r="D499" s="567"/>
      <c r="E499" s="567"/>
      <c r="F499" s="567"/>
      <c r="G499" s="568" t="s">
        <v>1864</v>
      </c>
      <c r="H499" s="568" t="s">
        <v>340</v>
      </c>
      <c r="I499" s="573"/>
      <c r="J499" s="294" t="str">
        <f>IF(ISBLANK(HLOOKUP(CaseName,CaseData,MATCH($G499,cases!$G$4:$G$2458,0),FALSE)),"",HLOOKUP(CaseName,CaseData,MATCH($G499,cases!$G$4:$G$2458,0),FALSE))</f>
        <v/>
      </c>
      <c r="K499" s="621">
        <f>L157/L28</f>
        <v>2.6515050905292422E-8</v>
      </c>
      <c r="L499" s="298">
        <f t="shared" si="24"/>
        <v>2.6515050905292422E-8</v>
      </c>
      <c r="M499" s="568" t="s">
        <v>340</v>
      </c>
      <c r="N499" s="567" t="s">
        <v>1850</v>
      </c>
      <c r="O499" s="606"/>
      <c r="P499" s="585"/>
      <c r="Q499" s="11"/>
      <c r="R499" s="11"/>
      <c r="S499" s="11"/>
    </row>
    <row r="500" spans="1:19" s="632" customFormat="1" ht="12.75" customHeight="1" x14ac:dyDescent="0.2">
      <c r="A500" s="599" t="s">
        <v>1865</v>
      </c>
      <c r="B500" s="599"/>
      <c r="C500" s="599"/>
      <c r="D500" s="599"/>
      <c r="E500" s="599"/>
      <c r="F500" s="599"/>
      <c r="G500" s="602" t="s">
        <v>1866</v>
      </c>
      <c r="H500" s="602" t="s">
        <v>340</v>
      </c>
      <c r="I500" s="719"/>
      <c r="J500" s="294" t="str">
        <f>IF(ISBLANK(HLOOKUP(CaseName,CaseData,MATCH($G500,cases!$G$4:$G$2458,0),FALSE)),"",HLOOKUP(CaseName,CaseData,MATCH($G500,cases!$G$4:$G$2458,0),FALSE))</f>
        <v/>
      </c>
      <c r="K500" s="622">
        <f>L159/L29</f>
        <v>8.8891798123057166E-9</v>
      </c>
      <c r="L500" s="681">
        <f t="shared" si="24"/>
        <v>8.8891798123057166E-9</v>
      </c>
      <c r="M500" s="602" t="s">
        <v>340</v>
      </c>
      <c r="N500" s="599" t="s">
        <v>1850</v>
      </c>
      <c r="O500" s="967"/>
      <c r="P500" s="968"/>
      <c r="Q500" s="963"/>
      <c r="R500" s="963"/>
      <c r="S500" s="963"/>
    </row>
    <row r="501" spans="1:19" s="635" customFormat="1" ht="12.75" customHeight="1" x14ac:dyDescent="0.2">
      <c r="A501" s="583" t="s">
        <v>1867</v>
      </c>
      <c r="B501" s="583"/>
      <c r="C501" s="583"/>
      <c r="D501" s="583"/>
      <c r="E501" s="583"/>
      <c r="F501" s="583"/>
      <c r="G501" s="582" t="s">
        <v>1868</v>
      </c>
      <c r="H501" s="568" t="s">
        <v>340</v>
      </c>
      <c r="I501" s="573"/>
      <c r="J501" s="294" t="str">
        <f>IF(ISBLANK(HLOOKUP(CaseName,CaseData,MATCH($G501,cases!$G$4:$G$2458,0),FALSE)),"",HLOOKUP(CaseName,CaseData,MATCH($G501,cases!$G$4:$G$2458,0),FALSE))</f>
        <v/>
      </c>
      <c r="K501" s="623">
        <f>((L182*RAINrate.R*L185+L179)/L30)</f>
        <v>1.4105196107430861E-7</v>
      </c>
      <c r="L501" s="298">
        <f t="shared" si="24"/>
        <v>1.4105196107430861E-7</v>
      </c>
      <c r="M501" s="568" t="s">
        <v>340</v>
      </c>
      <c r="N501" s="567" t="s">
        <v>1869</v>
      </c>
      <c r="O501" s="665"/>
      <c r="P501" s="966"/>
      <c r="Q501" s="958"/>
      <c r="R501" s="958"/>
      <c r="S501" s="958"/>
    </row>
    <row r="502" spans="1:19" ht="12.75" customHeight="1" x14ac:dyDescent="0.2">
      <c r="A502" s="567" t="s">
        <v>1870</v>
      </c>
      <c r="B502" s="567"/>
      <c r="C502" s="567"/>
      <c r="D502" s="567"/>
      <c r="E502" s="567"/>
      <c r="F502" s="567"/>
      <c r="G502" s="568" t="s">
        <v>1871</v>
      </c>
      <c r="H502" s="568" t="s">
        <v>340</v>
      </c>
      <c r="I502" s="573"/>
      <c r="J502" s="294" t="str">
        <f>IF(ISBLANK(HLOOKUP(CaseName,CaseData,MATCH($G502,cases!$G$4:$G$2458,0),FALSE)),"",HLOOKUP(CaseName,CaseData,MATCH($G502,cases!$G$4:$G$2458,0),FALSE))</f>
        <v/>
      </c>
      <c r="K502" s="621">
        <f>((L183*RAINrate.R*L186+L180)/L31)</f>
        <v>6.4182390753802476E-8</v>
      </c>
      <c r="L502" s="298">
        <f t="shared" si="24"/>
        <v>6.4182390753802476E-8</v>
      </c>
      <c r="M502" s="568" t="s">
        <v>340</v>
      </c>
      <c r="N502" s="567" t="s">
        <v>1869</v>
      </c>
      <c r="O502" s="606"/>
      <c r="P502" s="585"/>
      <c r="Q502" s="11"/>
      <c r="R502" s="11"/>
      <c r="S502" s="11"/>
    </row>
    <row r="503" spans="1:19" ht="12.75" customHeight="1" x14ac:dyDescent="0.2">
      <c r="A503" s="567" t="s">
        <v>1872</v>
      </c>
      <c r="B503" s="567"/>
      <c r="C503" s="567"/>
      <c r="D503" s="567"/>
      <c r="E503" s="567"/>
      <c r="F503" s="567"/>
      <c r="G503" s="568" t="s">
        <v>1873</v>
      </c>
      <c r="H503" s="568" t="s">
        <v>340</v>
      </c>
      <c r="I503" s="573"/>
      <c r="J503" s="294" t="str">
        <f>IF(ISBLANK(HLOOKUP(CaseName,CaseData,MATCH($G503,cases!$G$4:$G$2458,0),FALSE)),"",HLOOKUP(CaseName,CaseData,MATCH($G503,cases!$G$4:$G$2458,0),FALSE))</f>
        <v/>
      </c>
      <c r="K503" s="621">
        <f>((L184*RAINrate.R*L187+L181)/L32)</f>
        <v>1.4105196107430861E-7</v>
      </c>
      <c r="L503" s="298">
        <f t="shared" si="24"/>
        <v>1.4105196107430861E-7</v>
      </c>
      <c r="M503" s="568" t="s">
        <v>340</v>
      </c>
      <c r="N503" s="567" t="s">
        <v>1869</v>
      </c>
      <c r="O503" s="606"/>
      <c r="P503" s="585"/>
      <c r="Q503" s="11"/>
      <c r="R503" s="11"/>
      <c r="S503" s="11"/>
    </row>
    <row r="504" spans="1:19" ht="12.75" customHeight="1" x14ac:dyDescent="0.2">
      <c r="A504" s="567" t="s">
        <v>1874</v>
      </c>
      <c r="B504" s="567"/>
      <c r="C504" s="567"/>
      <c r="D504" s="567"/>
      <c r="E504" s="567"/>
      <c r="F504" s="567"/>
      <c r="G504" s="568" t="s">
        <v>1875</v>
      </c>
      <c r="H504" s="568" t="s">
        <v>340</v>
      </c>
      <c r="I504" s="573"/>
      <c r="J504" s="294" t="str">
        <f>IF(ISBLANK(HLOOKUP(CaseName,CaseData,MATCH($G504,cases!$G$4:$G$2458,0),FALSE)),"",HLOOKUP(CaseName,CaseData,MATCH($G504,cases!$G$4:$G$2458,0),FALSE))</f>
        <v/>
      </c>
      <c r="K504" s="621">
        <f>((L182*RAINrate.R*L185+L179)/L30)</f>
        <v>1.4105196107430861E-7</v>
      </c>
      <c r="L504" s="298">
        <f t="shared" si="24"/>
        <v>1.4105196107430861E-7</v>
      </c>
      <c r="M504" s="568" t="s">
        <v>340</v>
      </c>
      <c r="N504" s="567" t="s">
        <v>1869</v>
      </c>
      <c r="O504" s="606"/>
      <c r="P504" s="585"/>
      <c r="Q504" s="11"/>
      <c r="R504" s="11"/>
      <c r="S504" s="11"/>
    </row>
    <row r="505" spans="1:19" ht="12.75" customHeight="1" x14ac:dyDescent="0.2">
      <c r="A505" s="567" t="s">
        <v>1876</v>
      </c>
      <c r="B505" s="567"/>
      <c r="C505" s="567"/>
      <c r="D505" s="567"/>
      <c r="E505" s="567"/>
      <c r="F505" s="567"/>
      <c r="G505" s="568" t="s">
        <v>1877</v>
      </c>
      <c r="H505" s="568" t="s">
        <v>340</v>
      </c>
      <c r="I505" s="573"/>
      <c r="J505" s="294" t="str">
        <f>IF(ISBLANK(HLOOKUP(CaseName,CaseData,MATCH($G505,cases!$G$4:$G$2458,0),FALSE)),"",HLOOKUP(CaseName,CaseData,MATCH($G505,cases!$G$4:$G$2458,0),FALSE))</f>
        <v/>
      </c>
      <c r="K505" s="621">
        <f>((L183*RAINrate.R*L186+L180)/L31)</f>
        <v>6.4182390753802476E-8</v>
      </c>
      <c r="L505" s="298">
        <f t="shared" si="24"/>
        <v>6.4182390753802476E-8</v>
      </c>
      <c r="M505" s="568" t="s">
        <v>340</v>
      </c>
      <c r="N505" s="567" t="s">
        <v>1869</v>
      </c>
      <c r="O505" s="606"/>
      <c r="P505" s="585"/>
      <c r="Q505" s="11"/>
      <c r="R505" s="11"/>
      <c r="S505" s="11"/>
    </row>
    <row r="506" spans="1:19" ht="12" customHeight="1" x14ac:dyDescent="0.2">
      <c r="A506" s="567" t="s">
        <v>1878</v>
      </c>
      <c r="B506" s="567"/>
      <c r="C506" s="567"/>
      <c r="D506" s="567"/>
      <c r="E506" s="567"/>
      <c r="F506" s="567"/>
      <c r="G506" s="568" t="s">
        <v>1879</v>
      </c>
      <c r="H506" s="568" t="s">
        <v>340</v>
      </c>
      <c r="I506" s="573"/>
      <c r="J506" s="294" t="str">
        <f>IF(ISBLANK(HLOOKUP(CaseName,CaseData,MATCH($G506,cases!$G$4:$G$2458,0),FALSE)),"",HLOOKUP(CaseName,CaseData,MATCH($G506,cases!$G$4:$G$2458,0),FALSE))</f>
        <v/>
      </c>
      <c r="K506" s="621">
        <f>((L184*RAINrate.R*L187+L181)/L32)</f>
        <v>1.4105196107430861E-7</v>
      </c>
      <c r="L506" s="298">
        <f t="shared" si="24"/>
        <v>1.4105196107430861E-7</v>
      </c>
      <c r="M506" s="568" t="s">
        <v>340</v>
      </c>
      <c r="N506" s="567" t="s">
        <v>1869</v>
      </c>
      <c r="O506" s="606"/>
      <c r="P506" s="585"/>
      <c r="Q506" s="11"/>
      <c r="R506" s="11"/>
      <c r="S506" s="11"/>
    </row>
    <row r="507" spans="1:19" ht="12.75" customHeight="1" x14ac:dyDescent="0.2">
      <c r="A507" s="567" t="s">
        <v>1880</v>
      </c>
      <c r="B507" s="567"/>
      <c r="C507" s="567"/>
      <c r="D507" s="567"/>
      <c r="E507" s="567"/>
      <c r="F507" s="567"/>
      <c r="G507" s="568" t="s">
        <v>1881</v>
      </c>
      <c r="H507" s="568" t="s">
        <v>340</v>
      </c>
      <c r="I507" s="573"/>
      <c r="J507" s="294" t="str">
        <f>IF(ISBLANK(HLOOKUP(CaseName,CaseData,MATCH($G507,cases!$G$4:$G$2458,0),FALSE)),"",HLOOKUP(CaseName,CaseData,MATCH($G507,cases!$G$4:$G$2458,0),FALSE))</f>
        <v/>
      </c>
      <c r="K507" s="621">
        <f>(L179/L30)</f>
        <v>1.9025875190258751E-11</v>
      </c>
      <c r="L507" s="298">
        <f t="shared" si="24"/>
        <v>1.9025875190258751E-11</v>
      </c>
      <c r="M507" s="568" t="s">
        <v>340</v>
      </c>
      <c r="N507" s="567" t="s">
        <v>1882</v>
      </c>
      <c r="O507" s="606"/>
      <c r="P507" s="585"/>
      <c r="Q507" s="11"/>
      <c r="R507" s="11"/>
      <c r="S507" s="11"/>
    </row>
    <row r="508" spans="1:19" ht="12.75" customHeight="1" x14ac:dyDescent="0.2">
      <c r="A508" s="567" t="s">
        <v>1883</v>
      </c>
      <c r="B508" s="567"/>
      <c r="C508" s="567"/>
      <c r="D508" s="567"/>
      <c r="E508" s="567"/>
      <c r="F508" s="567"/>
      <c r="G508" s="568" t="s">
        <v>1884</v>
      </c>
      <c r="H508" s="568" t="s">
        <v>340</v>
      </c>
      <c r="I508" s="573"/>
      <c r="J508" s="294" t="str">
        <f>IF(ISBLANK(HLOOKUP(CaseName,CaseData,MATCH($G508,cases!$G$4:$G$2458,0),FALSE)),"",HLOOKUP(CaseName,CaseData,MATCH($G508,cases!$G$4:$G$2458,0),FALSE))</f>
        <v/>
      </c>
      <c r="K508" s="621">
        <f>(L180/L31)</f>
        <v>4.7564687975646877E-12</v>
      </c>
      <c r="L508" s="298">
        <f t="shared" si="24"/>
        <v>4.7564687975646877E-12</v>
      </c>
      <c r="M508" s="568" t="s">
        <v>340</v>
      </c>
      <c r="N508" s="567" t="s">
        <v>1882</v>
      </c>
      <c r="O508" s="606"/>
      <c r="P508" s="585"/>
      <c r="Q508" s="11"/>
      <c r="R508" s="11"/>
      <c r="S508" s="11"/>
    </row>
    <row r="509" spans="1:19" s="632" customFormat="1" ht="12.75" customHeight="1" x14ac:dyDescent="0.2">
      <c r="A509" s="599" t="s">
        <v>1885</v>
      </c>
      <c r="B509" s="599"/>
      <c r="C509" s="599"/>
      <c r="D509" s="599"/>
      <c r="E509" s="599"/>
      <c r="F509" s="599"/>
      <c r="G509" s="602" t="s">
        <v>1886</v>
      </c>
      <c r="H509" s="602" t="s">
        <v>340</v>
      </c>
      <c r="I509" s="719"/>
      <c r="J509" s="294" t="str">
        <f>IF(ISBLANK(HLOOKUP(CaseName,CaseData,MATCH($G509,cases!$G$4:$G$2458,0),FALSE)),"",HLOOKUP(CaseName,CaseData,MATCH($G509,cases!$G$4:$G$2458,0),FALSE))</f>
        <v/>
      </c>
      <c r="K509" s="622">
        <f>(L181/L32)</f>
        <v>1.9025875190258751E-11</v>
      </c>
      <c r="L509" s="681">
        <f t="shared" si="24"/>
        <v>1.9025875190258751E-11</v>
      </c>
      <c r="M509" s="602" t="s">
        <v>340</v>
      </c>
      <c r="N509" s="599" t="s">
        <v>1882</v>
      </c>
      <c r="O509" s="967"/>
      <c r="P509" s="968"/>
      <c r="Q509" s="963"/>
      <c r="R509" s="963"/>
      <c r="S509" s="963"/>
    </row>
    <row r="510" spans="1:19" s="632" customFormat="1" ht="12.75" customHeight="1" x14ac:dyDescent="0.2">
      <c r="A510" s="487"/>
      <c r="B510" s="487"/>
      <c r="C510" s="487"/>
      <c r="D510" s="487"/>
      <c r="E510" s="487"/>
      <c r="F510" s="487"/>
      <c r="G510" s="651"/>
      <c r="H510" s="651"/>
      <c r="I510" s="652"/>
      <c r="J510" s="718"/>
      <c r="K510" s="469"/>
      <c r="L510" s="654"/>
      <c r="M510" s="651"/>
      <c r="N510"/>
      <c r="O510" s="962"/>
      <c r="P510" s="963"/>
      <c r="Q510" s="963"/>
      <c r="R510" s="963"/>
      <c r="S510" s="963"/>
    </row>
    <row r="511" spans="1:19" s="634" customFormat="1" ht="12.75" customHeight="1" x14ac:dyDescent="0.2">
      <c r="A511" s="633" t="s">
        <v>1887</v>
      </c>
      <c r="G511" s="633" t="s">
        <v>263</v>
      </c>
      <c r="H511" s="633" t="s">
        <v>279</v>
      </c>
      <c r="I511" s="661" t="s">
        <v>264</v>
      </c>
      <c r="J511" s="641"/>
      <c r="K511" s="661" t="s">
        <v>265</v>
      </c>
      <c r="L511" s="180" t="s">
        <v>266</v>
      </c>
      <c r="N511" s="633" t="s">
        <v>267</v>
      </c>
      <c r="O511" s="395"/>
    </row>
    <row r="512" spans="1:19" s="386" customFormat="1" ht="12.75" customHeight="1" x14ac:dyDescent="0.2">
      <c r="A512" s="568" t="s">
        <v>1322</v>
      </c>
      <c r="B512" s="567"/>
      <c r="C512" s="567"/>
      <c r="D512" s="567"/>
      <c r="E512" s="567"/>
      <c r="F512" s="567"/>
      <c r="G512" s="568" t="s">
        <v>1888</v>
      </c>
      <c r="H512" s="568" t="s">
        <v>624</v>
      </c>
      <c r="I512" s="713"/>
      <c r="J512" s="294" t="str">
        <f>IF(ISBLANK(HLOOKUP(CaseName,CaseData,MATCH($G512,cases!$G$4:$G$2458,0),FALSE)),"",HLOOKUP(CaseName,CaseData,MATCH($G512,cases!$G$4:$G$2458,0),FALSE))</f>
        <v/>
      </c>
      <c r="K512" s="753">
        <f>L201+kdegS.a</f>
        <v>3.663258818281463E-10</v>
      </c>
      <c r="L512" s="298">
        <f t="shared" ref="L512:L547" si="25">IF(ISBLANK(I512),IF(ISNUMBER(J512)=FALSE,K512,J512),I512)</f>
        <v>3.663258818281463E-10</v>
      </c>
      <c r="M512" s="567" t="s">
        <v>1048</v>
      </c>
      <c r="N512" s="603"/>
      <c r="O512" s="607"/>
      <c r="P512" s="578"/>
      <c r="Q512" s="753"/>
      <c r="S512" s="806"/>
    </row>
    <row r="513" spans="1:19" s="386" customFormat="1" ht="12.75" customHeight="1" x14ac:dyDescent="0.2">
      <c r="A513" s="568" t="s">
        <v>1322</v>
      </c>
      <c r="B513" s="567"/>
      <c r="C513" s="567"/>
      <c r="D513" s="567"/>
      <c r="E513" s="567"/>
      <c r="F513" s="567"/>
      <c r="G513" s="568" t="s">
        <v>1889</v>
      </c>
      <c r="H513" s="568" t="s">
        <v>624</v>
      </c>
      <c r="I513" s="713"/>
      <c r="J513" s="294" t="str">
        <f>IF(ISBLANK(HLOOKUP(CaseName,CaseData,MATCH($G513,cases!$G$4:$G$2458,0),FALSE)),"",HLOOKUP(CaseName,CaseData,MATCH($G513,cases!$G$4:$G$2458,0),FALSE))</f>
        <v/>
      </c>
      <c r="K513" s="753">
        <f>L201+kdegA.a</f>
        <v>3.663258818281463E-10</v>
      </c>
      <c r="L513" s="298">
        <f t="shared" si="25"/>
        <v>3.663258818281463E-10</v>
      </c>
      <c r="M513" s="567" t="s">
        <v>1048</v>
      </c>
      <c r="N513" s="603">
        <f>KDEG.aA</f>
        <v>3.1848818074386004E-33</v>
      </c>
      <c r="O513" s="607"/>
      <c r="P513" s="578"/>
      <c r="Q513" s="753"/>
      <c r="S513" s="806"/>
    </row>
    <row r="514" spans="1:19" s="386" customFormat="1" ht="12.75" customHeight="1" x14ac:dyDescent="0.2">
      <c r="A514" s="568" t="s">
        <v>1322</v>
      </c>
      <c r="B514" s="567"/>
      <c r="C514" s="567"/>
      <c r="D514" s="567"/>
      <c r="E514" s="567"/>
      <c r="F514" s="567"/>
      <c r="G514" s="568" t="s">
        <v>1890</v>
      </c>
      <c r="H514" s="568" t="s">
        <v>624</v>
      </c>
      <c r="I514" s="713"/>
      <c r="J514" s="294" t="str">
        <f>IF(ISBLANK(HLOOKUP(CaseName,CaseData,MATCH($G514,cases!$G$4:$G$2458,0),FALSE)),"",HLOOKUP(CaseName,CaseData,MATCH($G514,cases!$G$4:$G$2458,0),FALSE))</f>
        <v/>
      </c>
      <c r="K514" s="753">
        <f>L201+kdegP.a</f>
        <v>3.663258818281463E-10</v>
      </c>
      <c r="L514" s="298">
        <f t="shared" si="25"/>
        <v>3.663258818281463E-10</v>
      </c>
      <c r="M514" s="567" t="s">
        <v>1048</v>
      </c>
      <c r="N514" s="603"/>
      <c r="O514" s="607"/>
      <c r="P514" s="578"/>
      <c r="Q514" s="753"/>
      <c r="S514" s="806"/>
    </row>
    <row r="515" spans="1:19" s="386" customFormat="1" ht="12.75" customHeight="1" x14ac:dyDescent="0.2">
      <c r="A515" s="568" t="s">
        <v>1324</v>
      </c>
      <c r="B515" s="567"/>
      <c r="C515" s="567"/>
      <c r="D515" s="567"/>
      <c r="E515" s="567"/>
      <c r="F515" s="567"/>
      <c r="G515" s="568" t="s">
        <v>1891</v>
      </c>
      <c r="H515" s="568" t="s">
        <v>624</v>
      </c>
      <c r="I515" s="713"/>
      <c r="J515" s="294" t="str">
        <f>IF(ISBLANK(HLOOKUP(CaseName,CaseData,MATCH($G515,cases!$G$4:$G$2458,0),FALSE)),"",HLOOKUP(CaseName,CaseData,MATCH($G515,cases!$G$4:$G$2458,0),FALSE))</f>
        <v/>
      </c>
      <c r="K515" s="753">
        <f>kdegS.w0</f>
        <v>0</v>
      </c>
      <c r="L515" s="298">
        <f t="shared" si="25"/>
        <v>0</v>
      </c>
      <c r="M515" s="567" t="s">
        <v>1892</v>
      </c>
      <c r="N515" s="603"/>
      <c r="O515" s="607"/>
      <c r="P515" s="578"/>
      <c r="Q515" s="753"/>
      <c r="S515" s="806"/>
    </row>
    <row r="516" spans="1:19" s="386" customFormat="1" ht="12.75" customHeight="1" x14ac:dyDescent="0.2">
      <c r="A516" s="568" t="s">
        <v>1324</v>
      </c>
      <c r="B516" s="567"/>
      <c r="C516" s="567"/>
      <c r="D516" s="567"/>
      <c r="E516" s="567"/>
      <c r="F516" s="567"/>
      <c r="G516" s="568" t="s">
        <v>1893</v>
      </c>
      <c r="H516" s="568" t="s">
        <v>624</v>
      </c>
      <c r="I516" s="713"/>
      <c r="J516" s="294" t="str">
        <f>IF(ISBLANK(HLOOKUP(CaseName,CaseData,MATCH($G516,cases!$G$4:$G$2458,0),FALSE)),"",HLOOKUP(CaseName,CaseData,MATCH($G516,cases!$G$4:$G$2458,0),FALSE))</f>
        <v/>
      </c>
      <c r="K516" s="753">
        <f>kdegA.w0</f>
        <v>0</v>
      </c>
      <c r="L516" s="298">
        <f t="shared" si="25"/>
        <v>0</v>
      </c>
      <c r="M516" s="567" t="s">
        <v>1892</v>
      </c>
      <c r="N516" s="603"/>
      <c r="O516" s="607"/>
      <c r="P516" s="578"/>
      <c r="Q516" s="753"/>
      <c r="S516" s="806"/>
    </row>
    <row r="517" spans="1:19" s="386" customFormat="1" ht="12.75" customHeight="1" x14ac:dyDescent="0.2">
      <c r="A517" s="568" t="s">
        <v>1324</v>
      </c>
      <c r="B517" s="567"/>
      <c r="C517" s="567"/>
      <c r="D517" s="567"/>
      <c r="E517" s="567"/>
      <c r="F517" s="567"/>
      <c r="G517" s="568" t="s">
        <v>1894</v>
      </c>
      <c r="H517" s="568" t="s">
        <v>624</v>
      </c>
      <c r="I517" s="713"/>
      <c r="J517" s="294" t="str">
        <f>IF(ISBLANK(HLOOKUP(CaseName,CaseData,MATCH($G517,cases!$G$4:$G$2458,0),FALSE)),"",HLOOKUP(CaseName,CaseData,MATCH($G517,cases!$G$4:$G$2458,0),FALSE))</f>
        <v/>
      </c>
      <c r="K517" s="753">
        <f>kdegP.w0</f>
        <v>0</v>
      </c>
      <c r="L517" s="298">
        <f t="shared" si="25"/>
        <v>0</v>
      </c>
      <c r="M517" s="567" t="s">
        <v>1892</v>
      </c>
      <c r="N517" s="603"/>
      <c r="O517" s="607"/>
      <c r="P517" s="578"/>
      <c r="Q517" s="753"/>
      <c r="S517" s="806"/>
    </row>
    <row r="518" spans="1:19" s="386" customFormat="1" ht="12.75" customHeight="1" x14ac:dyDescent="0.2">
      <c r="A518" s="568" t="s">
        <v>1326</v>
      </c>
      <c r="B518" s="567"/>
      <c r="C518" s="567"/>
      <c r="D518" s="567"/>
      <c r="E518" s="567"/>
      <c r="F518" s="567"/>
      <c r="G518" s="568" t="s">
        <v>1895</v>
      </c>
      <c r="H518" s="568" t="s">
        <v>624</v>
      </c>
      <c r="I518" s="713"/>
      <c r="J518" s="294" t="str">
        <f>IF(ISBLANK(HLOOKUP(CaseName,CaseData,MATCH($G518,cases!$G$4:$G$2458,0),FALSE)),"",HLOOKUP(CaseName,CaseData,MATCH($G518,cases!$G$4:$G$2458,0),FALSE))</f>
        <v/>
      </c>
      <c r="K518" s="753">
        <f>kdegS.w1</f>
        <v>0</v>
      </c>
      <c r="L518" s="298">
        <f t="shared" si="25"/>
        <v>0</v>
      </c>
      <c r="M518" s="567" t="s">
        <v>1892</v>
      </c>
      <c r="N518" s="603"/>
      <c r="O518" s="607"/>
      <c r="P518" s="578"/>
      <c r="Q518" s="753"/>
      <c r="S518" s="806"/>
    </row>
    <row r="519" spans="1:19" s="386" customFormat="1" ht="12.75" customHeight="1" x14ac:dyDescent="0.2">
      <c r="A519" s="568" t="s">
        <v>1326</v>
      </c>
      <c r="B519" s="567"/>
      <c r="C519" s="567"/>
      <c r="D519" s="567"/>
      <c r="E519" s="567"/>
      <c r="F519" s="567"/>
      <c r="G519" s="568" t="s">
        <v>1896</v>
      </c>
      <c r="H519" s="568" t="s">
        <v>624</v>
      </c>
      <c r="I519" s="713"/>
      <c r="J519" s="294" t="str">
        <f>IF(ISBLANK(HLOOKUP(CaseName,CaseData,MATCH($G519,cases!$G$4:$G$2458,0),FALSE)),"",HLOOKUP(CaseName,CaseData,MATCH($G519,cases!$G$4:$G$2458,0),FALSE))</f>
        <v/>
      </c>
      <c r="K519" s="753">
        <f>kdegA.w1</f>
        <v>0</v>
      </c>
      <c r="L519" s="298">
        <f t="shared" si="25"/>
        <v>0</v>
      </c>
      <c r="M519" s="567" t="s">
        <v>1892</v>
      </c>
      <c r="N519" s="603"/>
      <c r="O519" s="607"/>
      <c r="P519" s="578"/>
      <c r="Q519" s="753"/>
      <c r="S519" s="806"/>
    </row>
    <row r="520" spans="1:19" s="386" customFormat="1" ht="12.75" customHeight="1" x14ac:dyDescent="0.2">
      <c r="A520" s="568" t="s">
        <v>1326</v>
      </c>
      <c r="B520" s="567"/>
      <c r="C520" s="567"/>
      <c r="D520" s="567"/>
      <c r="E520" s="567"/>
      <c r="F520" s="567"/>
      <c r="G520" s="568" t="s">
        <v>1897</v>
      </c>
      <c r="H520" s="568" t="s">
        <v>624</v>
      </c>
      <c r="I520" s="713"/>
      <c r="J520" s="294" t="str">
        <f>IF(ISBLANK(HLOOKUP(CaseName,CaseData,MATCH($G520,cases!$G$4:$G$2458,0),FALSE)),"",HLOOKUP(CaseName,CaseData,MATCH($G520,cases!$G$4:$G$2458,0),FALSE))</f>
        <v/>
      </c>
      <c r="K520" s="753">
        <f>kdegP.w1</f>
        <v>0</v>
      </c>
      <c r="L520" s="298">
        <f t="shared" si="25"/>
        <v>0</v>
      </c>
      <c r="M520" s="567" t="s">
        <v>1892</v>
      </c>
      <c r="N520" s="603"/>
      <c r="O520" s="607"/>
      <c r="P520" s="578"/>
      <c r="Q520" s="753"/>
      <c r="S520" s="806"/>
    </row>
    <row r="521" spans="1:19" s="386" customFormat="1" ht="12.75" customHeight="1" x14ac:dyDescent="0.2">
      <c r="A521" s="568" t="s">
        <v>1328</v>
      </c>
      <c r="B521" s="567"/>
      <c r="C521" s="567"/>
      <c r="D521" s="567"/>
      <c r="E521" s="567"/>
      <c r="F521" s="567"/>
      <c r="G521" s="568" t="s">
        <v>1898</v>
      </c>
      <c r="H521" s="568" t="s">
        <v>624</v>
      </c>
      <c r="I521" s="713"/>
      <c r="J521" s="294" t="str">
        <f>IF(ISBLANK(HLOOKUP(CaseName,CaseData,MATCH($G521,cases!$G$4:$G$2458,0),FALSE)),"",HLOOKUP(CaseName,CaseData,MATCH($G521,cases!$G$4:$G$2458,0),FALSE))</f>
        <v/>
      </c>
      <c r="K521" s="753">
        <f>kdegS.w2</f>
        <v>0</v>
      </c>
      <c r="L521" s="298">
        <f t="shared" si="25"/>
        <v>0</v>
      </c>
      <c r="M521" s="567" t="s">
        <v>1892</v>
      </c>
      <c r="N521" s="603"/>
      <c r="O521" s="607"/>
      <c r="P521" s="578"/>
      <c r="Q521" s="753"/>
      <c r="S521" s="806"/>
    </row>
    <row r="522" spans="1:19" s="386" customFormat="1" ht="12.75" customHeight="1" x14ac:dyDescent="0.2">
      <c r="A522" s="568" t="s">
        <v>1328</v>
      </c>
      <c r="B522" s="567"/>
      <c r="C522" s="567"/>
      <c r="D522" s="567"/>
      <c r="E522" s="567"/>
      <c r="F522" s="567"/>
      <c r="G522" s="568" t="s">
        <v>1899</v>
      </c>
      <c r="H522" s="568" t="s">
        <v>624</v>
      </c>
      <c r="I522" s="713"/>
      <c r="J522" s="294" t="str">
        <f>IF(ISBLANK(HLOOKUP(CaseName,CaseData,MATCH($G522,cases!$G$4:$G$2458,0),FALSE)),"",HLOOKUP(CaseName,CaseData,MATCH($G522,cases!$G$4:$G$2458,0),FALSE))</f>
        <v/>
      </c>
      <c r="K522" s="753">
        <f>kdegA.w2</f>
        <v>0</v>
      </c>
      <c r="L522" s="298">
        <f t="shared" si="25"/>
        <v>0</v>
      </c>
      <c r="M522" s="567" t="s">
        <v>1892</v>
      </c>
      <c r="N522" s="603"/>
      <c r="O522" s="607"/>
      <c r="P522" s="578"/>
      <c r="Q522" s="753"/>
      <c r="S522" s="806"/>
    </row>
    <row r="523" spans="1:19" s="386" customFormat="1" ht="12.75" customHeight="1" x14ac:dyDescent="0.2">
      <c r="A523" s="568" t="s">
        <v>1328</v>
      </c>
      <c r="B523" s="567"/>
      <c r="C523" s="567"/>
      <c r="D523" s="567"/>
      <c r="E523" s="567"/>
      <c r="F523" s="567"/>
      <c r="G523" s="568" t="s">
        <v>1900</v>
      </c>
      <c r="H523" s="568" t="s">
        <v>624</v>
      </c>
      <c r="I523" s="713"/>
      <c r="J523" s="294" t="str">
        <f>IF(ISBLANK(HLOOKUP(CaseName,CaseData,MATCH($G523,cases!$G$4:$G$2458,0),FALSE)),"",HLOOKUP(CaseName,CaseData,MATCH($G523,cases!$G$4:$G$2458,0),FALSE))</f>
        <v/>
      </c>
      <c r="K523" s="753">
        <f>kdegP.w2</f>
        <v>0</v>
      </c>
      <c r="L523" s="298">
        <f t="shared" si="25"/>
        <v>0</v>
      </c>
      <c r="M523" s="567" t="s">
        <v>1892</v>
      </c>
      <c r="N523" s="603"/>
      <c r="O523" s="607"/>
      <c r="P523" s="578"/>
      <c r="Q523" s="753"/>
      <c r="S523" s="806"/>
    </row>
    <row r="524" spans="1:19" s="386" customFormat="1" ht="12.75" customHeight="1" x14ac:dyDescent="0.2">
      <c r="A524" s="568" t="s">
        <v>1330</v>
      </c>
      <c r="B524" s="567"/>
      <c r="C524" s="567"/>
      <c r="D524" s="567"/>
      <c r="E524" s="567"/>
      <c r="F524" s="567"/>
      <c r="G524" s="568" t="s">
        <v>1901</v>
      </c>
      <c r="H524" s="568" t="s">
        <v>624</v>
      </c>
      <c r="I524" s="713"/>
      <c r="J524" s="294" t="str">
        <f>IF(ISBLANK(HLOOKUP(CaseName,CaseData,MATCH($G524,cases!$G$4:$G$2458,0),FALSE)),"",HLOOKUP(CaseName,CaseData,MATCH($G524,cases!$G$4:$G$2458,0),FALSE))</f>
        <v/>
      </c>
      <c r="K524" s="699">
        <f>L545+kdegS.sd0</f>
        <v>2.8953682563842399E-9</v>
      </c>
      <c r="L524" s="298">
        <f t="shared" si="25"/>
        <v>2.8953682563842399E-9</v>
      </c>
      <c r="M524" s="567" t="s">
        <v>1892</v>
      </c>
      <c r="N524" s="603"/>
      <c r="O524" s="607"/>
      <c r="P524" s="578"/>
      <c r="Q524" s="699"/>
      <c r="S524" s="806"/>
    </row>
    <row r="525" spans="1:19" s="386" customFormat="1" ht="12.75" customHeight="1" x14ac:dyDescent="0.2">
      <c r="A525" s="568" t="s">
        <v>1330</v>
      </c>
      <c r="B525" s="567"/>
      <c r="C525" s="567"/>
      <c r="D525" s="567"/>
      <c r="E525" s="567"/>
      <c r="F525" s="567"/>
      <c r="G525" s="568" t="s">
        <v>1902</v>
      </c>
      <c r="H525" s="568" t="s">
        <v>624</v>
      </c>
      <c r="I525" s="713"/>
      <c r="J525" s="294" t="str">
        <f>IF(ISBLANK(HLOOKUP(CaseName,CaseData,MATCH($G525,cases!$G$4:$G$2458,0),FALSE)),"",HLOOKUP(CaseName,CaseData,MATCH($G525,cases!$G$4:$G$2458,0),FALSE))</f>
        <v/>
      </c>
      <c r="K525" s="699">
        <f>L545+kdegA.sd0</f>
        <v>2.8953682563842399E-9</v>
      </c>
      <c r="L525" s="298">
        <f t="shared" si="25"/>
        <v>2.8953682563842399E-9</v>
      </c>
      <c r="M525" s="567" t="s">
        <v>1892</v>
      </c>
      <c r="N525" s="603"/>
      <c r="O525" s="607"/>
      <c r="P525" s="578"/>
      <c r="Q525" s="699"/>
      <c r="S525" s="806"/>
    </row>
    <row r="526" spans="1:19" s="386" customFormat="1" ht="12.75" customHeight="1" x14ac:dyDescent="0.2">
      <c r="A526" s="568" t="s">
        <v>1330</v>
      </c>
      <c r="B526" s="567"/>
      <c r="C526" s="567"/>
      <c r="D526" s="567"/>
      <c r="E526" s="567"/>
      <c r="F526" s="567"/>
      <c r="G526" s="568" t="s">
        <v>1903</v>
      </c>
      <c r="H526" s="568" t="s">
        <v>624</v>
      </c>
      <c r="I526" s="713"/>
      <c r="J526" s="294" t="str">
        <f>IF(ISBLANK(HLOOKUP(CaseName,CaseData,MATCH($G526,cases!$G$4:$G$2458,0),FALSE)),"",HLOOKUP(CaseName,CaseData,MATCH($G526,cases!$G$4:$G$2458,0),FALSE))</f>
        <v/>
      </c>
      <c r="K526" s="699">
        <f>L545+kdegP.sd0</f>
        <v>2.8953682563842399E-9</v>
      </c>
      <c r="L526" s="298">
        <f t="shared" si="25"/>
        <v>2.8953682563842399E-9</v>
      </c>
      <c r="M526" s="567" t="s">
        <v>1892</v>
      </c>
      <c r="N526" s="603"/>
      <c r="O526" s="607"/>
      <c r="P526" s="578"/>
      <c r="Q526" s="699"/>
      <c r="S526" s="806"/>
    </row>
    <row r="527" spans="1:19" s="386" customFormat="1" ht="12.75" customHeight="1" x14ac:dyDescent="0.2">
      <c r="A527" s="568" t="s">
        <v>1332</v>
      </c>
      <c r="B527" s="567"/>
      <c r="C527" s="567"/>
      <c r="D527" s="567"/>
      <c r="E527" s="567"/>
      <c r="F527" s="567"/>
      <c r="G527" s="568" t="s">
        <v>1904</v>
      </c>
      <c r="H527" s="568" t="s">
        <v>624</v>
      </c>
      <c r="I527" s="713"/>
      <c r="J527" s="294" t="str">
        <f>IF(ISBLANK(HLOOKUP(CaseName,CaseData,MATCH($G527,cases!$G$4:$G$2458,0),FALSE)),"",HLOOKUP(CaseName,CaseData,MATCH($G527,cases!$G$4:$G$2458,0),FALSE))</f>
        <v/>
      </c>
      <c r="K527" s="699">
        <f>L546+kdegS.sd1</f>
        <v>2.8953682563842399E-9</v>
      </c>
      <c r="L527" s="298">
        <f t="shared" si="25"/>
        <v>2.8953682563842399E-9</v>
      </c>
      <c r="M527" s="567" t="s">
        <v>1892</v>
      </c>
      <c r="N527" s="603"/>
      <c r="O527" s="607"/>
      <c r="P527" s="578"/>
      <c r="Q527" s="699"/>
      <c r="S527" s="806"/>
    </row>
    <row r="528" spans="1:19" s="386" customFormat="1" ht="12.75" customHeight="1" x14ac:dyDescent="0.2">
      <c r="A528" s="568" t="s">
        <v>1332</v>
      </c>
      <c r="B528" s="567"/>
      <c r="C528" s="567"/>
      <c r="D528" s="567"/>
      <c r="E528" s="567"/>
      <c r="F528" s="567"/>
      <c r="G528" s="568" t="s">
        <v>1905</v>
      </c>
      <c r="H528" s="568" t="s">
        <v>624</v>
      </c>
      <c r="I528" s="713"/>
      <c r="J528" s="294" t="str">
        <f>IF(ISBLANK(HLOOKUP(CaseName,CaseData,MATCH($G528,cases!$G$4:$G$2458,0),FALSE)),"",HLOOKUP(CaseName,CaseData,MATCH($G528,cases!$G$4:$G$2458,0),FALSE))</f>
        <v/>
      </c>
      <c r="K528" s="699">
        <f>L546+kdegA.sd1</f>
        <v>2.8953682563842399E-9</v>
      </c>
      <c r="L528" s="298">
        <f t="shared" si="25"/>
        <v>2.8953682563842399E-9</v>
      </c>
      <c r="M528" s="567" t="s">
        <v>1892</v>
      </c>
      <c r="N528" s="603"/>
      <c r="O528" s="607"/>
      <c r="P528" s="578"/>
      <c r="Q528" s="699"/>
      <c r="S528" s="806"/>
    </row>
    <row r="529" spans="1:19" s="386" customFormat="1" ht="12.75" customHeight="1" x14ac:dyDescent="0.2">
      <c r="A529" s="568" t="s">
        <v>1332</v>
      </c>
      <c r="B529" s="567"/>
      <c r="C529" s="567"/>
      <c r="D529" s="567"/>
      <c r="E529" s="567"/>
      <c r="F529" s="567"/>
      <c r="G529" s="568" t="s">
        <v>1906</v>
      </c>
      <c r="H529" s="568" t="s">
        <v>624</v>
      </c>
      <c r="I529" s="713"/>
      <c r="J529" s="294" t="str">
        <f>IF(ISBLANK(HLOOKUP(CaseName,CaseData,MATCH($G529,cases!$G$4:$G$2458,0),FALSE)),"",HLOOKUP(CaseName,CaseData,MATCH($G529,cases!$G$4:$G$2458,0),FALSE))</f>
        <v/>
      </c>
      <c r="K529" s="699">
        <f>L546+kdegP.sd1</f>
        <v>2.8953682563842399E-9</v>
      </c>
      <c r="L529" s="298">
        <f t="shared" si="25"/>
        <v>2.8953682563842399E-9</v>
      </c>
      <c r="M529" s="567" t="s">
        <v>1892</v>
      </c>
      <c r="N529" s="603"/>
      <c r="O529" s="607"/>
      <c r="P529" s="578"/>
      <c r="Q529" s="699"/>
      <c r="S529" s="806"/>
    </row>
    <row r="530" spans="1:19" s="386" customFormat="1" ht="12.75" customHeight="1" x14ac:dyDescent="0.2">
      <c r="A530" s="568" t="s">
        <v>1334</v>
      </c>
      <c r="B530" s="567"/>
      <c r="C530" s="567"/>
      <c r="D530" s="567"/>
      <c r="E530" s="567"/>
      <c r="F530" s="567"/>
      <c r="G530" s="568" t="s">
        <v>1907</v>
      </c>
      <c r="H530" s="568" t="s">
        <v>624</v>
      </c>
      <c r="I530" s="713"/>
      <c r="J530" s="294" t="str">
        <f>IF(ISBLANK(HLOOKUP(CaseName,CaseData,MATCH($G530,cases!$G$4:$G$2458,0),FALSE)),"",HLOOKUP(CaseName,CaseData,MATCH($G530,cases!$G$4:$G$2458,0),FALSE))</f>
        <v/>
      </c>
      <c r="K530" s="699">
        <f>L547+kdegS.sd2</f>
        <v>9.1429324158650348E-10</v>
      </c>
      <c r="L530" s="298">
        <f t="shared" si="25"/>
        <v>9.1429324158650348E-10</v>
      </c>
      <c r="M530" s="567" t="s">
        <v>1892</v>
      </c>
      <c r="N530" s="603"/>
      <c r="O530" s="607"/>
      <c r="P530" s="578"/>
      <c r="Q530" s="699"/>
      <c r="S530" s="806"/>
    </row>
    <row r="531" spans="1:19" s="386" customFormat="1" ht="12.75" customHeight="1" x14ac:dyDescent="0.2">
      <c r="A531" s="568" t="s">
        <v>1334</v>
      </c>
      <c r="B531" s="567"/>
      <c r="C531" s="567"/>
      <c r="D531" s="567"/>
      <c r="E531" s="567"/>
      <c r="F531" s="567"/>
      <c r="G531" s="568" t="s">
        <v>1908</v>
      </c>
      <c r="H531" s="568" t="s">
        <v>624</v>
      </c>
      <c r="I531" s="713"/>
      <c r="J531" s="294" t="str">
        <f>IF(ISBLANK(HLOOKUP(CaseName,CaseData,MATCH($G531,cases!$G$4:$G$2458,0),FALSE)),"",HLOOKUP(CaseName,CaseData,MATCH($G531,cases!$G$4:$G$2458,0),FALSE))</f>
        <v/>
      </c>
      <c r="K531" s="699">
        <f>L547+kdegA.sd2</f>
        <v>9.1429324158650348E-10</v>
      </c>
      <c r="L531" s="298">
        <f t="shared" si="25"/>
        <v>9.1429324158650348E-10</v>
      </c>
      <c r="M531" s="567" t="s">
        <v>1892</v>
      </c>
      <c r="N531" s="603"/>
      <c r="O531" s="607"/>
      <c r="P531" s="578"/>
      <c r="Q531" s="699"/>
      <c r="S531" s="806"/>
    </row>
    <row r="532" spans="1:19" s="386" customFormat="1" ht="12.75" customHeight="1" x14ac:dyDescent="0.2">
      <c r="A532" s="568" t="s">
        <v>1334</v>
      </c>
      <c r="B532" s="567"/>
      <c r="C532" s="567"/>
      <c r="D532" s="567"/>
      <c r="E532" s="567"/>
      <c r="F532" s="567"/>
      <c r="G532" s="568" t="s">
        <v>1909</v>
      </c>
      <c r="H532" s="568" t="s">
        <v>624</v>
      </c>
      <c r="I532" s="713"/>
      <c r="J532" s="294" t="str">
        <f>IF(ISBLANK(HLOOKUP(CaseName,CaseData,MATCH($G532,cases!$G$4:$G$2458,0),FALSE)),"",HLOOKUP(CaseName,CaseData,MATCH($G532,cases!$G$4:$G$2458,0),FALSE))</f>
        <v/>
      </c>
      <c r="K532" s="699">
        <f>L547+kdegP.sd2</f>
        <v>9.1429324158650348E-10</v>
      </c>
      <c r="L532" s="298">
        <f t="shared" si="25"/>
        <v>9.1429324158650348E-10</v>
      </c>
      <c r="M532" s="567" t="s">
        <v>1892</v>
      </c>
      <c r="N532" s="603"/>
      <c r="O532" s="607"/>
      <c r="P532" s="578"/>
      <c r="Q532" s="699"/>
      <c r="S532" s="806"/>
    </row>
    <row r="533" spans="1:19" s="386" customFormat="1" ht="12.75" customHeight="1" x14ac:dyDescent="0.2">
      <c r="A533" s="568" t="s">
        <v>1336</v>
      </c>
      <c r="B533" s="567"/>
      <c r="C533" s="567"/>
      <c r="D533" s="567"/>
      <c r="E533" s="567"/>
      <c r="F533" s="567"/>
      <c r="G533" s="568" t="s">
        <v>1910</v>
      </c>
      <c r="H533" s="568" t="s">
        <v>624</v>
      </c>
      <c r="I533" s="713"/>
      <c r="J533" s="294" t="str">
        <f>IF(ISBLANK(HLOOKUP(CaseName,CaseData,MATCH($G533,cases!$G$4:$G$2458,0),FALSE)),"",HLOOKUP(CaseName,CaseData,MATCH($G533,cases!$G$4:$G$2458,0),FALSE))</f>
        <v/>
      </c>
      <c r="K533" s="699">
        <f>L542+kdegS.s1</f>
        <v>9.5027244249711473E-10</v>
      </c>
      <c r="L533" s="298">
        <f t="shared" si="25"/>
        <v>9.5027244249711473E-10</v>
      </c>
      <c r="M533" s="567" t="s">
        <v>1892</v>
      </c>
      <c r="N533" s="603"/>
      <c r="O533" s="607"/>
      <c r="P533" s="578"/>
      <c r="Q533" s="699"/>
      <c r="S533" s="806"/>
    </row>
    <row r="534" spans="1:19" s="386" customFormat="1" ht="12.75" customHeight="1" x14ac:dyDescent="0.2">
      <c r="A534" s="568" t="s">
        <v>1336</v>
      </c>
      <c r="B534" s="567"/>
      <c r="C534" s="567"/>
      <c r="D534" s="567"/>
      <c r="E534" s="567"/>
      <c r="F534" s="567"/>
      <c r="G534" s="568" t="s">
        <v>1911</v>
      </c>
      <c r="H534" s="568" t="s">
        <v>624</v>
      </c>
      <c r="I534" s="713"/>
      <c r="J534" s="294" t="str">
        <f>IF(ISBLANK(HLOOKUP(CaseName,CaseData,MATCH($G534,cases!$G$4:$G$2458,0),FALSE)),"",HLOOKUP(CaseName,CaseData,MATCH($G534,cases!$G$4:$G$2458,0),FALSE))</f>
        <v/>
      </c>
      <c r="K534" s="699">
        <f>L542+kdegA.s1</f>
        <v>9.5027244249711473E-10</v>
      </c>
      <c r="L534" s="298">
        <f t="shared" si="25"/>
        <v>9.5027244249711473E-10</v>
      </c>
      <c r="M534" s="567" t="s">
        <v>1892</v>
      </c>
      <c r="N534" s="603"/>
      <c r="O534" s="607"/>
      <c r="P534" s="578"/>
      <c r="Q534" s="699"/>
      <c r="S534" s="806"/>
    </row>
    <row r="535" spans="1:19" s="386" customFormat="1" ht="12.75" customHeight="1" x14ac:dyDescent="0.2">
      <c r="A535" s="568" t="s">
        <v>1336</v>
      </c>
      <c r="B535" s="567"/>
      <c r="C535" s="567"/>
      <c r="D535" s="567"/>
      <c r="E535" s="567"/>
      <c r="F535" s="567"/>
      <c r="G535" s="568" t="s">
        <v>1912</v>
      </c>
      <c r="H535" s="568" t="s">
        <v>624</v>
      </c>
      <c r="I535" s="713"/>
      <c r="J535" s="294" t="str">
        <f>IF(ISBLANK(HLOOKUP(CaseName,CaseData,MATCH($G535,cases!$G$4:$G$2458,0),FALSE)),"",HLOOKUP(CaseName,CaseData,MATCH($G535,cases!$G$4:$G$2458,0),FALSE))</f>
        <v/>
      </c>
      <c r="K535" s="753">
        <f>kdegP.s1</f>
        <v>0</v>
      </c>
      <c r="L535" s="298">
        <f t="shared" si="25"/>
        <v>0</v>
      </c>
      <c r="M535" s="567" t="s">
        <v>1892</v>
      </c>
      <c r="N535" s="603"/>
      <c r="O535" s="607"/>
      <c r="P535" s="578"/>
      <c r="Q535" s="753"/>
      <c r="S535" s="806"/>
    </row>
    <row r="536" spans="1:19" s="386" customFormat="1" ht="12.75" customHeight="1" x14ac:dyDescent="0.2">
      <c r="A536" s="568" t="s">
        <v>1338</v>
      </c>
      <c r="B536" s="567"/>
      <c r="C536" s="567"/>
      <c r="D536" s="567"/>
      <c r="E536" s="567"/>
      <c r="F536" s="567"/>
      <c r="G536" s="568" t="s">
        <v>1913</v>
      </c>
      <c r="H536" s="568" t="s">
        <v>624</v>
      </c>
      <c r="I536" s="713"/>
      <c r="J536" s="294" t="str">
        <f>IF(ISBLANK(HLOOKUP(CaseName,CaseData,MATCH($G536,cases!$G$4:$G$2458,0),FALSE)),"",HLOOKUP(CaseName,CaseData,MATCH($G536,cases!$G$4:$G$2458,0),FALSE))</f>
        <v/>
      </c>
      <c r="K536" s="699">
        <f>L543+kdegS.s2</f>
        <v>4.3242549833905347E-10</v>
      </c>
      <c r="L536" s="298">
        <f t="shared" si="25"/>
        <v>4.3242549833905347E-10</v>
      </c>
      <c r="M536" s="567" t="s">
        <v>1892</v>
      </c>
      <c r="N536" s="603"/>
      <c r="O536" s="607"/>
      <c r="P536" s="578"/>
      <c r="Q536" s="699"/>
      <c r="S536" s="806"/>
    </row>
    <row r="537" spans="1:19" s="386" customFormat="1" ht="12.75" customHeight="1" x14ac:dyDescent="0.2">
      <c r="A537" s="568" t="s">
        <v>1338</v>
      </c>
      <c r="B537" s="567"/>
      <c r="C537" s="567"/>
      <c r="D537" s="567"/>
      <c r="E537" s="567"/>
      <c r="F537" s="567"/>
      <c r="G537" s="568" t="s">
        <v>1914</v>
      </c>
      <c r="H537" s="568" t="s">
        <v>624</v>
      </c>
      <c r="I537" s="713"/>
      <c r="J537" s="294" t="str">
        <f>IF(ISBLANK(HLOOKUP(CaseName,CaseData,MATCH($G537,cases!$G$4:$G$2458,0),FALSE)),"",HLOOKUP(CaseName,CaseData,MATCH($G537,cases!$G$4:$G$2458,0),FALSE))</f>
        <v/>
      </c>
      <c r="K537" s="699">
        <f>L543+kdegA.s2</f>
        <v>4.3242549833905347E-10</v>
      </c>
      <c r="L537" s="298">
        <f t="shared" si="25"/>
        <v>4.3242549833905347E-10</v>
      </c>
      <c r="M537" s="567" t="s">
        <v>1892</v>
      </c>
      <c r="N537" s="603"/>
      <c r="O537" s="607"/>
      <c r="P537" s="578"/>
      <c r="Q537" s="699"/>
      <c r="S537" s="806"/>
    </row>
    <row r="538" spans="1:19" s="386" customFormat="1" ht="12.75" customHeight="1" x14ac:dyDescent="0.2">
      <c r="A538" s="568" t="s">
        <v>1338</v>
      </c>
      <c r="B538" s="567"/>
      <c r="C538" s="567"/>
      <c r="D538" s="567"/>
      <c r="E538" s="567"/>
      <c r="F538" s="567"/>
      <c r="G538" s="568" t="s">
        <v>1915</v>
      </c>
      <c r="H538" s="568" t="s">
        <v>624</v>
      </c>
      <c r="I538" s="713"/>
      <c r="J538" s="294" t="str">
        <f>IF(ISBLANK(HLOOKUP(CaseName,CaseData,MATCH($G538,cases!$G$4:$G$2458,0),FALSE)),"",HLOOKUP(CaseName,CaseData,MATCH($G538,cases!$G$4:$G$2458,0),FALSE))</f>
        <v/>
      </c>
      <c r="K538" s="753">
        <f>kdegP.s2</f>
        <v>0</v>
      </c>
      <c r="L538" s="298">
        <f t="shared" si="25"/>
        <v>0</v>
      </c>
      <c r="M538" s="567" t="s">
        <v>1892</v>
      </c>
      <c r="N538" s="603"/>
      <c r="O538" s="607"/>
      <c r="P538" s="578"/>
      <c r="Q538" s="753"/>
      <c r="S538" s="806"/>
    </row>
    <row r="539" spans="1:19" s="386" customFormat="1" ht="12.75" customHeight="1" x14ac:dyDescent="0.2">
      <c r="A539" s="568" t="s">
        <v>1340</v>
      </c>
      <c r="B539" s="567"/>
      <c r="C539" s="567"/>
      <c r="D539" s="567"/>
      <c r="E539" s="567"/>
      <c r="F539" s="567"/>
      <c r="G539" s="568" t="s">
        <v>1916</v>
      </c>
      <c r="H539" s="568" t="s">
        <v>624</v>
      </c>
      <c r="I539" s="713"/>
      <c r="J539" s="294" t="str">
        <f>IF(ISBLANK(HLOOKUP(CaseName,CaseData,MATCH($G539,cases!$G$4:$G$2458,0),FALSE)),"",HLOOKUP(CaseName,CaseData,MATCH($G539,cases!$G$4:$G$2458,0),FALSE))</f>
        <v/>
      </c>
      <c r="K539" s="699">
        <f>L544+kdegS.s3</f>
        <v>9.5027244249711473E-10</v>
      </c>
      <c r="L539" s="298">
        <f t="shared" si="25"/>
        <v>9.5027244249711473E-10</v>
      </c>
      <c r="M539" s="567" t="s">
        <v>1892</v>
      </c>
      <c r="N539" s="603"/>
      <c r="O539" s="607"/>
      <c r="P539" s="578"/>
      <c r="Q539" s="699"/>
      <c r="S539" s="806"/>
    </row>
    <row r="540" spans="1:19" s="386" customFormat="1" ht="12.75" customHeight="1" x14ac:dyDescent="0.2">
      <c r="A540" s="568" t="s">
        <v>1340</v>
      </c>
      <c r="B540" s="567"/>
      <c r="C540" s="567"/>
      <c r="D540" s="567"/>
      <c r="E540" s="567"/>
      <c r="F540" s="567"/>
      <c r="G540" s="568" t="s">
        <v>1917</v>
      </c>
      <c r="H540" s="568" t="s">
        <v>624</v>
      </c>
      <c r="I540" s="713"/>
      <c r="J540" s="294" t="str">
        <f>IF(ISBLANK(HLOOKUP(CaseName,CaseData,MATCH($G540,cases!$G$4:$G$2458,0),FALSE)),"",HLOOKUP(CaseName,CaseData,MATCH($G540,cases!$G$4:$G$2458,0),FALSE))</f>
        <v/>
      </c>
      <c r="K540" s="699">
        <f>L544+kdegA.s3</f>
        <v>9.5027244249711473E-10</v>
      </c>
      <c r="L540" s="298">
        <f t="shared" si="25"/>
        <v>9.5027244249711473E-10</v>
      </c>
      <c r="M540" s="567" t="s">
        <v>1892</v>
      </c>
      <c r="N540" s="603"/>
      <c r="O540" s="607"/>
      <c r="P540" s="578"/>
      <c r="Q540" s="699"/>
      <c r="S540" s="806"/>
    </row>
    <row r="541" spans="1:19" s="386" customFormat="1" ht="12.75" customHeight="1" x14ac:dyDescent="0.2">
      <c r="A541" s="568" t="s">
        <v>1340</v>
      </c>
      <c r="B541" s="567"/>
      <c r="C541" s="567"/>
      <c r="D541" s="567"/>
      <c r="E541" s="567"/>
      <c r="F541" s="567"/>
      <c r="G541" s="568" t="s">
        <v>1918</v>
      </c>
      <c r="H541" s="568" t="s">
        <v>624</v>
      </c>
      <c r="I541" s="713"/>
      <c r="J541" s="294" t="str">
        <f>IF(ISBLANK(HLOOKUP(CaseName,CaseData,MATCH($G541,cases!$G$4:$G$2458,0),FALSE)),"",HLOOKUP(CaseName,CaseData,MATCH($G541,cases!$G$4:$G$2458,0),FALSE))</f>
        <v/>
      </c>
      <c r="K541" s="753">
        <f>kdegP.s3</f>
        <v>0</v>
      </c>
      <c r="L541" s="298">
        <f t="shared" si="25"/>
        <v>0</v>
      </c>
      <c r="M541" s="567" t="s">
        <v>1892</v>
      </c>
      <c r="N541" s="603"/>
      <c r="O541" s="607"/>
      <c r="P541" s="578"/>
      <c r="Q541" s="753"/>
      <c r="S541" s="806"/>
    </row>
    <row r="542" spans="1:19" ht="12.75" customHeight="1" x14ac:dyDescent="0.2">
      <c r="A542" s="567"/>
      <c r="B542" s="567" t="s">
        <v>1919</v>
      </c>
      <c r="C542" s="567"/>
      <c r="D542" s="567"/>
      <c r="E542" s="567"/>
      <c r="F542" s="567"/>
      <c r="G542" s="568" t="s">
        <v>1920</v>
      </c>
      <c r="H542" s="568" t="s">
        <v>340</v>
      </c>
      <c r="I542" s="713"/>
      <c r="J542" s="294" t="str">
        <f>IF(ISBLANK(HLOOKUP(CaseName,CaseData,MATCH($G542,cases!$G$4:$G$2458,0),FALSE)),"",HLOOKUP(CaseName,CaseData,MATCH($G542,cases!$G$4:$G$2458,0),FALSE))</f>
        <v/>
      </c>
      <c r="K542" s="621">
        <f>(L218*RAINrate.R*L221)/L30</f>
        <v>9.5027244249711473E-10</v>
      </c>
      <c r="L542" s="298">
        <f t="shared" si="25"/>
        <v>9.5027244249711473E-10</v>
      </c>
      <c r="M542" s="567" t="s">
        <v>1892</v>
      </c>
      <c r="N542" s="567" t="s">
        <v>1921</v>
      </c>
      <c r="O542" s="606"/>
      <c r="P542" s="585"/>
      <c r="Q542" s="11"/>
      <c r="R542" s="11"/>
      <c r="S542" s="11"/>
    </row>
    <row r="543" spans="1:19" ht="12.75" customHeight="1" x14ac:dyDescent="0.2">
      <c r="A543" s="567"/>
      <c r="B543" s="567" t="s">
        <v>1922</v>
      </c>
      <c r="C543" s="567"/>
      <c r="D543" s="567"/>
      <c r="E543" s="567"/>
      <c r="F543" s="567"/>
      <c r="G543" s="568" t="s">
        <v>1923</v>
      </c>
      <c r="H543" s="568" t="s">
        <v>340</v>
      </c>
      <c r="I543" s="713"/>
      <c r="J543" s="294" t="str">
        <f>IF(ISBLANK(HLOOKUP(CaseName,CaseData,MATCH($G543,cases!$G$4:$G$2458,0),FALSE)),"",HLOOKUP(CaseName,CaseData,MATCH($G543,cases!$G$4:$G$2458,0),FALSE))</f>
        <v/>
      </c>
      <c r="K543" s="621">
        <f>(L219*RAINrate.R*L222)/L31</f>
        <v>4.3242549833905347E-10</v>
      </c>
      <c r="L543" s="298">
        <f t="shared" si="25"/>
        <v>4.3242549833905347E-10</v>
      </c>
      <c r="M543" s="567" t="s">
        <v>1892</v>
      </c>
      <c r="N543" s="567" t="s">
        <v>1921</v>
      </c>
      <c r="O543" s="606"/>
      <c r="P543" s="585"/>
      <c r="Q543" s="11"/>
      <c r="R543" s="11"/>
      <c r="S543" s="11"/>
    </row>
    <row r="544" spans="1:19" ht="12.75" customHeight="1" x14ac:dyDescent="0.2">
      <c r="A544" s="567"/>
      <c r="B544" s="567" t="s">
        <v>1924</v>
      </c>
      <c r="C544" s="567"/>
      <c r="D544" s="567"/>
      <c r="E544" s="567"/>
      <c r="F544" s="567"/>
      <c r="G544" s="568" t="s">
        <v>1925</v>
      </c>
      <c r="H544" s="568" t="s">
        <v>340</v>
      </c>
      <c r="I544" s="713"/>
      <c r="J544" s="294" t="str">
        <f>IF(ISBLANK(HLOOKUP(CaseName,CaseData,MATCH($G544,cases!$G$4:$G$2458,0),FALSE)),"",HLOOKUP(CaseName,CaseData,MATCH($G544,cases!$G$4:$G$2458,0),FALSE))</f>
        <v/>
      </c>
      <c r="K544" s="621">
        <f>(L220*RAINrate.R*L223)/L32</f>
        <v>9.5027244249711473E-10</v>
      </c>
      <c r="L544" s="298">
        <f t="shared" si="25"/>
        <v>9.5027244249711473E-10</v>
      </c>
      <c r="M544" s="567" t="s">
        <v>1892</v>
      </c>
      <c r="N544" s="567" t="s">
        <v>1921</v>
      </c>
      <c r="O544" s="606"/>
      <c r="P544" s="585"/>
      <c r="Q544" s="11"/>
      <c r="R544" s="11"/>
      <c r="S544" s="806"/>
    </row>
    <row r="545" spans="1:19" ht="12.75" customHeight="1" x14ac:dyDescent="0.2">
      <c r="A545" s="567"/>
      <c r="B545" s="567" t="s">
        <v>1926</v>
      </c>
      <c r="C545" s="567"/>
      <c r="D545" s="567"/>
      <c r="E545" s="567"/>
      <c r="F545" s="567"/>
      <c r="G545" s="568" t="s">
        <v>1927</v>
      </c>
      <c r="H545" s="568" t="s">
        <v>340</v>
      </c>
      <c r="I545" s="713"/>
      <c r="J545" s="294" t="str">
        <f>IF(ISBLANK(HLOOKUP(CaseName,CaseData,MATCH($G545,cases!$G$4:$G$2458,0),FALSE)),"",HLOOKUP(CaseName,CaseData,MATCH($G545,cases!$G$4:$G$2458,0),FALSE))</f>
        <v/>
      </c>
      <c r="K545" s="621">
        <f>L164/L27</f>
        <v>2.8953682563842399E-9</v>
      </c>
      <c r="L545" s="298">
        <f t="shared" si="25"/>
        <v>2.8953682563842399E-9</v>
      </c>
      <c r="M545" s="567" t="s">
        <v>1892</v>
      </c>
      <c r="N545" s="567" t="s">
        <v>1928</v>
      </c>
      <c r="O545" s="606"/>
      <c r="P545" s="585"/>
      <c r="Q545" s="11"/>
      <c r="R545" s="11"/>
      <c r="S545" s="806"/>
    </row>
    <row r="546" spans="1:19" ht="12.75" customHeight="1" x14ac:dyDescent="0.2">
      <c r="A546" s="567"/>
      <c r="B546" s="567" t="s">
        <v>1929</v>
      </c>
      <c r="C546" s="567"/>
      <c r="D546" s="567"/>
      <c r="E546" s="567"/>
      <c r="F546" s="567"/>
      <c r="G546" s="568" t="s">
        <v>1930</v>
      </c>
      <c r="H546" s="568" t="s">
        <v>340</v>
      </c>
      <c r="I546" s="713"/>
      <c r="J546" s="294" t="str">
        <f>IF(ISBLANK(HLOOKUP(CaseName,CaseData,MATCH($G546,cases!$G$4:$G$2458,0),FALSE)),"",HLOOKUP(CaseName,CaseData,MATCH($G546,cases!$G$4:$G$2458,0),FALSE))</f>
        <v/>
      </c>
      <c r="K546" s="621">
        <f>L165/L28</f>
        <v>2.8953682563842399E-9</v>
      </c>
      <c r="L546" s="298">
        <f t="shared" si="25"/>
        <v>2.8953682563842399E-9</v>
      </c>
      <c r="M546" s="567" t="s">
        <v>1892</v>
      </c>
      <c r="N546" s="567" t="s">
        <v>1928</v>
      </c>
      <c r="O546" s="606"/>
      <c r="P546" s="585"/>
      <c r="Q546" s="11"/>
      <c r="R546" s="11"/>
      <c r="S546" s="11"/>
    </row>
    <row r="547" spans="1:19" ht="12.75" customHeight="1" x14ac:dyDescent="0.2">
      <c r="A547" s="567"/>
      <c r="B547" s="567" t="s">
        <v>1931</v>
      </c>
      <c r="C547" s="567"/>
      <c r="D547" s="567"/>
      <c r="E547" s="567"/>
      <c r="F547" s="567"/>
      <c r="G547" s="568" t="s">
        <v>1932</v>
      </c>
      <c r="H547" s="568" t="s">
        <v>340</v>
      </c>
      <c r="I547" s="713"/>
      <c r="J547" s="294" t="str">
        <f>IF(ISBLANK(HLOOKUP(CaseName,CaseData,MATCH($G547,cases!$G$4:$G$2458,0),FALSE)),"",HLOOKUP(CaseName,CaseData,MATCH($G547,cases!$G$4:$G$2458,0),FALSE))</f>
        <v/>
      </c>
      <c r="K547" s="621">
        <f>L166/L29</f>
        <v>9.1429324158650348E-10</v>
      </c>
      <c r="L547" s="298">
        <f t="shared" si="25"/>
        <v>9.1429324158650348E-10</v>
      </c>
      <c r="M547" s="567" t="s">
        <v>1892</v>
      </c>
      <c r="N547" s="567" t="s">
        <v>1928</v>
      </c>
      <c r="O547" s="606"/>
      <c r="P547" s="585"/>
      <c r="Q547" s="11"/>
      <c r="R547" s="11"/>
      <c r="S547" s="11"/>
    </row>
    <row r="548" spans="1:19" ht="12.75" customHeight="1" x14ac:dyDescent="0.2">
      <c r="O548" s="19"/>
      <c r="P548" s="11"/>
      <c r="Q548" s="11"/>
      <c r="R548" s="11"/>
      <c r="S548" s="11"/>
    </row>
    <row r="549" spans="1:19" ht="12.75" customHeight="1" x14ac:dyDescent="0.2">
      <c r="O549" s="19"/>
      <c r="P549" s="11"/>
      <c r="Q549" s="11"/>
      <c r="R549" s="11"/>
      <c r="S549" s="11"/>
    </row>
    <row r="550" spans="1:19" ht="12.75" customHeight="1" x14ac:dyDescent="0.2">
      <c r="O550" s="19"/>
      <c r="P550" s="11"/>
      <c r="Q550" s="11"/>
      <c r="R550" s="11"/>
      <c r="S550" s="11"/>
    </row>
    <row r="551" spans="1:19" ht="12.75" customHeight="1" x14ac:dyDescent="0.2">
      <c r="O551" s="19"/>
      <c r="P551" s="11"/>
      <c r="Q551" s="11"/>
      <c r="R551" s="11"/>
      <c r="S551" s="11"/>
    </row>
    <row r="552" spans="1:19" ht="12.75" customHeight="1" x14ac:dyDescent="0.2">
      <c r="O552" s="19"/>
      <c r="P552" s="11"/>
      <c r="Q552" s="11"/>
      <c r="R552" s="11"/>
      <c r="S552" s="11"/>
    </row>
    <row r="553" spans="1:19" ht="12.75" customHeight="1" x14ac:dyDescent="0.2">
      <c r="O553" s="19"/>
      <c r="P553" s="11"/>
      <c r="Q553" s="11"/>
      <c r="R553" s="11"/>
      <c r="S553" s="11"/>
    </row>
    <row r="554" spans="1:19" ht="12.75" customHeight="1" x14ac:dyDescent="0.2">
      <c r="O554" s="19"/>
      <c r="P554" s="11"/>
      <c r="Q554" s="11"/>
      <c r="R554" s="11"/>
      <c r="S554" s="11"/>
    </row>
    <row r="555" spans="1:19" ht="12.75" customHeight="1" x14ac:dyDescent="0.2">
      <c r="O555" s="19"/>
      <c r="P555" s="11"/>
      <c r="Q555" s="11"/>
      <c r="R555" s="11"/>
      <c r="S555" s="11"/>
    </row>
    <row r="556" spans="1:19" ht="12.75" customHeight="1" x14ac:dyDescent="0.2">
      <c r="O556" s="19"/>
      <c r="P556" s="11"/>
      <c r="Q556" s="11"/>
      <c r="R556" s="11"/>
      <c r="S556" s="11"/>
    </row>
    <row r="557" spans="1:19" ht="12.75" customHeight="1" x14ac:dyDescent="0.2">
      <c r="O557" s="19"/>
      <c r="P557" s="11"/>
      <c r="Q557" s="11"/>
      <c r="R557" s="11"/>
      <c r="S557" s="11"/>
    </row>
    <row r="558" spans="1:19" ht="12.75" customHeight="1" x14ac:dyDescent="0.2">
      <c r="O558" s="19"/>
      <c r="P558" s="11"/>
      <c r="Q558" s="11"/>
      <c r="R558" s="11"/>
      <c r="S558" s="11"/>
    </row>
    <row r="559" spans="1:19" ht="12.75" customHeight="1" x14ac:dyDescent="0.2">
      <c r="O559" s="19"/>
      <c r="P559" s="11"/>
      <c r="Q559" s="11"/>
      <c r="R559" s="11"/>
      <c r="S559" s="11"/>
    </row>
    <row r="560" spans="1:19" ht="12.75" customHeight="1" x14ac:dyDescent="0.2">
      <c r="O560" s="19"/>
      <c r="P560" s="11"/>
      <c r="Q560" s="11"/>
      <c r="R560" s="11"/>
      <c r="S560" s="11"/>
    </row>
    <row r="561" spans="15:15" ht="12.75" customHeight="1" x14ac:dyDescent="0.2">
      <c r="O561" s="19"/>
    </row>
    <row r="562" spans="15:15" ht="12.75" customHeight="1" x14ac:dyDescent="0.2">
      <c r="O562" s="19"/>
    </row>
    <row r="563" spans="15:15" ht="12.75" customHeight="1" x14ac:dyDescent="0.2">
      <c r="O563" s="19"/>
    </row>
    <row r="564" spans="15:15" ht="12.75" customHeight="1" x14ac:dyDescent="0.2">
      <c r="O564" s="19"/>
    </row>
    <row r="565" spans="15:15" ht="12.75" customHeight="1" x14ac:dyDescent="0.2">
      <c r="O565" s="19"/>
    </row>
    <row r="566" spans="15:15" ht="12.75" customHeight="1" x14ac:dyDescent="0.2">
      <c r="O566" s="19"/>
    </row>
    <row r="567" spans="15:15" ht="12.75" customHeight="1" x14ac:dyDescent="0.2">
      <c r="O567" s="19"/>
    </row>
    <row r="568" spans="15:15" ht="12.75" customHeight="1" x14ac:dyDescent="0.2">
      <c r="O568" s="19"/>
    </row>
    <row r="569" spans="15:15" ht="12.75" customHeight="1" x14ac:dyDescent="0.2">
      <c r="O569" s="19"/>
    </row>
    <row r="570" spans="15:15" ht="12.75" customHeight="1" x14ac:dyDescent="0.2">
      <c r="O570" s="19"/>
    </row>
    <row r="571" spans="15:15" ht="12.75" customHeight="1" x14ac:dyDescent="0.2">
      <c r="O571" s="19"/>
    </row>
    <row r="572" spans="15:15" ht="12.75" customHeight="1" x14ac:dyDescent="0.2">
      <c r="O572"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Q228:Q240">
    <cfRule type="cellIs" dxfId="89" priority="6" stopIfTrue="1" operator="greaterThanOrEqual">
      <formula>0.0000000001</formula>
    </cfRule>
  </conditionalFormatting>
  <conditionalFormatting sqref="K130">
    <cfRule type="cellIs" dxfId="88" priority="4" operator="equal">
      <formula>0</formula>
    </cfRule>
  </conditionalFormatting>
  <conditionalFormatting sqref="I163">
    <cfRule type="cellIs" dxfId="87" priority="1"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38" transitionEvaluation="1" transitionEntry="1" codeName="Sheet3"/>
  <dimension ref="A1:V553"/>
  <sheetViews>
    <sheetView topLeftCell="A338" zoomScaleNormal="100" workbookViewId="0">
      <selection activeCell="G360" sqref="G360"/>
    </sheetView>
  </sheetViews>
  <sheetFormatPr defaultColWidth="10.7109375" defaultRowHeight="12.75" customHeight="1" x14ac:dyDescent="0.2"/>
  <cols>
    <col min="1" max="5" width="1.7109375" customWidth="1" collapsed="1"/>
    <col min="6" max="6" width="49.85546875" customWidth="1" collapsed="1"/>
    <col min="7" max="7" width="22.7109375" customWidth="1" collapsed="1"/>
    <col min="8" max="8" width="10.7109375" customWidth="1" collapsed="1"/>
    <col min="9" max="9" width="9.140625" style="28" customWidth="1" collapsed="1"/>
    <col min="10" max="10" width="9.140625" style="268" customWidth="1" collapsed="1"/>
    <col min="11" max="11" width="9.85546875" style="332" customWidth="1" collapsed="1"/>
    <col min="12" max="12" width="9.140625" style="332" customWidth="1" collapsed="1"/>
    <col min="13" max="13" width="9.140625" customWidth="1" collapsed="1"/>
    <col min="14" max="14" width="48.28515625" customWidth="1" collapsed="1"/>
    <col min="15" max="15" width="34.42578125" style="26" bestFit="1" customWidth="1" collapsed="1"/>
    <col min="16" max="16" width="35" style="26" bestFit="1" customWidth="1" collapsed="1"/>
    <col min="17" max="21" width="10.7109375" style="26" collapsed="1"/>
    <col min="22" max="22" width="10.7109375" style="26"/>
    <col min="23" max="16384" width="10.7109375" style="26" collapsed="1"/>
  </cols>
  <sheetData>
    <row r="1" spans="1:14" ht="12.75" customHeight="1" x14ac:dyDescent="0.2">
      <c r="A1" s="280" t="s">
        <v>1933</v>
      </c>
      <c r="B1" s="17"/>
      <c r="C1" s="17"/>
      <c r="D1" s="17"/>
      <c r="E1" s="17"/>
      <c r="F1" s="17"/>
      <c r="G1" s="38"/>
      <c r="H1" s="17"/>
      <c r="I1" s="282"/>
      <c r="J1" s="149"/>
      <c r="K1" s="296"/>
      <c r="L1" s="296"/>
      <c r="M1" s="17"/>
      <c r="N1" s="17"/>
    </row>
    <row r="2" spans="1:14" ht="12.75" customHeight="1" x14ac:dyDescent="0.2">
      <c r="A2" s="17"/>
      <c r="B2" s="17"/>
      <c r="C2" s="17"/>
      <c r="D2" s="17"/>
      <c r="E2" s="17"/>
      <c r="F2" s="17"/>
      <c r="G2" s="17"/>
      <c r="H2" s="17"/>
      <c r="I2" s="282"/>
      <c r="J2" s="149"/>
      <c r="K2" s="296"/>
      <c r="L2" s="296"/>
      <c r="M2" s="17"/>
      <c r="N2" s="17"/>
    </row>
    <row r="3" spans="1:14" customFormat="1" ht="12.75" customHeight="1" x14ac:dyDescent="0.2">
      <c r="A3" s="147" t="s">
        <v>954</v>
      </c>
      <c r="B3" s="147"/>
      <c r="C3" s="147"/>
      <c r="D3" s="147"/>
      <c r="E3" s="147"/>
      <c r="F3" s="147"/>
      <c r="G3" s="148" t="s">
        <v>263</v>
      </c>
      <c r="H3" s="148" t="s">
        <v>279</v>
      </c>
      <c r="I3" s="147" t="s">
        <v>264</v>
      </c>
      <c r="J3" s="150" t="s">
        <v>280</v>
      </c>
      <c r="K3" s="331" t="s">
        <v>265</v>
      </c>
      <c r="L3" s="331" t="s">
        <v>266</v>
      </c>
      <c r="M3" s="147"/>
      <c r="N3" s="148" t="s">
        <v>267</v>
      </c>
    </row>
    <row r="4" spans="1:14" ht="12.75" customHeight="1" x14ac:dyDescent="0.2">
      <c r="A4" s="17"/>
      <c r="B4" s="17"/>
      <c r="C4" s="38"/>
      <c r="D4" s="38"/>
      <c r="E4" s="17"/>
      <c r="F4" s="17"/>
      <c r="G4" s="17"/>
      <c r="H4" s="17"/>
      <c r="I4" s="283"/>
      <c r="J4" s="278"/>
      <c r="K4" s="296"/>
      <c r="L4" s="296"/>
      <c r="M4" s="17"/>
      <c r="N4" s="17"/>
    </row>
    <row r="5" spans="1:14" ht="12.75" customHeight="1" x14ac:dyDescent="0.2">
      <c r="A5" s="38" t="s">
        <v>955</v>
      </c>
      <c r="B5" s="17"/>
      <c r="C5" s="17"/>
      <c r="D5" s="17"/>
      <c r="E5" s="17"/>
      <c r="F5" s="17"/>
      <c r="G5" s="38" t="s">
        <v>1934</v>
      </c>
      <c r="H5" s="17" t="s">
        <v>957</v>
      </c>
      <c r="I5" s="281"/>
      <c r="J5" s="294" t="str">
        <f>IF(ISBLANK(HLOOKUP(CaseName,CaseData,MATCH($G5,cases!$G$4:$G$2458,0),FALSE)),"",HLOOKUP(CaseName,CaseData,MATCH($G5,cases!$G$4:$G$2458,0),FALSE))</f>
        <v/>
      </c>
      <c r="K5" s="435">
        <f>L16*L23*(1-L33)</f>
        <v>7199247840225000</v>
      </c>
      <c r="L5" s="298">
        <f t="shared" ref="L5:L15" si="0">IF(ISBLANK(I5),IF(ISNUMBER(J5)=FALSE,K5,J5),I5)</f>
        <v>7199247840225000</v>
      </c>
      <c r="M5" s="38" t="s">
        <v>958</v>
      </c>
      <c r="N5" s="17"/>
    </row>
    <row r="6" spans="1:14" ht="12.75" customHeight="1" x14ac:dyDescent="0.2">
      <c r="A6" s="568" t="s">
        <v>1935</v>
      </c>
      <c r="B6" s="567"/>
      <c r="C6" s="567"/>
      <c r="D6" s="567"/>
      <c r="E6" s="567"/>
      <c r="F6" s="567"/>
      <c r="G6" s="568" t="s">
        <v>1936</v>
      </c>
      <c r="H6" s="567" t="s">
        <v>957</v>
      </c>
      <c r="I6" s="706"/>
      <c r="J6" s="294" t="str">
        <f>IF(ISBLANK(HLOOKUP(CaseName,CaseData,MATCH($G6,cases!$G$4:$G$2458,0),FALSE)),"",HLOOKUP(CaseName,CaseData,MATCH($G6,cases!$G$4:$G$2458,0),FALSE))</f>
        <v/>
      </c>
      <c r="K6" s="435">
        <f>L33*L5</f>
        <v>2159774352.0675001</v>
      </c>
      <c r="L6" s="298">
        <f t="shared" si="0"/>
        <v>2159774352.0675001</v>
      </c>
      <c r="M6" s="568" t="s">
        <v>958</v>
      </c>
      <c r="N6" s="567"/>
    </row>
    <row r="7" spans="1:14" ht="12.75" customHeight="1" x14ac:dyDescent="0.2">
      <c r="A7" s="38" t="s">
        <v>962</v>
      </c>
      <c r="B7" s="17"/>
      <c r="C7" s="17"/>
      <c r="D7" s="17"/>
      <c r="E7" s="17"/>
      <c r="F7" s="17"/>
      <c r="G7" s="38" t="s">
        <v>1937</v>
      </c>
      <c r="H7" s="38" t="s">
        <v>957</v>
      </c>
      <c r="I7" s="274"/>
      <c r="J7" s="294" t="str">
        <f>IF(ISBLANK(HLOOKUP(CaseName,CaseData,MATCH($G7,cases!$G$4:$G$2458,0),FALSE)),"",HLOOKUP(CaseName,CaseData,MATCH($G7,cases!$G$4:$G$2458,0),FALSE))</f>
        <v/>
      </c>
      <c r="K7" s="435">
        <f>L16*L17*L24</f>
        <v>871460000000</v>
      </c>
      <c r="L7" s="298">
        <f t="shared" si="0"/>
        <v>871460000000</v>
      </c>
      <c r="M7" s="38" t="s">
        <v>958</v>
      </c>
      <c r="N7" s="17"/>
    </row>
    <row r="8" spans="1:14" ht="12.75" customHeight="1" x14ac:dyDescent="0.2">
      <c r="A8" s="38" t="s">
        <v>964</v>
      </c>
      <c r="B8" s="17"/>
      <c r="C8" s="17"/>
      <c r="D8" s="17"/>
      <c r="E8" s="17"/>
      <c r="F8" s="17"/>
      <c r="G8" s="38" t="s">
        <v>1938</v>
      </c>
      <c r="H8" s="17" t="s">
        <v>957</v>
      </c>
      <c r="I8" s="281"/>
      <c r="J8" s="294" t="str">
        <f>IF(ISBLANK(HLOOKUP(CaseName,CaseData,MATCH($G8,cases!$G$4:$G$2458,0),FALSE)),"",HLOOKUP(CaseName,CaseData,MATCH($G8,cases!$G$4:$G$2458,0),FALSE))</f>
        <v/>
      </c>
      <c r="K8" s="435">
        <f>L16*L18*L25</f>
        <v>287581800000</v>
      </c>
      <c r="L8" s="298">
        <f t="shared" si="0"/>
        <v>287581800000</v>
      </c>
      <c r="M8" s="38" t="s">
        <v>958</v>
      </c>
      <c r="N8" s="17"/>
    </row>
    <row r="9" spans="1:14" ht="12.75" customHeight="1" x14ac:dyDescent="0.2">
      <c r="A9" s="38" t="s">
        <v>966</v>
      </c>
      <c r="B9" s="17"/>
      <c r="C9" s="17"/>
      <c r="D9" s="17"/>
      <c r="E9" s="17"/>
      <c r="F9" s="17"/>
      <c r="G9" s="38" t="s">
        <v>1939</v>
      </c>
      <c r="H9" s="17" t="s">
        <v>957</v>
      </c>
      <c r="I9" s="281"/>
      <c r="J9" s="294" t="str">
        <f>IF(ISBLANK(HLOOKUP(CaseName,CaseData,MATCH($G9,cases!$G$4:$G$2458,0),FALSE)),"",HLOOKUP(CaseName,CaseData,MATCH($G9,cases!$G$4:$G$2458,0),FALSE))</f>
        <v/>
      </c>
      <c r="K9" s="435">
        <f>L16*L22*L26</f>
        <v>742682000000000</v>
      </c>
      <c r="L9" s="298">
        <f t="shared" si="0"/>
        <v>742682000000000</v>
      </c>
      <c r="M9" s="38" t="s">
        <v>958</v>
      </c>
      <c r="N9" s="17"/>
    </row>
    <row r="10" spans="1:14" ht="12.75" customHeight="1" x14ac:dyDescent="0.2">
      <c r="A10" s="568" t="s">
        <v>1940</v>
      </c>
      <c r="B10" s="567"/>
      <c r="C10" s="567"/>
      <c r="D10" s="567"/>
      <c r="E10" s="567"/>
      <c r="F10" s="567"/>
      <c r="G10" s="568" t="s">
        <v>1941</v>
      </c>
      <c r="H10" s="567" t="s">
        <v>957</v>
      </c>
      <c r="I10" s="706"/>
      <c r="J10" s="294" t="str">
        <f>IF(ISBLANK(HLOOKUP(CaseName,CaseData,MATCH($G10,cases!$G$4:$G$2458,0),FALSE)),"",HLOOKUP(CaseName,CaseData,MATCH($G10,cases!$G$4:$G$2458,0),FALSE))</f>
        <v/>
      </c>
      <c r="K10" s="435">
        <f>L17*L16*L27</f>
        <v>261438000</v>
      </c>
      <c r="L10" s="298">
        <f t="shared" si="0"/>
        <v>261438000</v>
      </c>
      <c r="M10" s="568" t="s">
        <v>958</v>
      </c>
      <c r="N10" s="567"/>
    </row>
    <row r="11" spans="1:14" ht="12.75" customHeight="1" x14ac:dyDescent="0.2">
      <c r="A11" s="38" t="s">
        <v>970</v>
      </c>
      <c r="B11" s="17"/>
      <c r="C11" s="17"/>
      <c r="D11" s="17"/>
      <c r="E11" s="17"/>
      <c r="F11" s="17"/>
      <c r="G11" s="38" t="s">
        <v>1942</v>
      </c>
      <c r="H11" s="17" t="s">
        <v>957</v>
      </c>
      <c r="I11" s="281"/>
      <c r="J11" s="294" t="str">
        <f>IF(ISBLANK(HLOOKUP(CaseName,CaseData,MATCH($G11,cases!$G$4:$G$2458,0),FALSE)),"",HLOOKUP(CaseName,CaseData,MATCH($G11,cases!$G$4:$G$2458,0),FALSE))</f>
        <v/>
      </c>
      <c r="K11" s="435">
        <f>L16*L18*L28</f>
        <v>2875818000</v>
      </c>
      <c r="L11" s="298">
        <f t="shared" si="0"/>
        <v>2875818000</v>
      </c>
      <c r="M11" s="38" t="s">
        <v>958</v>
      </c>
      <c r="N11" s="17"/>
    </row>
    <row r="12" spans="1:14" ht="12.75" customHeight="1" x14ac:dyDescent="0.2">
      <c r="A12" s="38" t="s">
        <v>972</v>
      </c>
      <c r="B12" s="17"/>
      <c r="C12" s="17"/>
      <c r="D12" s="17"/>
      <c r="E12" s="17"/>
      <c r="F12" s="17"/>
      <c r="G12" s="38" t="s">
        <v>1943</v>
      </c>
      <c r="H12" s="17" t="s">
        <v>957</v>
      </c>
      <c r="I12" s="281"/>
      <c r="J12" s="294" t="str">
        <f>IF(ISBLANK(HLOOKUP(CaseName,CaseData,MATCH($G12,cases!$G$4:$G$2458,0),FALSE)),"",HLOOKUP(CaseName,CaseData,MATCH($G12,cases!$G$4:$G$2458,0),FALSE))</f>
        <v/>
      </c>
      <c r="K12" s="435">
        <f>L16*L22*L29</f>
        <v>111402300000</v>
      </c>
      <c r="L12" s="298">
        <f t="shared" si="0"/>
        <v>111402300000</v>
      </c>
      <c r="M12" s="38" t="s">
        <v>958</v>
      </c>
      <c r="N12" s="17"/>
    </row>
    <row r="13" spans="1:14" ht="12.75" customHeight="1" x14ac:dyDescent="0.2">
      <c r="A13" s="38" t="s">
        <v>974</v>
      </c>
      <c r="B13" s="17"/>
      <c r="C13" s="17"/>
      <c r="D13" s="17"/>
      <c r="E13" s="17"/>
      <c r="F13" s="17"/>
      <c r="G13" s="38" t="s">
        <v>1944</v>
      </c>
      <c r="H13" s="17" t="s">
        <v>957</v>
      </c>
      <c r="I13" s="281"/>
      <c r="J13" s="294" t="str">
        <f>IF(ISBLANK(HLOOKUP(CaseName,CaseData,MATCH($G13,cases!$G$4:$G$2458,0),FALSE)),"",HLOOKUP(CaseName,CaseData,MATCH($G13,cases!$G$4:$G$2458,0),FALSE))</f>
        <v/>
      </c>
      <c r="K13" s="435">
        <f>L16*L19*L30</f>
        <v>47058840000.000015</v>
      </c>
      <c r="L13" s="298">
        <f t="shared" si="0"/>
        <v>47058840000.000015</v>
      </c>
      <c r="M13" s="38" t="s">
        <v>958</v>
      </c>
      <c r="N13" s="17"/>
    </row>
    <row r="14" spans="1:14" ht="12.75" customHeight="1" x14ac:dyDescent="0.2">
      <c r="A14" s="38" t="s">
        <v>976</v>
      </c>
      <c r="B14" s="17"/>
      <c r="C14" s="17"/>
      <c r="D14" s="17"/>
      <c r="E14" s="17"/>
      <c r="F14" s="17"/>
      <c r="G14" s="38" t="s">
        <v>1945</v>
      </c>
      <c r="H14" s="17" t="s">
        <v>957</v>
      </c>
      <c r="I14" s="281"/>
      <c r="J14" s="294" t="str">
        <f>IF(ISBLANK(HLOOKUP(CaseName,CaseData,MATCH($G14,cases!$G$4:$G$2458,0),FALSE)),"",HLOOKUP(CaseName,CaseData,MATCH($G14,cases!$G$4:$G$2458,0),FALSE))</f>
        <v/>
      </c>
      <c r="K14" s="435">
        <f>L16*L20*L31</f>
        <v>418300800000.00006</v>
      </c>
      <c r="L14" s="298">
        <f t="shared" si="0"/>
        <v>418300800000.00006</v>
      </c>
      <c r="M14" s="38" t="s">
        <v>958</v>
      </c>
      <c r="N14" s="17"/>
    </row>
    <row r="15" spans="1:14" ht="12.75" customHeight="1" x14ac:dyDescent="0.2">
      <c r="A15" s="38" t="s">
        <v>978</v>
      </c>
      <c r="B15" s="17"/>
      <c r="C15" s="17"/>
      <c r="D15" s="17"/>
      <c r="E15" s="17"/>
      <c r="F15" s="17"/>
      <c r="G15" s="38" t="s">
        <v>1946</v>
      </c>
      <c r="H15" s="17" t="s">
        <v>957</v>
      </c>
      <c r="I15" s="281"/>
      <c r="J15" s="294" t="str">
        <f>IF(ISBLANK(HLOOKUP(CaseName,CaseData,MATCH($G15,cases!$G$4:$G$2458,0),FALSE)),"",HLOOKUP(CaseName,CaseData,MATCH($G15,cases!$G$4:$G$2458,0),FALSE))</f>
        <v/>
      </c>
      <c r="K15" s="435">
        <f>L16*L21*L32</f>
        <v>17429200000</v>
      </c>
      <c r="L15" s="298">
        <f t="shared" si="0"/>
        <v>17429200000</v>
      </c>
      <c r="M15" s="38" t="s">
        <v>958</v>
      </c>
      <c r="N15" s="17"/>
    </row>
    <row r="16" spans="1:14" ht="12.75" customHeight="1" x14ac:dyDescent="0.2">
      <c r="A16" s="38"/>
      <c r="B16" s="146" t="s">
        <v>1947</v>
      </c>
      <c r="C16" s="17"/>
      <c r="D16" s="17"/>
      <c r="E16" s="17"/>
      <c r="F16" s="17"/>
      <c r="G16" s="38" t="s">
        <v>1948</v>
      </c>
      <c r="H16" s="17" t="s">
        <v>679</v>
      </c>
      <c r="I16" s="281"/>
      <c r="J16" s="294" t="str">
        <f>IF(ISBLANK(HLOOKUP(CaseName,CaseData,MATCH($G16,cases!$G$4:$G$2458,0),FALSE)),"",HLOOKUP(CaseName,CaseData,MATCH($G16,cases!$G$4:$G$2458,0),FALSE))</f>
        <v/>
      </c>
      <c r="K16" s="914">
        <f>(AREAland.C+AREAsea.C)/1000000</f>
        <v>7199250</v>
      </c>
      <c r="L16" s="298">
        <f>IF(ISBLANK(I16),IF(ISNUMBER(J16)=FALSE,K16*1000000,J16*1000000),I16*1000000)</f>
        <v>7199250000000</v>
      </c>
      <c r="M16" s="38" t="s">
        <v>680</v>
      </c>
      <c r="N16" s="17"/>
    </row>
    <row r="17" spans="1:14" ht="12.75" customHeight="1" x14ac:dyDescent="0.2">
      <c r="A17" s="38"/>
      <c r="B17" s="38" t="s">
        <v>982</v>
      </c>
      <c r="C17" s="17"/>
      <c r="D17" s="17"/>
      <c r="E17" s="17"/>
      <c r="F17" s="17"/>
      <c r="G17" s="146" t="s">
        <v>1949</v>
      </c>
      <c r="H17" s="38" t="s">
        <v>296</v>
      </c>
      <c r="I17" s="281"/>
      <c r="J17" s="294" t="str">
        <f>IF(ISBLANK(HLOOKUP(CaseName,CaseData,MATCH($G17,cases!$G$4:$G$2458,0),FALSE)),"",HLOOKUP(CaseName,CaseData,MATCH($G17,cases!$G$4:$G$2458,0),FALSE))</f>
        <v/>
      </c>
      <c r="K17" s="435">
        <f>AREAland.C*FRAClake.C/L16</f>
        <v>1.2104872035281454E-3</v>
      </c>
      <c r="L17" s="298">
        <f t="shared" ref="L17:L26" si="1">IF(ISBLANK(I17),IF(ISNUMBER(J17)=FALSE,K17,J17),I17)</f>
        <v>1.2104872035281454E-3</v>
      </c>
      <c r="M17" s="17" t="s">
        <v>297</v>
      </c>
      <c r="N17" s="17"/>
    </row>
    <row r="18" spans="1:14" ht="12.75" customHeight="1" x14ac:dyDescent="0.2">
      <c r="A18" s="38"/>
      <c r="B18" s="38" t="s">
        <v>984</v>
      </c>
      <c r="C18" s="17"/>
      <c r="D18" s="17"/>
      <c r="E18" s="17"/>
      <c r="F18" s="17"/>
      <c r="G18" s="146" t="s">
        <v>1950</v>
      </c>
      <c r="H18" s="17" t="s">
        <v>296</v>
      </c>
      <c r="I18" s="281"/>
      <c r="J18" s="294" t="str">
        <f>IF(ISBLANK(HLOOKUP(CaseName,CaseData,MATCH($G18,cases!$G$4:$G$2458,0),FALSE)),"",HLOOKUP(CaseName,CaseData,MATCH($G18,cases!$G$4:$G$2458,0),FALSE))</f>
        <v/>
      </c>
      <c r="K18" s="435">
        <f>AREAland.C*FRACfresh.C/L16</f>
        <v>1.3315359238809598E-2</v>
      </c>
      <c r="L18" s="298">
        <f t="shared" si="1"/>
        <v>1.3315359238809598E-2</v>
      </c>
      <c r="M18" s="17" t="s">
        <v>297</v>
      </c>
      <c r="N18" s="17"/>
    </row>
    <row r="19" spans="1:14" ht="12.75" customHeight="1" x14ac:dyDescent="0.2">
      <c r="A19" s="38"/>
      <c r="B19" s="38" t="s">
        <v>986</v>
      </c>
      <c r="C19" s="17"/>
      <c r="D19" s="17"/>
      <c r="E19" s="17"/>
      <c r="F19" s="17"/>
      <c r="G19" s="146" t="s">
        <v>1951</v>
      </c>
      <c r="H19" s="17" t="s">
        <v>296</v>
      </c>
      <c r="I19" s="281"/>
      <c r="J19" s="294" t="str">
        <f>IF(ISBLANK(HLOOKUP(CaseName,CaseData,MATCH($G19,cases!$G$4:$G$2458,0),FALSE)),"",HLOOKUP(CaseName,CaseData,MATCH($G19,cases!$G$4:$G$2458,0),FALSE))</f>
        <v/>
      </c>
      <c r="K19" s="435">
        <f>AREAland.C*FRACnatsoil.C/L16</f>
        <v>0.13073261798103972</v>
      </c>
      <c r="L19" s="298">
        <f t="shared" si="1"/>
        <v>0.13073261798103972</v>
      </c>
      <c r="M19" s="17" t="s">
        <v>297</v>
      </c>
      <c r="N19" s="17"/>
    </row>
    <row r="20" spans="1:14" ht="12.75" customHeight="1" x14ac:dyDescent="0.2">
      <c r="A20" s="38"/>
      <c r="B20" s="38" t="s">
        <v>988</v>
      </c>
      <c r="C20" s="17"/>
      <c r="D20" s="17"/>
      <c r="E20" s="17"/>
      <c r="F20" s="17"/>
      <c r="G20" s="146" t="s">
        <v>1952</v>
      </c>
      <c r="H20" s="17" t="s">
        <v>296</v>
      </c>
      <c r="I20" s="281"/>
      <c r="J20" s="294" t="str">
        <f>IF(ISBLANK(HLOOKUP(CaseName,CaseData,MATCH($G20,cases!$G$4:$G$2458,0),FALSE)),"",HLOOKUP(CaseName,CaseData,MATCH($G20,cases!$G$4:$G$2458,0),FALSE))</f>
        <v/>
      </c>
      <c r="K20" s="435">
        <f>AREAland.C*FRACagsoil.C/L16</f>
        <v>0.2905169288467549</v>
      </c>
      <c r="L20" s="298">
        <f t="shared" si="1"/>
        <v>0.2905169288467549</v>
      </c>
      <c r="M20" s="17" t="s">
        <v>297</v>
      </c>
      <c r="N20" s="17"/>
    </row>
    <row r="21" spans="1:14" ht="12.75" customHeight="1" x14ac:dyDescent="0.2">
      <c r="A21" s="38"/>
      <c r="B21" s="38" t="s">
        <v>990</v>
      </c>
      <c r="C21" s="17"/>
      <c r="D21" s="17"/>
      <c r="E21" s="17"/>
      <c r="F21" s="17"/>
      <c r="G21" s="146" t="s">
        <v>1953</v>
      </c>
      <c r="H21" s="17" t="s">
        <v>296</v>
      </c>
      <c r="I21" s="281"/>
      <c r="J21" s="294" t="str">
        <f>IF(ISBLANK(HLOOKUP(CaseName,CaseData,MATCH($G21,cases!$G$4:$G$2458,0),FALSE)),"",HLOOKUP(CaseName,CaseData,MATCH($G21,cases!$G$4:$G$2458,0),FALSE))</f>
        <v/>
      </c>
      <c r="K21" s="435">
        <f>AREAland.C*FRACothersoil.C/L16</f>
        <v>4.8419488141125809E-2</v>
      </c>
      <c r="L21" s="298">
        <f t="shared" si="1"/>
        <v>4.8419488141125809E-2</v>
      </c>
      <c r="M21" s="17" t="s">
        <v>297</v>
      </c>
      <c r="N21" s="17"/>
    </row>
    <row r="22" spans="1:14" ht="12.75" customHeight="1" x14ac:dyDescent="0.2">
      <c r="A22" s="38"/>
      <c r="B22" s="38" t="s">
        <v>992</v>
      </c>
      <c r="C22" s="17"/>
      <c r="D22" s="17"/>
      <c r="E22" s="17"/>
      <c r="F22" s="17"/>
      <c r="G22" s="146" t="s">
        <v>1954</v>
      </c>
      <c r="H22" s="17" t="s">
        <v>296</v>
      </c>
      <c r="I22" s="281"/>
      <c r="J22" s="294" t="str">
        <f>IF(ISBLANK(HLOOKUP(CaseName,CaseData,MATCH($G22,cases!$G$4:$G$2458,0),FALSE)),"",HLOOKUP(CaseName,CaseData,MATCH($G22,cases!$G$4:$G$2458,0),FALSE))</f>
        <v/>
      </c>
      <c r="K22" s="435">
        <f>1-L17-L18-L19-L20-L21</f>
        <v>0.5158051185887419</v>
      </c>
      <c r="L22" s="298">
        <f t="shared" si="1"/>
        <v>0.5158051185887419</v>
      </c>
      <c r="M22" s="17" t="s">
        <v>297</v>
      </c>
      <c r="N22" s="141"/>
    </row>
    <row r="23" spans="1:14" ht="12.75" customHeight="1" x14ac:dyDescent="0.2">
      <c r="A23" s="38"/>
      <c r="B23" s="17"/>
      <c r="C23" s="38" t="s">
        <v>994</v>
      </c>
      <c r="D23" s="146"/>
      <c r="E23" s="146"/>
      <c r="F23" s="17"/>
      <c r="G23" s="146" t="s">
        <v>1955</v>
      </c>
      <c r="H23" s="17" t="s">
        <v>820</v>
      </c>
      <c r="I23" s="281"/>
      <c r="J23" s="294" t="str">
        <f>IF(ISBLANK(HLOOKUP(CaseName,CaseData,MATCH($G23,cases!$G$4:$G$2458,0),FALSE)),"",HLOOKUP(CaseName,CaseData,MATCH($G23,cases!$G$4:$G$2458,0),FALSE))</f>
        <v/>
      </c>
      <c r="K23" s="435">
        <v>1000</v>
      </c>
      <c r="L23" s="298">
        <f t="shared" si="1"/>
        <v>1000</v>
      </c>
      <c r="M23" s="38" t="s">
        <v>284</v>
      </c>
      <c r="N23" s="17"/>
    </row>
    <row r="24" spans="1:14" ht="12.75" customHeight="1" x14ac:dyDescent="0.2">
      <c r="A24" s="38"/>
      <c r="B24" s="17"/>
      <c r="C24" s="38" t="s">
        <v>996</v>
      </c>
      <c r="D24" s="146"/>
      <c r="E24" s="146"/>
      <c r="F24" s="17"/>
      <c r="G24" s="146" t="s">
        <v>1956</v>
      </c>
      <c r="H24" s="38" t="s">
        <v>820</v>
      </c>
      <c r="I24" s="281"/>
      <c r="J24" s="294" t="str">
        <f>IF(ISBLANK(HLOOKUP(CaseName,CaseData,MATCH($G24,cases!$G$4:$G$2458,0),FALSE)),"",HLOOKUP(CaseName,CaseData,MATCH($G24,cases!$G$4:$G$2458,0),FALSE))</f>
        <v/>
      </c>
      <c r="K24" s="435">
        <f>DEPTHlake.C</f>
        <v>100</v>
      </c>
      <c r="L24" s="298">
        <f t="shared" si="1"/>
        <v>100</v>
      </c>
      <c r="M24" s="38" t="s">
        <v>284</v>
      </c>
      <c r="N24" s="17"/>
    </row>
    <row r="25" spans="1:14" ht="12.75" customHeight="1" x14ac:dyDescent="0.2">
      <c r="A25" s="38"/>
      <c r="B25" s="17"/>
      <c r="C25" s="38" t="s">
        <v>998</v>
      </c>
      <c r="D25" s="146"/>
      <c r="E25" s="146"/>
      <c r="F25" s="17"/>
      <c r="G25" s="146" t="s">
        <v>1957</v>
      </c>
      <c r="H25" s="17" t="s">
        <v>820</v>
      </c>
      <c r="I25" s="281"/>
      <c r="J25" s="294" t="str">
        <f>IF(ISBLANK(HLOOKUP(CaseName,CaseData,MATCH($G25,cases!$G$4:$G$2458,0),FALSE)),"",HLOOKUP(CaseName,CaseData,MATCH($G25,cases!$G$4:$G$2458,0),FALSE))</f>
        <v/>
      </c>
      <c r="K25" s="435">
        <f>DEPTHfreshwater.C</f>
        <v>3</v>
      </c>
      <c r="L25" s="298">
        <f t="shared" si="1"/>
        <v>3</v>
      </c>
      <c r="M25" s="38" t="s">
        <v>284</v>
      </c>
      <c r="N25" s="17"/>
    </row>
    <row r="26" spans="1:14" ht="12.75" customHeight="1" x14ac:dyDescent="0.2">
      <c r="A26" s="38"/>
      <c r="B26" s="17"/>
      <c r="C26" s="38" t="s">
        <v>1000</v>
      </c>
      <c r="D26" s="146"/>
      <c r="E26" s="146"/>
      <c r="F26" s="17"/>
      <c r="G26" s="146" t="s">
        <v>1958</v>
      </c>
      <c r="H26" s="17" t="s">
        <v>820</v>
      </c>
      <c r="I26" s="281"/>
      <c r="J26" s="294" t="str">
        <f>IF(ISBLANK(HLOOKUP(CaseName,CaseData,MATCH($G26,cases!$G$4:$G$2458,0),FALSE)),"",HLOOKUP(CaseName,CaseData,MATCH($G26,cases!$G$4:$G$2458,0),FALSE))</f>
        <v/>
      </c>
      <c r="K26" s="435">
        <v>200</v>
      </c>
      <c r="L26" s="298">
        <f t="shared" si="1"/>
        <v>200</v>
      </c>
      <c r="M26" s="38" t="s">
        <v>284</v>
      </c>
      <c r="N26" s="17"/>
    </row>
    <row r="27" spans="1:14" ht="12.75" customHeight="1" x14ac:dyDescent="0.2">
      <c r="A27" s="568"/>
      <c r="B27" s="567"/>
      <c r="C27" s="568" t="s">
        <v>1959</v>
      </c>
      <c r="D27" s="680"/>
      <c r="E27" s="680"/>
      <c r="F27" s="567"/>
      <c r="G27" s="680" t="s">
        <v>1960</v>
      </c>
      <c r="H27" s="567" t="s">
        <v>1004</v>
      </c>
      <c r="I27" s="706"/>
      <c r="J27" s="294" t="str">
        <f>IF(ISBLANK(HLOOKUP(CaseName,CaseData,MATCH($G27,cases!$G$4:$G$2458,0),FALSE)),"",HLOOKUP(CaseName,CaseData,MATCH($G27,cases!$G$4:$G$2458,0),FALSE))</f>
        <v/>
      </c>
      <c r="K27" s="435">
        <v>3</v>
      </c>
      <c r="L27" s="298">
        <f>IF(ISBLANK(I27),IF(ISNUMBER(J27)=FALSE,K27/100,J27/100),I27/100)</f>
        <v>0.03</v>
      </c>
      <c r="M27" s="568" t="s">
        <v>284</v>
      </c>
      <c r="N27" s="567"/>
    </row>
    <row r="28" spans="1:14" ht="12.75" customHeight="1" x14ac:dyDescent="0.2">
      <c r="A28" s="38"/>
      <c r="B28" s="17"/>
      <c r="C28" s="38" t="s">
        <v>1005</v>
      </c>
      <c r="D28" s="146"/>
      <c r="E28" s="146"/>
      <c r="F28" s="17"/>
      <c r="G28" s="146" t="s">
        <v>1961</v>
      </c>
      <c r="H28" s="17" t="s">
        <v>1004</v>
      </c>
      <c r="I28" s="281"/>
      <c r="J28" s="294" t="str">
        <f>IF(ISBLANK(HLOOKUP(CaseName,CaseData,MATCH($G28,cases!$G$4:$G$2458,0),FALSE)),"",HLOOKUP(CaseName,CaseData,MATCH($G28,cases!$G$4:$G$2458,0),FALSE))</f>
        <v/>
      </c>
      <c r="K28" s="435">
        <v>3</v>
      </c>
      <c r="L28" s="298">
        <f>IF(ISBLANK(I28),IF(ISNUMBER(J28)=FALSE,K28/100,J28/100),I28/100)</f>
        <v>0.03</v>
      </c>
      <c r="M28" s="17" t="s">
        <v>284</v>
      </c>
      <c r="N28" s="17"/>
    </row>
    <row r="29" spans="1:14" ht="12.75" customHeight="1" x14ac:dyDescent="0.2">
      <c r="A29" s="38"/>
      <c r="B29" s="17"/>
      <c r="C29" s="38" t="s">
        <v>1007</v>
      </c>
      <c r="D29" s="146"/>
      <c r="E29" s="146"/>
      <c r="F29" s="17"/>
      <c r="G29" s="146" t="s">
        <v>1962</v>
      </c>
      <c r="H29" s="17" t="s">
        <v>1004</v>
      </c>
      <c r="I29" s="281"/>
      <c r="J29" s="294" t="str">
        <f>IF(ISBLANK(HLOOKUP(CaseName,CaseData,MATCH($G29,cases!$G$4:$G$2458,0),FALSE)),"",HLOOKUP(CaseName,CaseData,MATCH($G29,cases!$G$4:$G$2458,0),FALSE))</f>
        <v/>
      </c>
      <c r="K29" s="435">
        <v>3</v>
      </c>
      <c r="L29" s="298">
        <f>IF(ISBLANK(I29),IF(ISNUMBER(J29)=FALSE,K29/100,J29/100),I29/100)</f>
        <v>0.03</v>
      </c>
      <c r="M29" s="17" t="s">
        <v>284</v>
      </c>
      <c r="N29" s="17"/>
    </row>
    <row r="30" spans="1:14" ht="12.75" customHeight="1" x14ac:dyDescent="0.2">
      <c r="A30" s="38"/>
      <c r="B30" s="17"/>
      <c r="C30" s="38" t="s">
        <v>1009</v>
      </c>
      <c r="D30" s="146"/>
      <c r="E30" s="146"/>
      <c r="F30" s="17"/>
      <c r="G30" s="146" t="s">
        <v>1963</v>
      </c>
      <c r="H30" s="17" t="s">
        <v>820</v>
      </c>
      <c r="I30" s="274"/>
      <c r="J30" s="294" t="str">
        <f>IF(ISBLANK(HLOOKUP(CaseName,CaseData,MATCH($G30,cases!$G$4:$G$2458,0),FALSE)),"",HLOOKUP(CaseName,CaseData,MATCH($G30,cases!$G$4:$G$2458,0),FALSE))</f>
        <v/>
      </c>
      <c r="K30" s="435">
        <v>0.05</v>
      </c>
      <c r="L30" s="298">
        <f t="shared" ref="L30:L46" si="2">IF(ISBLANK(I30),IF(ISNUMBER(J30)=FALSE,K30,J30),I30)</f>
        <v>0.05</v>
      </c>
      <c r="M30" s="17" t="s">
        <v>284</v>
      </c>
      <c r="N30" s="17"/>
    </row>
    <row r="31" spans="1:14" ht="12.75" customHeight="1" x14ac:dyDescent="0.2">
      <c r="A31" s="38"/>
      <c r="B31" s="17"/>
      <c r="C31" s="38" t="s">
        <v>1964</v>
      </c>
      <c r="D31" s="146"/>
      <c r="E31" s="146"/>
      <c r="F31" s="17"/>
      <c r="G31" s="146" t="s">
        <v>1965</v>
      </c>
      <c r="H31" s="17" t="s">
        <v>820</v>
      </c>
      <c r="I31" s="274"/>
      <c r="J31" s="294" t="str">
        <f>IF(ISBLANK(HLOOKUP(CaseName,CaseData,MATCH($G31,cases!$G$4:$G$2458,0),FALSE)),"",HLOOKUP(CaseName,CaseData,MATCH($G31,cases!$G$4:$G$2458,0),FALSE))</f>
        <v/>
      </c>
      <c r="K31" s="435">
        <v>0.2</v>
      </c>
      <c r="L31" s="298">
        <f t="shared" si="2"/>
        <v>0.2</v>
      </c>
      <c r="M31" s="17" t="s">
        <v>284</v>
      </c>
      <c r="N31" s="17"/>
    </row>
    <row r="32" spans="1:14" ht="12.75" customHeight="1" x14ac:dyDescent="0.2">
      <c r="A32" s="38"/>
      <c r="B32" s="17"/>
      <c r="C32" s="38" t="s">
        <v>1013</v>
      </c>
      <c r="D32" s="146"/>
      <c r="E32" s="146"/>
      <c r="F32" s="17"/>
      <c r="G32" s="146" t="s">
        <v>1966</v>
      </c>
      <c r="H32" s="17" t="s">
        <v>820</v>
      </c>
      <c r="I32" s="274"/>
      <c r="J32" s="294" t="str">
        <f>IF(ISBLANK(HLOOKUP(CaseName,CaseData,MATCH($G32,cases!$G$4:$G$2458,0),FALSE)),"",HLOOKUP(CaseName,CaseData,MATCH($G32,cases!$G$4:$G$2458,0),FALSE))</f>
        <v/>
      </c>
      <c r="K32" s="435">
        <v>0.05</v>
      </c>
      <c r="L32" s="298">
        <f t="shared" si="2"/>
        <v>0.05</v>
      </c>
      <c r="M32" s="17" t="s">
        <v>284</v>
      </c>
      <c r="N32" s="17"/>
    </row>
    <row r="33" spans="1:14" ht="12.75" customHeight="1" x14ac:dyDescent="0.2">
      <c r="A33" s="567"/>
      <c r="B33" s="567"/>
      <c r="C33" s="567" t="s">
        <v>1015</v>
      </c>
      <c r="D33" s="567"/>
      <c r="E33" s="567"/>
      <c r="F33" s="567"/>
      <c r="G33" s="568" t="s">
        <v>1967</v>
      </c>
      <c r="H33" s="568" t="s">
        <v>1017</v>
      </c>
      <c r="I33" s="274"/>
      <c r="J33" s="294" t="str">
        <f>IF(ISBLANK(HLOOKUP(CaseName,CaseData,MATCH($G33,cases!$G$4:$G$2458,0),FALSE)),"",HLOOKUP(CaseName,CaseData,MATCH($G33,cases!$G$4:$G$2458,0),FALSE))</f>
        <v/>
      </c>
      <c r="K33" s="435">
        <v>2.9999999999999999E-7</v>
      </c>
      <c r="L33" s="298">
        <f t="shared" si="2"/>
        <v>2.9999999999999999E-7</v>
      </c>
      <c r="M33" s="568" t="s">
        <v>297</v>
      </c>
      <c r="N33" s="567" t="s">
        <v>1021</v>
      </c>
    </row>
    <row r="34" spans="1:14" ht="12.75" customHeight="1" x14ac:dyDescent="0.2">
      <c r="A34" s="17"/>
      <c r="B34" s="17"/>
      <c r="C34" s="17" t="s">
        <v>1019</v>
      </c>
      <c r="D34" s="17"/>
      <c r="E34" s="17"/>
      <c r="F34" s="17"/>
      <c r="G34" s="38" t="s">
        <v>1968</v>
      </c>
      <c r="H34" s="38" t="s">
        <v>1017</v>
      </c>
      <c r="I34" s="274"/>
      <c r="J34" s="294" t="str">
        <f>IF(ISBLANK(HLOOKUP(CaseName,CaseData,MATCH($G34,cases!$G$4:$G$2458,0),FALSE)),"",HLOOKUP(CaseName,CaseData,MATCH($G34,cases!$G$4:$G$2458,0),FALSE))</f>
        <v/>
      </c>
      <c r="K34" s="435">
        <v>1.9999999999999999E-11</v>
      </c>
      <c r="L34" s="298">
        <f t="shared" si="2"/>
        <v>1.9999999999999999E-11</v>
      </c>
      <c r="M34" s="38" t="s">
        <v>297</v>
      </c>
      <c r="N34" s="17" t="s">
        <v>1021</v>
      </c>
    </row>
    <row r="35" spans="1:14" ht="12.75" customHeight="1" x14ac:dyDescent="0.2">
      <c r="A35" s="17"/>
      <c r="B35" s="17"/>
      <c r="C35" s="17" t="s">
        <v>1022</v>
      </c>
      <c r="D35" s="17"/>
      <c r="E35" s="17"/>
      <c r="F35" s="17"/>
      <c r="G35" s="38" t="s">
        <v>1969</v>
      </c>
      <c r="H35" s="38" t="s">
        <v>1017</v>
      </c>
      <c r="I35" s="274"/>
      <c r="J35" s="294" t="str">
        <f>IF(ISBLANK(HLOOKUP(CaseName,CaseData,MATCH($G35,cases!$G$4:$G$2458,0),FALSE)),"",HLOOKUP(CaseName,CaseData,MATCH($G35,cases!$G$4:$G$2458,0),FALSE))</f>
        <v/>
      </c>
      <c r="K35" s="435">
        <v>1.9999999999999999E-11</v>
      </c>
      <c r="L35" s="298">
        <f t="shared" si="2"/>
        <v>1.9999999999999999E-11</v>
      </c>
      <c r="M35" s="38" t="s">
        <v>297</v>
      </c>
      <c r="N35" s="17" t="s">
        <v>1021</v>
      </c>
    </row>
    <row r="36" spans="1:14" ht="12.75" customHeight="1" x14ac:dyDescent="0.2">
      <c r="A36" s="38"/>
      <c r="B36" s="17"/>
      <c r="C36" s="38" t="s">
        <v>1024</v>
      </c>
      <c r="D36" s="146"/>
      <c r="E36" s="146"/>
      <c r="F36" s="17"/>
      <c r="G36" s="146" t="s">
        <v>1970</v>
      </c>
      <c r="H36" s="17" t="s">
        <v>1017</v>
      </c>
      <c r="I36" s="281"/>
      <c r="J36" s="294" t="str">
        <f>IF(ISBLANK(HLOOKUP(CaseName,CaseData,MATCH($G36,cases!$G$4:$G$2458,0),FALSE)),"",HLOOKUP(CaseName,CaseData,MATCH($G36,cases!$G$4:$G$2458,0),FALSE))</f>
        <v/>
      </c>
      <c r="K36" s="435">
        <v>0.2</v>
      </c>
      <c r="L36" s="298">
        <f t="shared" si="2"/>
        <v>0.2</v>
      </c>
      <c r="M36" s="38" t="s">
        <v>297</v>
      </c>
      <c r="N36" s="17"/>
    </row>
    <row r="37" spans="1:14" ht="12.75" customHeight="1" x14ac:dyDescent="0.2">
      <c r="A37" s="38"/>
      <c r="B37" s="17"/>
      <c r="C37" s="38" t="s">
        <v>1026</v>
      </c>
      <c r="D37" s="146"/>
      <c r="E37" s="146"/>
      <c r="F37" s="17"/>
      <c r="G37" s="146" t="s">
        <v>1971</v>
      </c>
      <c r="H37" s="17" t="s">
        <v>1017</v>
      </c>
      <c r="I37" s="281"/>
      <c r="J37" s="294" t="str">
        <f>IF(ISBLANK(HLOOKUP(CaseName,CaseData,MATCH($G37,cases!$G$4:$G$2458,0),FALSE)),"",HLOOKUP(CaseName,CaseData,MATCH($G37,cases!$G$4:$G$2458,0),FALSE))</f>
        <v/>
      </c>
      <c r="K37" s="435">
        <v>0.2</v>
      </c>
      <c r="L37" s="298">
        <f t="shared" si="2"/>
        <v>0.2</v>
      </c>
      <c r="M37" s="38" t="s">
        <v>297</v>
      </c>
      <c r="N37" s="17"/>
    </row>
    <row r="38" spans="1:14" ht="12.75" customHeight="1" x14ac:dyDescent="0.2">
      <c r="A38" s="38"/>
      <c r="B38" s="17"/>
      <c r="C38" s="38" t="s">
        <v>1028</v>
      </c>
      <c r="D38" s="146"/>
      <c r="E38" s="146"/>
      <c r="F38" s="17"/>
      <c r="G38" s="146" t="s">
        <v>1972</v>
      </c>
      <c r="H38" s="17" t="s">
        <v>1017</v>
      </c>
      <c r="I38" s="281"/>
      <c r="J38" s="294" t="str">
        <f>IF(ISBLANK(HLOOKUP(CaseName,CaseData,MATCH($G38,cases!$G$4:$G$2458,0),FALSE)),"",HLOOKUP(CaseName,CaseData,MATCH($G38,cases!$G$4:$G$2458,0),FALSE))</f>
        <v/>
      </c>
      <c r="K38" s="435">
        <f>1-L36-L37</f>
        <v>0.60000000000000009</v>
      </c>
      <c r="L38" s="298">
        <f t="shared" si="2"/>
        <v>0.60000000000000009</v>
      </c>
      <c r="M38" s="38" t="s">
        <v>297</v>
      </c>
      <c r="N38" s="17"/>
    </row>
    <row r="39" spans="1:14" ht="12.75" customHeight="1" x14ac:dyDescent="0.2">
      <c r="A39" s="38"/>
      <c r="B39" s="17"/>
      <c r="C39" s="38" t="s">
        <v>1030</v>
      </c>
      <c r="D39" s="146"/>
      <c r="E39" s="146"/>
      <c r="F39" s="17"/>
      <c r="G39" s="146" t="s">
        <v>1973</v>
      </c>
      <c r="H39" s="17" t="s">
        <v>1017</v>
      </c>
      <c r="I39" s="281"/>
      <c r="J39" s="294" t="str">
        <f>IF(ISBLANK(HLOOKUP(CaseName,CaseData,MATCH($G39,cases!$G$4:$G$2458,0),FALSE)),"",HLOOKUP(CaseName,CaseData,MATCH($G39,cases!$G$4:$G$2458,0),FALSE))</f>
        <v/>
      </c>
      <c r="K39" s="435">
        <v>0.2</v>
      </c>
      <c r="L39" s="298">
        <f t="shared" si="2"/>
        <v>0.2</v>
      </c>
      <c r="M39" s="38" t="s">
        <v>297</v>
      </c>
      <c r="N39" s="17"/>
    </row>
    <row r="40" spans="1:14" ht="12.75" customHeight="1" x14ac:dyDescent="0.2">
      <c r="A40" s="38"/>
      <c r="B40" s="17"/>
      <c r="C40" s="38" t="s">
        <v>1032</v>
      </c>
      <c r="D40" s="146"/>
      <c r="E40" s="146"/>
      <c r="F40" s="17"/>
      <c r="G40" s="146" t="s">
        <v>1974</v>
      </c>
      <c r="H40" s="17" t="s">
        <v>1017</v>
      </c>
      <c r="I40" s="281"/>
      <c r="J40" s="294" t="str">
        <f>IF(ISBLANK(HLOOKUP(CaseName,CaseData,MATCH($G40,cases!$G$4:$G$2458,0),FALSE)),"",HLOOKUP(CaseName,CaseData,MATCH($G40,cases!$G$4:$G$2458,0),FALSE))</f>
        <v/>
      </c>
      <c r="K40" s="435">
        <v>0.2</v>
      </c>
      <c r="L40" s="298">
        <f t="shared" si="2"/>
        <v>0.2</v>
      </c>
      <c r="M40" s="38" t="s">
        <v>297</v>
      </c>
      <c r="N40" s="17"/>
    </row>
    <row r="41" spans="1:14" ht="12.75" customHeight="1" x14ac:dyDescent="0.2">
      <c r="A41" s="38"/>
      <c r="B41" s="17"/>
      <c r="C41" s="38" t="s">
        <v>1034</v>
      </c>
      <c r="D41" s="146"/>
      <c r="E41" s="146"/>
      <c r="F41" s="17"/>
      <c r="G41" s="146" t="s">
        <v>1975</v>
      </c>
      <c r="H41" s="17" t="s">
        <v>1017</v>
      </c>
      <c r="I41" s="281"/>
      <c r="J41" s="294" t="str">
        <f>IF(ISBLANK(HLOOKUP(CaseName,CaseData,MATCH($G41,cases!$G$4:$G$2458,0),FALSE)),"",HLOOKUP(CaseName,CaseData,MATCH($G41,cases!$G$4:$G$2458,0),FALSE))</f>
        <v/>
      </c>
      <c r="K41" s="435">
        <f>1-L39-L40</f>
        <v>0.60000000000000009</v>
      </c>
      <c r="L41" s="298">
        <f t="shared" si="2"/>
        <v>0.60000000000000009</v>
      </c>
      <c r="M41" s="38" t="s">
        <v>297</v>
      </c>
      <c r="N41" s="17"/>
    </row>
    <row r="42" spans="1:14" ht="12.75" customHeight="1" x14ac:dyDescent="0.2">
      <c r="A42" s="38"/>
      <c r="B42" s="17"/>
      <c r="C42" s="38" t="s">
        <v>1036</v>
      </c>
      <c r="D42" s="146"/>
      <c r="E42" s="146"/>
      <c r="F42" s="17"/>
      <c r="G42" s="146" t="s">
        <v>1976</v>
      </c>
      <c r="H42" s="17" t="s">
        <v>1017</v>
      </c>
      <c r="I42" s="281"/>
      <c r="J42" s="294" t="str">
        <f>IF(ISBLANK(HLOOKUP(CaseName,CaseData,MATCH($G42,cases!$G$4:$G$2458,0),FALSE)),"",HLOOKUP(CaseName,CaseData,MATCH($G42,cases!$G$4:$G$2458,0),FALSE))</f>
        <v/>
      </c>
      <c r="K42" s="435">
        <v>0.2</v>
      </c>
      <c r="L42" s="298">
        <f t="shared" si="2"/>
        <v>0.2</v>
      </c>
      <c r="M42" s="38" t="s">
        <v>297</v>
      </c>
      <c r="N42" s="17"/>
    </row>
    <row r="43" spans="1:14" ht="12.75" customHeight="1" x14ac:dyDescent="0.2">
      <c r="A43" s="38"/>
      <c r="B43" s="17"/>
      <c r="C43" s="38" t="s">
        <v>1038</v>
      </c>
      <c r="D43" s="146"/>
      <c r="E43" s="146"/>
      <c r="F43" s="17"/>
      <c r="G43" s="146" t="s">
        <v>1977</v>
      </c>
      <c r="H43" s="17" t="s">
        <v>1017</v>
      </c>
      <c r="I43" s="281"/>
      <c r="J43" s="294" t="str">
        <f>IF(ISBLANK(HLOOKUP(CaseName,CaseData,MATCH($G43,cases!$G$4:$G$2458,0),FALSE)),"",HLOOKUP(CaseName,CaseData,MATCH($G43,cases!$G$4:$G$2458,0),FALSE))</f>
        <v/>
      </c>
      <c r="K43" s="435">
        <v>0.2</v>
      </c>
      <c r="L43" s="298">
        <f t="shared" si="2"/>
        <v>0.2</v>
      </c>
      <c r="M43" s="38" t="s">
        <v>297</v>
      </c>
      <c r="N43" s="17"/>
    </row>
    <row r="44" spans="1:14" ht="12.75" customHeight="1" x14ac:dyDescent="0.2">
      <c r="A44" s="38"/>
      <c r="B44" s="17"/>
      <c r="C44" s="38" t="s">
        <v>1040</v>
      </c>
      <c r="D44" s="146"/>
      <c r="E44" s="146"/>
      <c r="F44" s="17"/>
      <c r="G44" s="146" t="s">
        <v>1978</v>
      </c>
      <c r="H44" s="17" t="s">
        <v>1017</v>
      </c>
      <c r="I44" s="281"/>
      <c r="J44" s="294" t="str">
        <f>IF(ISBLANK(HLOOKUP(CaseName,CaseData,MATCH($G44,cases!$G$4:$G$2458,0),FALSE)),"",HLOOKUP(CaseName,CaseData,MATCH($G44,cases!$G$4:$G$2458,0),FALSE))</f>
        <v/>
      </c>
      <c r="K44" s="435">
        <f>1-L42-L43</f>
        <v>0.60000000000000009</v>
      </c>
      <c r="L44" s="298">
        <f t="shared" si="2"/>
        <v>0.60000000000000009</v>
      </c>
      <c r="M44" s="38" t="s">
        <v>297</v>
      </c>
      <c r="N44" s="17"/>
    </row>
    <row r="45" spans="1:14" ht="12.75" customHeight="1" x14ac:dyDescent="0.2">
      <c r="A45" s="38"/>
      <c r="B45" s="17"/>
      <c r="C45" s="38" t="s">
        <v>1042</v>
      </c>
      <c r="D45" s="146"/>
      <c r="E45" s="146"/>
      <c r="F45" s="17"/>
      <c r="G45" s="146" t="s">
        <v>1979</v>
      </c>
      <c r="H45" s="17" t="s">
        <v>1017</v>
      </c>
      <c r="I45" s="281"/>
      <c r="J45" s="294" t="str">
        <f>IF(ISBLANK(HLOOKUP(CaseName,CaseData,MATCH($G45,cases!$G$4:$G$2458,0),FALSE)),"",HLOOKUP(CaseName,CaseData,MATCH($G45,cases!$G$4:$G$2458,0),FALSE))</f>
        <v/>
      </c>
      <c r="K45" s="435">
        <v>0.8</v>
      </c>
      <c r="L45" s="298">
        <f t="shared" si="2"/>
        <v>0.8</v>
      </c>
      <c r="M45" s="38" t="s">
        <v>297</v>
      </c>
      <c r="N45" s="17"/>
    </row>
    <row r="46" spans="1:14" ht="12.75" customHeight="1" x14ac:dyDescent="0.2">
      <c r="A46" s="38"/>
      <c r="B46" s="17"/>
      <c r="C46" s="38" t="s">
        <v>1044</v>
      </c>
      <c r="D46" s="146"/>
      <c r="E46" s="146"/>
      <c r="F46" s="17"/>
      <c r="G46" s="146" t="s">
        <v>1980</v>
      </c>
      <c r="H46" s="17" t="s">
        <v>1017</v>
      </c>
      <c r="I46" s="281"/>
      <c r="J46" s="294" t="str">
        <f>IF(ISBLANK(HLOOKUP(CaseName,CaseData,MATCH($G46,cases!$G$4:$G$2458,0),FALSE)),"",HLOOKUP(CaseName,CaseData,MATCH($G46,cases!$G$4:$G$2458,0),FALSE))</f>
        <v/>
      </c>
      <c r="K46" s="435">
        <f>1-L45</f>
        <v>0.19999999999999996</v>
      </c>
      <c r="L46" s="298">
        <f t="shared" si="2"/>
        <v>0.19999999999999996</v>
      </c>
      <c r="M46" s="38" t="s">
        <v>297</v>
      </c>
      <c r="N46" s="17"/>
    </row>
    <row r="47" spans="1:14" ht="12.75" customHeight="1" x14ac:dyDescent="0.2">
      <c r="A47" s="38"/>
      <c r="B47" s="17"/>
      <c r="C47" s="38"/>
      <c r="D47" s="146"/>
      <c r="E47" s="146"/>
      <c r="F47" s="17"/>
      <c r="G47" s="146"/>
      <c r="H47" s="146"/>
      <c r="I47" s="266"/>
      <c r="J47" s="294"/>
      <c r="K47" s="333"/>
      <c r="L47" s="333"/>
      <c r="M47" s="146"/>
      <c r="N47" s="17"/>
    </row>
    <row r="48" spans="1:14" ht="12.75" customHeight="1" x14ac:dyDescent="0.2">
      <c r="A48" s="38" t="s">
        <v>1981</v>
      </c>
      <c r="B48" s="17"/>
      <c r="C48" s="17"/>
      <c r="D48" s="17"/>
      <c r="E48" s="17"/>
      <c r="F48" s="17"/>
      <c r="G48" s="38" t="s">
        <v>1982</v>
      </c>
      <c r="H48" s="38" t="s">
        <v>624</v>
      </c>
      <c r="I48" s="421"/>
      <c r="J48" s="294" t="str">
        <f>IF(ISBLANK(HLOOKUP(CaseName,CaseData,MATCH($G48,cases!$G$4:$G$2458,0),FALSE)),"",HLOOKUP(CaseName,CaseData,MATCH($G48,cases!$G$4:$G$2458,0),FALSE))</f>
        <v/>
      </c>
      <c r="K48" s="428">
        <f>k.aR.aC*VOLUME.aR/L5</f>
        <v>3.0038992516460084E-7</v>
      </c>
      <c r="L48" s="298">
        <f>IF(ISBLANK(I48),IF(ISNUMBER(J48)=FALSE,K48,J48),I48)</f>
        <v>3.0038992516460084E-7</v>
      </c>
      <c r="M48" s="17" t="s">
        <v>1048</v>
      </c>
      <c r="N48" s="17"/>
    </row>
    <row r="49" spans="1:14" ht="12.75" customHeight="1" x14ac:dyDescent="0.2">
      <c r="A49" s="38" t="s">
        <v>1983</v>
      </c>
      <c r="B49" s="17"/>
      <c r="C49" s="17"/>
      <c r="D49" s="17"/>
      <c r="E49" s="17"/>
      <c r="F49" s="17"/>
      <c r="G49" s="38" t="s">
        <v>1984</v>
      </c>
      <c r="H49" s="38" t="s">
        <v>624</v>
      </c>
      <c r="I49" s="276"/>
      <c r="J49" s="294" t="str">
        <f>IF(ISBLANK(HLOOKUP(CaseName,CaseData,MATCH($G49,cases!$G$4:$G$2458,0),FALSE)),"",HLOOKUP(CaseName,CaseData,MATCH($G49,cases!$G$4:$G$2458,0),FALSE))</f>
        <v/>
      </c>
      <c r="K49" s="428">
        <f>1/L50-L48</f>
        <v>1.3817860384619942E-6</v>
      </c>
      <c r="L49" s="298">
        <f>IF(ISBLANK(I49),IF(ISNUMBER(J49)=FALSE,K49,J49),I49)</f>
        <v>1.3817860384619942E-6</v>
      </c>
      <c r="M49" s="17" t="s">
        <v>1048</v>
      </c>
      <c r="N49" s="17"/>
    </row>
    <row r="50" spans="1:14" ht="12.75" customHeight="1" x14ac:dyDescent="0.2">
      <c r="A50" s="38"/>
      <c r="B50" s="38"/>
      <c r="C50" s="38" t="s">
        <v>1985</v>
      </c>
      <c r="D50" s="17"/>
      <c r="E50" s="17"/>
      <c r="F50" s="17"/>
      <c r="G50" s="38" t="s">
        <v>1986</v>
      </c>
      <c r="H50" s="17" t="s">
        <v>1051</v>
      </c>
      <c r="I50" s="281"/>
      <c r="J50" s="294" t="str">
        <f>IF(ISBLANK(HLOOKUP(CaseName,CaseData,MATCH($G50,cases!$G$4:$G$2458,0),FALSE)),"",HLOOKUP(CaseName,CaseData,MATCH($G50,cases!$G$4:$G$2458,0),FALSE))</f>
        <v/>
      </c>
      <c r="K50" s="428">
        <f>1.5*(0.5*SQRT(L16*PI()/4)/WINDspeed.C)/(3600*24)</f>
        <v>6.8804181752315516</v>
      </c>
      <c r="L50" s="298">
        <f>IF(ISBLANK(I50),IF(ISNUMBER(J50)=FALSE,K50*(3600*24),J50*(3600*24)),I50*(3600*24))</f>
        <v>594468.13034000609</v>
      </c>
      <c r="M50" s="38" t="s">
        <v>1052</v>
      </c>
      <c r="N50" s="17"/>
    </row>
    <row r="51" spans="1:14" ht="12.75" customHeight="1" x14ac:dyDescent="0.2">
      <c r="A51" s="38"/>
      <c r="B51" s="17"/>
      <c r="C51" s="38"/>
      <c r="D51" s="146"/>
      <c r="E51" s="146"/>
      <c r="F51" s="17"/>
      <c r="G51" s="146"/>
      <c r="H51" s="146"/>
      <c r="I51" s="266"/>
      <c r="J51" s="294"/>
      <c r="K51" s="333"/>
      <c r="L51" s="333"/>
      <c r="M51" s="146"/>
      <c r="N51" s="17"/>
    </row>
    <row r="52" spans="1:14" ht="12.75" customHeight="1" x14ac:dyDescent="0.2">
      <c r="A52" s="38" t="s">
        <v>1987</v>
      </c>
      <c r="B52" s="17"/>
      <c r="C52" s="17"/>
      <c r="D52" s="17"/>
      <c r="E52" s="17"/>
      <c r="F52" s="17"/>
      <c r="G52" s="38" t="s">
        <v>1988</v>
      </c>
      <c r="H52" s="38" t="s">
        <v>624</v>
      </c>
      <c r="I52" s="276"/>
      <c r="J52" s="294" t="str">
        <f>IF(ISBLANK(HLOOKUP(CaseName,CaseData,MATCH($G52,cases!$G$4:$G$2458,0),FALSE)),"",HLOOKUP(CaseName,CaseData,MATCH($G52,cases!$G$4:$G$2458,0),FALSE))</f>
        <v/>
      </c>
      <c r="K52" s="435">
        <f>L57/L7</f>
        <v>2.3972602739726029E-9</v>
      </c>
      <c r="L52" s="298">
        <f t="shared" ref="L52:L65" si="3">IF(ISBLANK(I52),IF(ISNUMBER(J52)=FALSE,K52,J52),I52)</f>
        <v>2.3972602739726029E-9</v>
      </c>
      <c r="M52" s="17" t="s">
        <v>1048</v>
      </c>
      <c r="N52" s="17"/>
    </row>
    <row r="53" spans="1:14" ht="12.75" customHeight="1" x14ac:dyDescent="0.2">
      <c r="A53" s="38" t="s">
        <v>1989</v>
      </c>
      <c r="B53" s="17"/>
      <c r="C53" s="17"/>
      <c r="D53" s="17"/>
      <c r="E53" s="17"/>
      <c r="F53" s="17"/>
      <c r="G53" s="38" t="s">
        <v>1990</v>
      </c>
      <c r="H53" s="38" t="s">
        <v>624</v>
      </c>
      <c r="I53" s="276"/>
      <c r="J53" s="294" t="str">
        <f>IF(ISBLANK(HLOOKUP(CaseName,CaseData,MATCH($G53,cases!$G$4:$G$2458,0),FALSE)),"",HLOOKUP(CaseName,CaseData,MATCH($G53,cases!$G$4:$G$2458,0),FALSE))</f>
        <v/>
      </c>
      <c r="K53" s="435">
        <f>L58/L7</f>
        <v>0</v>
      </c>
      <c r="L53" s="298">
        <f t="shared" si="3"/>
        <v>0</v>
      </c>
      <c r="M53" s="17" t="s">
        <v>1048</v>
      </c>
      <c r="N53" s="17"/>
    </row>
    <row r="54" spans="1:14" ht="12.75" customHeight="1" x14ac:dyDescent="0.2">
      <c r="A54" s="38" t="s">
        <v>1991</v>
      </c>
      <c r="B54" s="17"/>
      <c r="C54" s="17"/>
      <c r="D54" s="17"/>
      <c r="E54" s="17"/>
      <c r="F54" s="17"/>
      <c r="G54" s="38" t="s">
        <v>1992</v>
      </c>
      <c r="H54" s="38" t="s">
        <v>624</v>
      </c>
      <c r="I54" s="276"/>
      <c r="J54" s="294" t="str">
        <f>IF(ISBLANK(HLOOKUP(CaseName,CaseData,MATCH($G54,cases!$G$4:$G$2458,0),FALSE)),"",HLOOKUP(CaseName,CaseData,MATCH($G54,cases!$G$4:$G$2458,0),FALSE))</f>
        <v/>
      </c>
      <c r="K54" s="435">
        <f>L59/L8</f>
        <v>0</v>
      </c>
      <c r="L54" s="298">
        <f t="shared" si="3"/>
        <v>0</v>
      </c>
      <c r="M54" s="17" t="s">
        <v>1048</v>
      </c>
      <c r="N54" s="17"/>
    </row>
    <row r="55" spans="1:14" ht="12.75" customHeight="1" x14ac:dyDescent="0.2">
      <c r="A55" s="38" t="s">
        <v>1993</v>
      </c>
      <c r="B55" s="17"/>
      <c r="C55" s="17"/>
      <c r="D55" s="17"/>
      <c r="E55" s="17"/>
      <c r="F55" s="17"/>
      <c r="G55" s="38" t="s">
        <v>1994</v>
      </c>
      <c r="H55" s="38" t="s">
        <v>624</v>
      </c>
      <c r="I55" s="276"/>
      <c r="J55" s="294" t="str">
        <f>IF(ISBLANK(HLOOKUP(CaseName,CaseData,MATCH($G55,cases!$G$4:$G$2458,0),FALSE)),"",HLOOKUP(CaseName,CaseData,MATCH($G55,cases!$G$4:$G$2458,0),FALSE))</f>
        <v/>
      </c>
      <c r="K55" s="914">
        <f>L60/L8</f>
        <v>0</v>
      </c>
      <c r="L55" s="298">
        <f t="shared" si="3"/>
        <v>0</v>
      </c>
      <c r="M55" s="17" t="s">
        <v>1048</v>
      </c>
      <c r="N55" s="17"/>
    </row>
    <row r="56" spans="1:14" ht="12.75" customHeight="1" x14ac:dyDescent="0.2">
      <c r="A56" s="38" t="s">
        <v>1995</v>
      </c>
      <c r="B56" s="17"/>
      <c r="C56" s="17"/>
      <c r="D56" s="17"/>
      <c r="E56" s="17"/>
      <c r="F56" s="17"/>
      <c r="G56" s="38" t="s">
        <v>1996</v>
      </c>
      <c r="H56" s="38" t="s">
        <v>624</v>
      </c>
      <c r="I56" s="276"/>
      <c r="J56" s="294" t="str">
        <f>IF(ISBLANK(HLOOKUP(CaseName,CaseData,MATCH($G56,cases!$G$4:$G$2458,0),FALSE)),"",HLOOKUP(CaseName,CaseData,MATCH($G56,cases!$G$4:$G$2458,0),FALSE))</f>
        <v/>
      </c>
      <c r="K56" s="435">
        <f>L61/L8</f>
        <v>7.2644250726442513E-8</v>
      </c>
      <c r="L56" s="298">
        <f t="shared" si="3"/>
        <v>7.2644250726442513E-8</v>
      </c>
      <c r="M56" s="17" t="s">
        <v>1048</v>
      </c>
      <c r="N56" s="17"/>
    </row>
    <row r="57" spans="1:14" ht="12.75" customHeight="1" x14ac:dyDescent="0.2">
      <c r="A57" s="38"/>
      <c r="B57" s="38" t="s">
        <v>1997</v>
      </c>
      <c r="C57" s="17"/>
      <c r="D57" s="17"/>
      <c r="E57" s="146"/>
      <c r="F57" s="146"/>
      <c r="G57" s="146" t="s">
        <v>1998</v>
      </c>
      <c r="H57" s="38" t="s">
        <v>1065</v>
      </c>
      <c r="I57" s="275"/>
      <c r="J57" s="294" t="str">
        <f>IF(ISBLANK(HLOOKUP(CaseName,CaseData,MATCH($G57,cases!$G$4:$G$2458,0),FALSE)),"",HLOOKUP(CaseName,CaseData,MATCH($G57,cases!$G$4:$G$2458,0),FALSE))</f>
        <v/>
      </c>
      <c r="K57" s="435">
        <f>0.1*L61</f>
        <v>2089.1164383561645</v>
      </c>
      <c r="L57" s="298">
        <f t="shared" si="3"/>
        <v>2089.1164383561645</v>
      </c>
      <c r="M57" s="17" t="s">
        <v>1066</v>
      </c>
      <c r="N57" s="17"/>
    </row>
    <row r="58" spans="1:14" ht="12.75" customHeight="1" x14ac:dyDescent="0.2">
      <c r="A58" s="38"/>
      <c r="B58" s="38" t="s">
        <v>1999</v>
      </c>
      <c r="C58" s="17"/>
      <c r="D58" s="17"/>
      <c r="E58" s="146"/>
      <c r="F58" s="146"/>
      <c r="G58" s="146" t="s">
        <v>2000</v>
      </c>
      <c r="H58" s="38" t="s">
        <v>1065</v>
      </c>
      <c r="I58" s="275"/>
      <c r="J58" s="294" t="str">
        <f>IF(ISBLANK(HLOOKUP(CaseName,CaseData,MATCH($G58,cases!$G$4:$G$2458,0),FALSE)),"",HLOOKUP(CaseName,CaseData,MATCH($G58,cases!$G$4:$G$2458,0),FALSE))</f>
        <v/>
      </c>
      <c r="K58" s="435">
        <v>0</v>
      </c>
      <c r="L58" s="298">
        <f t="shared" si="3"/>
        <v>0</v>
      </c>
      <c r="M58" s="17" t="s">
        <v>1066</v>
      </c>
      <c r="N58" s="17"/>
    </row>
    <row r="59" spans="1:14" ht="12.75" customHeight="1" x14ac:dyDescent="0.2">
      <c r="A59" s="38"/>
      <c r="B59" s="38" t="s">
        <v>2001</v>
      </c>
      <c r="C59" s="17"/>
      <c r="D59" s="17"/>
      <c r="E59" s="146"/>
      <c r="F59" s="146"/>
      <c r="G59" s="146" t="s">
        <v>2002</v>
      </c>
      <c r="H59" s="38" t="s">
        <v>1065</v>
      </c>
      <c r="I59" s="275"/>
      <c r="J59" s="294" t="str">
        <f>IF(ISBLANK(HLOOKUP(CaseName,CaseData,MATCH($G59,cases!$G$4:$G$2458,0),FALSE)),"",HLOOKUP(CaseName,CaseData,MATCH($G59,cases!$G$4:$G$2458,0),FALSE))</f>
        <v/>
      </c>
      <c r="K59" s="435">
        <v>0</v>
      </c>
      <c r="L59" s="298">
        <f t="shared" si="3"/>
        <v>0</v>
      </c>
      <c r="M59" s="17" t="s">
        <v>1066</v>
      </c>
      <c r="N59" s="17"/>
    </row>
    <row r="60" spans="1:14" ht="12.75" customHeight="1" x14ac:dyDescent="0.2">
      <c r="A60" s="38"/>
      <c r="B60" s="38" t="s">
        <v>2003</v>
      </c>
      <c r="C60" s="17"/>
      <c r="D60" s="17"/>
      <c r="E60" s="146"/>
      <c r="F60" s="146"/>
      <c r="G60" s="146" t="s">
        <v>2004</v>
      </c>
      <c r="H60" s="17" t="s">
        <v>1065</v>
      </c>
      <c r="I60" s="281"/>
      <c r="J60" s="294" t="str">
        <f>IF(ISBLANK(HLOOKUP(CaseName,CaseData,MATCH($G60,cases!$G$4:$G$2458,0),FALSE)),"",HLOOKUP(CaseName,CaseData,MATCH($G60,cases!$G$4:$G$2458,0),FALSE))</f>
        <v/>
      </c>
      <c r="K60" s="618">
        <f>((L18+L19*L188+L20*L189+L21*L190)*RAINrate.C*L16+L57)*FRAC.w1C.w1R</f>
        <v>0</v>
      </c>
      <c r="L60" s="298">
        <f t="shared" si="3"/>
        <v>0</v>
      </c>
      <c r="M60" s="17" t="s">
        <v>1066</v>
      </c>
      <c r="N60" s="141"/>
    </row>
    <row r="61" spans="1:14" ht="12.75" customHeight="1" x14ac:dyDescent="0.2">
      <c r="A61" s="38"/>
      <c r="B61" s="38" t="s">
        <v>2005</v>
      </c>
      <c r="C61" s="17"/>
      <c r="D61" s="17"/>
      <c r="E61" s="146"/>
      <c r="F61" s="146"/>
      <c r="G61" s="146" t="s">
        <v>2006</v>
      </c>
      <c r="H61" s="17" t="s">
        <v>1065</v>
      </c>
      <c r="I61" s="281"/>
      <c r="J61" s="294" t="str">
        <f>IF(ISBLANK(HLOOKUP(CaseName,CaseData,MATCH($G61,cases!$G$4:$G$2458,0),FALSE)),"",HLOOKUP(CaseName,CaseData,MATCH($G61,cases!$G$4:$G$2458,0),FALSE))</f>
        <v/>
      </c>
      <c r="K61" s="618">
        <f>((L18+L19*L188+L20*L189+L21*L190)*RAINrate.C*L16)*(1-FRAC.w1C.w1R)</f>
        <v>20891.164383561645</v>
      </c>
      <c r="L61" s="298">
        <f t="shared" si="3"/>
        <v>20891.164383561645</v>
      </c>
      <c r="M61" s="17" t="s">
        <v>1066</v>
      </c>
      <c r="N61" s="141"/>
    </row>
    <row r="62" spans="1:14" ht="12.75" customHeight="1" x14ac:dyDescent="0.2">
      <c r="A62" s="38" t="s">
        <v>2007</v>
      </c>
      <c r="B62" s="17"/>
      <c r="C62" s="17"/>
      <c r="D62" s="17"/>
      <c r="E62" s="17"/>
      <c r="F62" s="17"/>
      <c r="G62" s="38" t="s">
        <v>2008</v>
      </c>
      <c r="H62" s="38" t="s">
        <v>624</v>
      </c>
      <c r="I62" s="421"/>
      <c r="J62" s="294" t="str">
        <f>IF(ISBLANK(HLOOKUP(CaseName,CaseData,MATCH($G62,cases!$G$4:$G$2458,0),FALSE)),"",HLOOKUP(CaseName,CaseData,MATCH($G62,cases!$G$4:$G$2458,0),FALSE))</f>
        <v/>
      </c>
      <c r="K62" s="435">
        <f>L64/L9</f>
        <v>1.660022737657995E-11</v>
      </c>
      <c r="L62" s="298">
        <f t="shared" si="3"/>
        <v>1.660022737657995E-11</v>
      </c>
      <c r="M62" s="17" t="s">
        <v>1048</v>
      </c>
      <c r="N62" s="17"/>
    </row>
    <row r="63" spans="1:14" ht="12.75" customHeight="1" x14ac:dyDescent="0.2">
      <c r="A63" s="38" t="s">
        <v>2009</v>
      </c>
      <c r="B63" s="17"/>
      <c r="C63" s="17"/>
      <c r="D63" s="17"/>
      <c r="E63" s="17"/>
      <c r="F63" s="17"/>
      <c r="G63" s="38" t="s">
        <v>2010</v>
      </c>
      <c r="H63" s="38" t="s">
        <v>624</v>
      </c>
      <c r="I63" s="276"/>
      <c r="J63" s="294" t="str">
        <f>IF(ISBLANK(HLOOKUP(CaseName,CaseData,MATCH($G63,cases!$G$4:$G$2458,0),FALSE)),"",HLOOKUP(CaseName,CaseData,MATCH($G63,cases!$G$4:$G$2458,0),FALSE))</f>
        <v/>
      </c>
      <c r="K63" s="435">
        <f>L65/L9</f>
        <v>3.1691347286679496E-8</v>
      </c>
      <c r="L63" s="298">
        <f t="shared" si="3"/>
        <v>3.1691347286679496E-8</v>
      </c>
      <c r="M63" s="17" t="s">
        <v>1048</v>
      </c>
      <c r="N63" s="17"/>
    </row>
    <row r="64" spans="1:14" ht="12.75" customHeight="1" x14ac:dyDescent="0.2">
      <c r="A64" s="38"/>
      <c r="B64" s="38" t="s">
        <v>2011</v>
      </c>
      <c r="C64" s="17"/>
      <c r="D64" s="17"/>
      <c r="E64" s="17"/>
      <c r="F64" s="17"/>
      <c r="G64" s="146" t="s">
        <v>2012</v>
      </c>
      <c r="H64" s="17" t="s">
        <v>1065</v>
      </c>
      <c r="I64" s="281"/>
      <c r="J64" s="294" t="str">
        <f>IF(ISBLANK(HLOOKUP(CaseName,CaseData,MATCH($G64,cases!$G$4:$G$2458,0),FALSE)),"",HLOOKUP(CaseName,CaseData,MATCH($G64,cases!$G$4:$G$2458,0),FALSE))</f>
        <v/>
      </c>
      <c r="K64" s="435">
        <f>(10-1)*WATERflow.w1R.w2R</f>
        <v>12328.69006849315</v>
      </c>
      <c r="L64" s="298">
        <f t="shared" si="3"/>
        <v>12328.69006849315</v>
      </c>
      <c r="M64" s="17" t="s">
        <v>1066</v>
      </c>
      <c r="N64" s="17"/>
    </row>
    <row r="65" spans="1:14" ht="12.75" customHeight="1" x14ac:dyDescent="0.2">
      <c r="A65" s="38"/>
      <c r="B65" s="38" t="s">
        <v>2013</v>
      </c>
      <c r="C65" s="17"/>
      <c r="D65" s="17"/>
      <c r="E65" s="146"/>
      <c r="F65" s="146"/>
      <c r="G65" s="146" t="s">
        <v>2014</v>
      </c>
      <c r="H65" s="17" t="s">
        <v>1065</v>
      </c>
      <c r="I65" s="281"/>
      <c r="J65" s="294" t="str">
        <f>IF(ISBLANK(HLOOKUP(CaseName,CaseData,MATCH($G65,cases!$G$4:$G$2458,0),FALSE)),"",HLOOKUP(CaseName,CaseData,MATCH($G65,cases!$G$4:$G$2458,0),FALSE))</f>
        <v/>
      </c>
      <c r="K65" s="435">
        <f>(L9/L66)-WATERflow.w2R.w2C</f>
        <v>23536593.185565703</v>
      </c>
      <c r="L65" s="298">
        <f t="shared" si="3"/>
        <v>23536593.185565703</v>
      </c>
      <c r="M65" s="17" t="s">
        <v>1066</v>
      </c>
      <c r="N65" s="17"/>
    </row>
    <row r="66" spans="1:14" ht="12.75" customHeight="1" x14ac:dyDescent="0.2">
      <c r="A66" s="38"/>
      <c r="B66" s="38"/>
      <c r="C66" s="38" t="s">
        <v>2015</v>
      </c>
      <c r="D66" s="17"/>
      <c r="E66" s="17"/>
      <c r="F66" s="17"/>
      <c r="G66" s="38" t="s">
        <v>2016</v>
      </c>
      <c r="H66" s="38" t="s">
        <v>1051</v>
      </c>
      <c r="I66" s="274"/>
      <c r="J66" s="294" t="str">
        <f>IF(ISBLANK(HLOOKUP(CaseName,CaseData,MATCH($G66,cases!$G$4:$G$2458,0),FALSE)),"",HLOOKUP(CaseName,CaseData,MATCH($G66,cases!$G$4:$G$2458,0),FALSE))</f>
        <v/>
      </c>
      <c r="K66" s="428">
        <v>365</v>
      </c>
      <c r="L66" s="298">
        <f>IF(ISBLANK(I66),IF(ISNUMBER(J66)=FALSE,K66*(3600*24),J66*(3600*24)),I66*(3600*24))</f>
        <v>31536000</v>
      </c>
      <c r="M66" s="38" t="s">
        <v>1052</v>
      </c>
      <c r="N66" s="17"/>
    </row>
    <row r="67" spans="1:14" ht="12.75" customHeight="1" x14ac:dyDescent="0.2">
      <c r="A67" s="17"/>
      <c r="B67" s="17"/>
      <c r="C67" s="17"/>
      <c r="D67" s="17"/>
      <c r="E67" s="17"/>
      <c r="F67" s="17"/>
      <c r="G67" s="17"/>
      <c r="H67" s="17"/>
      <c r="I67" s="282"/>
      <c r="J67" s="294"/>
      <c r="K67" s="296"/>
      <c r="L67" s="296"/>
      <c r="M67" s="17"/>
      <c r="N67" s="17"/>
    </row>
    <row r="68" spans="1:14" customFormat="1" ht="12.75" customHeight="1" x14ac:dyDescent="0.2">
      <c r="A68" s="148" t="s">
        <v>2017</v>
      </c>
      <c r="B68" s="147"/>
      <c r="C68" s="147"/>
      <c r="D68" s="147"/>
      <c r="E68" s="147"/>
      <c r="F68" s="147"/>
      <c r="G68" s="148" t="s">
        <v>263</v>
      </c>
      <c r="H68" s="148" t="s">
        <v>279</v>
      </c>
      <c r="I68" s="147" t="s">
        <v>264</v>
      </c>
      <c r="J68" s="150" t="s">
        <v>280</v>
      </c>
      <c r="K68" s="331" t="s">
        <v>265</v>
      </c>
      <c r="L68" s="331" t="s">
        <v>266</v>
      </c>
      <c r="M68" s="147"/>
      <c r="N68" s="148" t="s">
        <v>267</v>
      </c>
    </row>
    <row r="69" spans="1:14" ht="12.75" customHeight="1" x14ac:dyDescent="0.2">
      <c r="A69" s="169"/>
      <c r="B69" s="170"/>
      <c r="C69" s="171"/>
      <c r="D69" s="171"/>
      <c r="E69" s="169"/>
      <c r="F69" s="169"/>
      <c r="G69" s="169"/>
      <c r="H69" s="171"/>
      <c r="I69" s="267"/>
      <c r="J69" s="294"/>
      <c r="K69" s="439"/>
      <c r="L69" s="334"/>
      <c r="M69" s="171"/>
      <c r="N69" s="17"/>
    </row>
    <row r="70" spans="1:14" ht="12.75" customHeight="1" x14ac:dyDescent="0.2">
      <c r="A70" s="5"/>
      <c r="B70" s="38" t="s">
        <v>2018</v>
      </c>
      <c r="C70" s="38"/>
      <c r="D70" s="38"/>
      <c r="E70" s="38"/>
      <c r="F70" s="38"/>
      <c r="G70" s="38" t="s">
        <v>2019</v>
      </c>
      <c r="H70" s="38" t="s">
        <v>296</v>
      </c>
      <c r="I70" s="276"/>
      <c r="J70" s="294" t="str">
        <f>IF(ISBLANK(HLOOKUP(CaseName,CaseData,MATCH($G70,cases!$G$4:$G$2458,0),FALSE)),"",HLOOKUP(CaseName,CaseData,MATCH($G70,cases!$G$4:$G$2458,0),FALSE))</f>
        <v/>
      </c>
      <c r="K70" s="755">
        <f>1-L35*L74/(1+L35*L74+L34*L75)-L34*L75/(1+L35*L74+L34*L75)</f>
        <v>4.2327252813834093E-13</v>
      </c>
      <c r="L70" s="298">
        <f t="shared" ref="L70:L111" si="4">IF(ISBLANK(I70),IF(ISNUMBER(J70)=FALSE,K70,J70),I70)</f>
        <v>4.2327252813834093E-13</v>
      </c>
      <c r="M70" s="21" t="s">
        <v>297</v>
      </c>
      <c r="N70" s="17"/>
    </row>
    <row r="71" spans="1:14" ht="12.75" customHeight="1" x14ac:dyDescent="0.2">
      <c r="A71" s="17"/>
      <c r="B71" s="17" t="s">
        <v>2020</v>
      </c>
      <c r="C71" s="17"/>
      <c r="D71" s="17"/>
      <c r="E71" s="17"/>
      <c r="F71" s="17"/>
      <c r="G71" s="17" t="s">
        <v>2021</v>
      </c>
      <c r="H71" s="17" t="s">
        <v>296</v>
      </c>
      <c r="I71" s="277"/>
      <c r="J71" s="294" t="str">
        <f>IF(ISBLANK(HLOOKUP(CaseName,CaseData,MATCH($G71,cases!$G$4:$G$2458,0),FALSE)),"",HLOOKUP(CaseName,CaseData,MATCH($G71,cases!$G$4:$G$2458,0),FALSE))</f>
        <v/>
      </c>
      <c r="K71" s="755">
        <f>L35*L74/(1+L35*L74+L34*L75)</f>
        <v>0.74854509595646335</v>
      </c>
      <c r="L71" s="298">
        <f t="shared" si="4"/>
        <v>0.74854509595646335</v>
      </c>
      <c r="M71" s="38" t="s">
        <v>297</v>
      </c>
      <c r="N71" s="17" t="s">
        <v>1080</v>
      </c>
    </row>
    <row r="72" spans="1:14" ht="12.75" customHeight="1" x14ac:dyDescent="0.2">
      <c r="A72" s="17"/>
      <c r="B72" s="17" t="s">
        <v>2022</v>
      </c>
      <c r="C72" s="17"/>
      <c r="D72" s="17"/>
      <c r="E72" s="17"/>
      <c r="F72" s="17"/>
      <c r="G72" s="17" t="s">
        <v>2023</v>
      </c>
      <c r="H72" s="17" t="s">
        <v>296</v>
      </c>
      <c r="I72" s="277"/>
      <c r="J72" s="294" t="str">
        <f>IF(ISBLANK(HLOOKUP(CaseName,CaseData,MATCH($G72,cases!$G$4:$G$2458,0),FALSE)),"",HLOOKUP(CaseName,CaseData,MATCH($G72,cases!$G$4:$G$2458,0),FALSE))</f>
        <v/>
      </c>
      <c r="K72" s="755">
        <f>L34*L75/(1+L35*L74+L34*L75)</f>
        <v>0.25145490404311338</v>
      </c>
      <c r="L72" s="298">
        <f t="shared" si="4"/>
        <v>0.25145490404311338</v>
      </c>
      <c r="M72" s="38" t="s">
        <v>297</v>
      </c>
      <c r="N72" s="17" t="s">
        <v>1080</v>
      </c>
    </row>
    <row r="73" spans="1:14" ht="12.75" customHeight="1" x14ac:dyDescent="0.2">
      <c r="A73" s="17"/>
      <c r="B73" s="17"/>
      <c r="C73" s="38" t="s">
        <v>2024</v>
      </c>
      <c r="D73" s="38"/>
      <c r="E73" s="38"/>
      <c r="F73" s="38"/>
      <c r="G73" s="38" t="s">
        <v>2025</v>
      </c>
      <c r="H73" s="38" t="s">
        <v>296</v>
      </c>
      <c r="I73" s="281"/>
      <c r="J73" s="294" t="str">
        <f>IF(ISBLANK(HLOOKUP(CaseName,CaseData,MATCH($G73,cases!$G$4:$G$2458,0),FALSE)),"",HLOOKUP(CaseName,CaseData,MATCH($G73,cases!$G$4:$G$2458,0),FALSE))</f>
        <v/>
      </c>
      <c r="K73" s="755">
        <f>Kaw*EXP((H0vap/8.314)*(1/298-1/TEMP.C))*EXP(-(H0sol/8.314)*(1/298-1/TEMP.C))*(298/TEMP.C)</f>
        <v>1.1310601233461476E-23</v>
      </c>
      <c r="L73" s="298">
        <f t="shared" si="4"/>
        <v>1.1310601233461476E-23</v>
      </c>
      <c r="M73" s="38" t="s">
        <v>297</v>
      </c>
      <c r="N73" s="17"/>
    </row>
    <row r="74" spans="1:14" ht="12.75" customHeight="1" x14ac:dyDescent="0.25">
      <c r="A74" s="17"/>
      <c r="B74" s="17"/>
      <c r="C74" s="17" t="s">
        <v>2026</v>
      </c>
      <c r="D74" s="17"/>
      <c r="E74" s="17"/>
      <c r="F74" s="17"/>
      <c r="G74" s="17" t="s">
        <v>2027</v>
      </c>
      <c r="H74" s="17" t="s">
        <v>1088</v>
      </c>
      <c r="I74" s="277"/>
      <c r="J74" s="294" t="str">
        <f>IF(ISBLANK(HLOOKUP(CaseName,CaseData,MATCH($G74,cases!$G$4:$G$2458,0),FALSE)),"",HLOOKUP(CaseName,CaseData,MATCH($G74,cases!$G$4:$G$2458,0),FALSE))</f>
        <v/>
      </c>
      <c r="K74" s="755">
        <f>1/(L73*FRorig.aerw)</f>
        <v>8.8412629829224543E+22</v>
      </c>
      <c r="L74" s="298">
        <f t="shared" si="4"/>
        <v>8.8412629829224543E+22</v>
      </c>
      <c r="M74" s="38" t="s">
        <v>297</v>
      </c>
      <c r="N74" s="17"/>
    </row>
    <row r="75" spans="1:14" ht="12.75" customHeight="1" x14ac:dyDescent="0.25">
      <c r="A75" s="17"/>
      <c r="B75" s="17"/>
      <c r="C75" s="17" t="s">
        <v>2028</v>
      </c>
      <c r="D75" s="17"/>
      <c r="E75" s="17"/>
      <c r="F75" s="17"/>
      <c r="G75" s="17" t="s">
        <v>2029</v>
      </c>
      <c r="H75" s="17" t="s">
        <v>1091</v>
      </c>
      <c r="I75" s="277"/>
      <c r="J75" s="294" t="str">
        <f>IF(ISBLANK(HLOOKUP(CaseName,CaseData,MATCH($G75,cases!$G$4:$G$2458,0),FALSE)),"",HLOOKUP(CaseName,CaseData,MATCH($G75,cases!$G$4:$G$2458,0),FALSE))</f>
        <v/>
      </c>
      <c r="K75" s="755">
        <f>0.54*(Kow/Kaw)*CORGaer*(RHOaers/1000)</f>
        <v>2.9700000000000003E+22</v>
      </c>
      <c r="L75" s="298">
        <f t="shared" si="4"/>
        <v>2.9700000000000003E+22</v>
      </c>
      <c r="M75" s="38" t="s">
        <v>297</v>
      </c>
      <c r="N75" s="17" t="s">
        <v>1092</v>
      </c>
    </row>
    <row r="76" spans="1:14" ht="12.75" customHeight="1" x14ac:dyDescent="0.2">
      <c r="A76" s="38"/>
      <c r="B76" s="38" t="s">
        <v>2030</v>
      </c>
      <c r="C76" s="146"/>
      <c r="D76" s="17"/>
      <c r="E76" s="17"/>
      <c r="F76" s="17"/>
      <c r="G76" s="146" t="s">
        <v>2031</v>
      </c>
      <c r="H76" s="38" t="s">
        <v>296</v>
      </c>
      <c r="I76" s="274"/>
      <c r="J76" s="294" t="str">
        <f>IF(ISBLANK(HLOOKUP(CaseName,CaseData,MATCH($G76,cases!$G$4:$G$2458,0),FALSE)),"",HLOOKUP(CaseName,CaseData,MATCH($G76,cases!$G$4:$G$2458,0),FALSE))</f>
        <v/>
      </c>
      <c r="K76" s="755">
        <f>1/(1+L77*input!L311/1000+L79*input!L308/1000)</f>
        <v>0.99973007288032212</v>
      </c>
      <c r="L76" s="298">
        <f t="shared" si="4"/>
        <v>0.99973007288032212</v>
      </c>
      <c r="M76" s="38" t="s">
        <v>297</v>
      </c>
      <c r="N76" s="17"/>
    </row>
    <row r="77" spans="1:14" ht="12.75" customHeight="1" x14ac:dyDescent="0.2">
      <c r="A77" s="38"/>
      <c r="B77" s="17"/>
      <c r="C77" s="38" t="s">
        <v>1095</v>
      </c>
      <c r="D77" s="17"/>
      <c r="E77" s="17"/>
      <c r="F77" s="17"/>
      <c r="G77" s="146" t="s">
        <v>2032</v>
      </c>
      <c r="H77" s="38" t="s">
        <v>1097</v>
      </c>
      <c r="I77" s="274"/>
      <c r="J77" s="294" t="str">
        <f>IF(ISBLANK(HLOOKUP(CaseName,CaseData,MATCH($G77,cases!$G$4:$G$2458,0),FALSE)),"",HLOOKUP(CaseName,CaseData,MATCH($G77,cases!$G$4:$G$2458,0),FALSE))</f>
        <v/>
      </c>
      <c r="K77" s="424">
        <f>(FRorig.w1*Ksw+(1-FRorig.w1)*Ksw.alt)*(1000/RHOsolid/CORG)*L78</f>
        <v>100</v>
      </c>
      <c r="L77" s="298">
        <f t="shared" si="4"/>
        <v>100</v>
      </c>
      <c r="M77" s="38" t="s">
        <v>1098</v>
      </c>
      <c r="N77" s="17"/>
    </row>
    <row r="78" spans="1:14" ht="12.75" customHeight="1" x14ac:dyDescent="0.2">
      <c r="A78" s="38"/>
      <c r="B78" s="17"/>
      <c r="C78" s="38" t="s">
        <v>1099</v>
      </c>
      <c r="D78" s="17"/>
      <c r="E78" s="17"/>
      <c r="F78" s="17"/>
      <c r="G78" s="146" t="s">
        <v>2033</v>
      </c>
      <c r="H78" s="38" t="s">
        <v>296</v>
      </c>
      <c r="I78" s="274"/>
      <c r="J78" s="294" t="str">
        <f>IF(ISBLANK(HLOOKUP(CaseName,CaseData,MATCH($G78,cases!$G$4:$G$2458,0),FALSE)),"",HLOOKUP(CaseName,CaseData,MATCH($G78,cases!$G$4:$G$2458,0),FALSE))</f>
        <v/>
      </c>
      <c r="K78" s="435">
        <v>0.1</v>
      </c>
      <c r="L78" s="298">
        <f t="shared" si="4"/>
        <v>0.1</v>
      </c>
      <c r="M78" s="38" t="s">
        <v>297</v>
      </c>
      <c r="N78" s="17"/>
    </row>
    <row r="79" spans="1:14" ht="12.75" customHeight="1" x14ac:dyDescent="0.2">
      <c r="A79" s="38"/>
      <c r="B79" s="17"/>
      <c r="C79" s="38" t="s">
        <v>1101</v>
      </c>
      <c r="D79" s="17"/>
      <c r="E79" s="17"/>
      <c r="F79" s="17"/>
      <c r="G79" s="146" t="s">
        <v>2034</v>
      </c>
      <c r="H79" s="38" t="s">
        <v>1103</v>
      </c>
      <c r="I79" s="274"/>
      <c r="J79" s="294" t="str">
        <f>IF(ISBLANK(HLOOKUP(CaseName,CaseData,MATCH($G79,cases!$G$4:$G$2458,0),FALSE)),"",HLOOKUP(CaseName,CaseData,MATCH($G79,cases!$G$4:$G$2458,0),FALSE))</f>
        <v/>
      </c>
      <c r="K79" s="435">
        <f>0.08*D</f>
        <v>220</v>
      </c>
      <c r="L79" s="298">
        <f t="shared" si="4"/>
        <v>220</v>
      </c>
      <c r="M79" s="38" t="s">
        <v>1098</v>
      </c>
      <c r="N79" s="17"/>
    </row>
    <row r="80" spans="1:14" ht="12.75" customHeight="1" x14ac:dyDescent="0.2">
      <c r="A80" s="38"/>
      <c r="B80" s="38" t="s">
        <v>2035</v>
      </c>
      <c r="C80" s="146"/>
      <c r="D80" s="17"/>
      <c r="E80" s="17"/>
      <c r="F80" s="17"/>
      <c r="G80" s="146" t="s">
        <v>2036</v>
      </c>
      <c r="H80" s="38" t="s">
        <v>296</v>
      </c>
      <c r="I80" s="281"/>
      <c r="J80" s="294" t="str">
        <f>IF(ISBLANK(HLOOKUP(CaseName,CaseData,MATCH($G80,cases!$G$4:$G$2458,0),FALSE)),"",HLOOKUP(CaseName,CaseData,MATCH($G80,cases!$G$4:$G$2458,0),FALSE))</f>
        <v/>
      </c>
      <c r="K80" s="435">
        <f>1/(1+L81*input!L312/1000+L83*input!L309/1000)</f>
        <v>0.99828295332028893</v>
      </c>
      <c r="L80" s="298">
        <f t="shared" si="4"/>
        <v>0.99828295332028893</v>
      </c>
      <c r="M80" s="38" t="s">
        <v>297</v>
      </c>
      <c r="N80" s="17"/>
    </row>
    <row r="81" spans="1:14" ht="12.75" customHeight="1" x14ac:dyDescent="0.2">
      <c r="A81" s="38"/>
      <c r="B81" s="17"/>
      <c r="C81" s="38" t="s">
        <v>1095</v>
      </c>
      <c r="D81" s="17"/>
      <c r="E81" s="17"/>
      <c r="F81" s="17"/>
      <c r="G81" s="146" t="s">
        <v>2037</v>
      </c>
      <c r="H81" s="38" t="s">
        <v>1103</v>
      </c>
      <c r="I81" s="281"/>
      <c r="J81" s="294" t="str">
        <f>IF(ISBLANK(HLOOKUP(CaseName,CaseData,MATCH($G81,cases!$G$4:$G$2458,0),FALSE)),"",HLOOKUP(CaseName,CaseData,MATCH($G81,cases!$G$4:$G$2458,0),FALSE))</f>
        <v/>
      </c>
      <c r="K81" s="435">
        <f>(FRorig.w1*Ksw+(1-FRorig.w1)*Ksw.alt)*(1000/RHOsolid/CORG)*L82</f>
        <v>100</v>
      </c>
      <c r="L81" s="298">
        <f t="shared" si="4"/>
        <v>100</v>
      </c>
      <c r="M81" s="38" t="s">
        <v>1098</v>
      </c>
      <c r="N81" s="17"/>
    </row>
    <row r="82" spans="1:14" ht="12.75" customHeight="1" x14ac:dyDescent="0.2">
      <c r="A82" s="38"/>
      <c r="B82" s="17"/>
      <c r="C82" s="38" t="s">
        <v>1099</v>
      </c>
      <c r="D82" s="17"/>
      <c r="E82" s="17"/>
      <c r="F82" s="17"/>
      <c r="G82" s="146" t="s">
        <v>2038</v>
      </c>
      <c r="H82" s="38" t="s">
        <v>296</v>
      </c>
      <c r="I82" s="281"/>
      <c r="J82" s="294" t="str">
        <f>IF(ISBLANK(HLOOKUP(CaseName,CaseData,MATCH($G82,cases!$G$4:$G$2458,0),FALSE)),"",HLOOKUP(CaseName,CaseData,MATCH($G82,cases!$G$4:$G$2458,0),FALSE))</f>
        <v/>
      </c>
      <c r="K82" s="435">
        <v>0.1</v>
      </c>
      <c r="L82" s="298">
        <f t="shared" si="4"/>
        <v>0.1</v>
      </c>
      <c r="M82" s="38" t="s">
        <v>297</v>
      </c>
      <c r="N82" s="17"/>
    </row>
    <row r="83" spans="1:14" ht="12.75" customHeight="1" x14ac:dyDescent="0.2">
      <c r="A83" s="38"/>
      <c r="B83" s="17"/>
      <c r="C83" s="38" t="s">
        <v>1101</v>
      </c>
      <c r="D83" s="17"/>
      <c r="E83" s="17"/>
      <c r="F83" s="17"/>
      <c r="G83" s="146" t="s">
        <v>2039</v>
      </c>
      <c r="H83" s="38" t="s">
        <v>1103</v>
      </c>
      <c r="I83" s="274"/>
      <c r="J83" s="294" t="str">
        <f>IF(ISBLANK(HLOOKUP(CaseName,CaseData,MATCH($G83,cases!$G$4:$G$2458,0),FALSE)),"",HLOOKUP(CaseName,CaseData,MATCH($G83,cases!$G$4:$G$2458,0),FALSE))</f>
        <v/>
      </c>
      <c r="K83" s="435">
        <f>0.08*D</f>
        <v>220</v>
      </c>
      <c r="L83" s="298">
        <f t="shared" si="4"/>
        <v>220</v>
      </c>
      <c r="M83" s="38" t="s">
        <v>1098</v>
      </c>
      <c r="N83" s="17"/>
    </row>
    <row r="84" spans="1:14" ht="12.75" customHeight="1" x14ac:dyDescent="0.2">
      <c r="A84" s="38"/>
      <c r="B84" s="38" t="s">
        <v>2040</v>
      </c>
      <c r="C84" s="146"/>
      <c r="D84" s="17"/>
      <c r="E84" s="17"/>
      <c r="F84" s="17"/>
      <c r="G84" s="146" t="s">
        <v>2041</v>
      </c>
      <c r="H84" s="38" t="s">
        <v>296</v>
      </c>
      <c r="I84" s="281"/>
      <c r="J84" s="294" t="str">
        <f>IF(ISBLANK(HLOOKUP(CaseName,CaseData,MATCH($G84,cases!$G$4:$G$2458,0),FALSE)),"",HLOOKUP(CaseName,CaseData,MATCH($G84,cases!$G$4:$G$2458,0),FALSE))</f>
        <v/>
      </c>
      <c r="K84" s="435">
        <f>1/(1+L85*input!L313/1000+L87*input!L310/1000)</f>
        <v>0.99928051802702045</v>
      </c>
      <c r="L84" s="298">
        <f t="shared" si="4"/>
        <v>0.99928051802702045</v>
      </c>
      <c r="M84" s="38" t="s">
        <v>297</v>
      </c>
      <c r="N84" s="17"/>
    </row>
    <row r="85" spans="1:14" ht="12.75" customHeight="1" x14ac:dyDescent="0.2">
      <c r="A85" s="38"/>
      <c r="B85" s="17"/>
      <c r="C85" s="38" t="s">
        <v>1095</v>
      </c>
      <c r="D85" s="17"/>
      <c r="E85" s="17"/>
      <c r="F85" s="17"/>
      <c r="G85" s="146" t="s">
        <v>2042</v>
      </c>
      <c r="H85" s="38" t="s">
        <v>1103</v>
      </c>
      <c r="I85" s="281"/>
      <c r="J85" s="294" t="str">
        <f>IF(ISBLANK(HLOOKUP(CaseName,CaseData,MATCH($G85,cases!$G$4:$G$2458,0),FALSE)),"",HLOOKUP(CaseName,CaseData,MATCH($G85,cases!$G$4:$G$2458,0),FALSE))</f>
        <v/>
      </c>
      <c r="K85" s="435">
        <f>(FRorig.w2*Ksw+(1-FRorig.w2)*Ksw.alt)*(1000/RHOsolid/CORG)*L86</f>
        <v>100</v>
      </c>
      <c r="L85" s="298">
        <f t="shared" si="4"/>
        <v>100</v>
      </c>
      <c r="M85" s="38" t="s">
        <v>1098</v>
      </c>
      <c r="N85" s="17"/>
    </row>
    <row r="86" spans="1:14" ht="12.75" customHeight="1" x14ac:dyDescent="0.2">
      <c r="A86" s="38"/>
      <c r="B86" s="17"/>
      <c r="C86" s="38" t="s">
        <v>1099</v>
      </c>
      <c r="D86" s="17"/>
      <c r="E86" s="17"/>
      <c r="F86" s="17"/>
      <c r="G86" s="146" t="s">
        <v>2043</v>
      </c>
      <c r="H86" s="38" t="s">
        <v>296</v>
      </c>
      <c r="I86" s="281"/>
      <c r="J86" s="294" t="str">
        <f>IF(ISBLANK(HLOOKUP(CaseName,CaseData,MATCH($G86,cases!$G$4:$G$2458,0),FALSE)),"",HLOOKUP(CaseName,CaseData,MATCH($G86,cases!$G$4:$G$2458,0),FALSE))</f>
        <v/>
      </c>
      <c r="K86" s="435">
        <v>0.1</v>
      </c>
      <c r="L86" s="298">
        <f t="shared" si="4"/>
        <v>0.1</v>
      </c>
      <c r="M86" s="38" t="s">
        <v>297</v>
      </c>
      <c r="N86" s="17"/>
    </row>
    <row r="87" spans="1:14" ht="12.75" customHeight="1" x14ac:dyDescent="0.2">
      <c r="A87" s="38"/>
      <c r="B87" s="17"/>
      <c r="C87" s="38" t="s">
        <v>1101</v>
      </c>
      <c r="D87" s="17"/>
      <c r="E87" s="17"/>
      <c r="F87" s="17"/>
      <c r="G87" s="146" t="s">
        <v>2044</v>
      </c>
      <c r="H87" s="38" t="s">
        <v>1103</v>
      </c>
      <c r="I87" s="274"/>
      <c r="J87" s="294" t="str">
        <f>IF(ISBLANK(HLOOKUP(CaseName,CaseData,MATCH($G87,cases!$G$4:$G$2458,0),FALSE)),"",HLOOKUP(CaseName,CaseData,MATCH($G87,cases!$G$4:$G$2458,0),FALSE))</f>
        <v/>
      </c>
      <c r="K87" s="435">
        <f>0.08*D</f>
        <v>220</v>
      </c>
      <c r="L87" s="298">
        <f t="shared" si="4"/>
        <v>220</v>
      </c>
      <c r="M87" s="38" t="s">
        <v>1098</v>
      </c>
      <c r="N87" s="17"/>
    </row>
    <row r="88" spans="1:14" s="386" customFormat="1" ht="12.75" customHeight="1" x14ac:dyDescent="0.2">
      <c r="A88" s="568"/>
      <c r="B88" s="568" t="s">
        <v>1114</v>
      </c>
      <c r="C88" s="680"/>
      <c r="D88" s="567"/>
      <c r="E88" s="567"/>
      <c r="F88" s="567"/>
      <c r="G88" s="680" t="s">
        <v>2045</v>
      </c>
      <c r="H88" s="568" t="s">
        <v>296</v>
      </c>
      <c r="I88" s="706"/>
      <c r="J88" s="294" t="str">
        <f>IF(ISBLANK(HLOOKUP(CaseName,CaseData,MATCH($G88,cases!$G$4:$G$2458,0),FALSE)),"",HLOOKUP(CaseName,CaseData,MATCH($G88,cases!$G$4:$G$2458,0),FALSE))</f>
        <v/>
      </c>
      <c r="K88" s="435">
        <f>L45+L46*L89*RHOsolid/1000</f>
        <v>25.799999999999997</v>
      </c>
      <c r="L88" s="298">
        <f t="shared" si="4"/>
        <v>25.799999999999997</v>
      </c>
      <c r="M88" s="568" t="s">
        <v>297</v>
      </c>
      <c r="N88" s="578"/>
    </row>
    <row r="89" spans="1:14" s="386" customFormat="1" ht="12.75" customHeight="1" x14ac:dyDescent="0.2">
      <c r="A89" s="568"/>
      <c r="B89" s="567"/>
      <c r="C89" s="568" t="s">
        <v>1116</v>
      </c>
      <c r="D89" s="567"/>
      <c r="E89" s="567"/>
      <c r="F89" s="567"/>
      <c r="G89" s="680" t="s">
        <v>2046</v>
      </c>
      <c r="H89" s="568" t="s">
        <v>1103</v>
      </c>
      <c r="I89" s="706"/>
      <c r="J89" s="294" t="str">
        <f>IF(ISBLANK(HLOOKUP(CaseName,CaseData,MATCH($G89,cases!$G$4:$G$2458,0),FALSE)),"",HLOOKUP(CaseName,CaseData,MATCH($G89,cases!$G$4:$G$2458,0),FALSE))</f>
        <v/>
      </c>
      <c r="K89" s="435">
        <f>(FRorig.sd1*Ksw+(1-FRorig.sd1)*Ksw.alt)*(1000/RHOsolid/CORG)*L90</f>
        <v>50</v>
      </c>
      <c r="L89" s="298">
        <f t="shared" si="4"/>
        <v>50</v>
      </c>
      <c r="M89" s="568" t="s">
        <v>1098</v>
      </c>
      <c r="N89" s="578"/>
    </row>
    <row r="90" spans="1:14" s="386" customFormat="1" ht="12.75" customHeight="1" x14ac:dyDescent="0.2">
      <c r="A90" s="568"/>
      <c r="B90" s="567"/>
      <c r="C90" s="568" t="s">
        <v>1118</v>
      </c>
      <c r="D90" s="567"/>
      <c r="E90" s="567"/>
      <c r="F90" s="567"/>
      <c r="G90" s="680" t="s">
        <v>2047</v>
      </c>
      <c r="H90" s="568" t="s">
        <v>296</v>
      </c>
      <c r="I90" s="706"/>
      <c r="J90" s="294" t="str">
        <f>IF(ISBLANK(HLOOKUP(CaseName,CaseData,MATCH($G90,cases!$G$4:$G$2458,0),FALSE)),"",HLOOKUP(CaseName,CaseData,MATCH($G90,cases!$G$4:$G$2458,0),FALSE))</f>
        <v/>
      </c>
      <c r="K90" s="435">
        <v>0.05</v>
      </c>
      <c r="L90" s="298">
        <f t="shared" si="4"/>
        <v>0.05</v>
      </c>
      <c r="M90" s="567" t="s">
        <v>297</v>
      </c>
      <c r="N90" s="578"/>
    </row>
    <row r="91" spans="1:14" ht="12.75" customHeight="1" x14ac:dyDescent="0.2">
      <c r="A91" s="38"/>
      <c r="B91" s="38" t="s">
        <v>1120</v>
      </c>
      <c r="C91" s="146"/>
      <c r="D91" s="17"/>
      <c r="E91" s="17"/>
      <c r="F91" s="17"/>
      <c r="G91" s="146" t="s">
        <v>2048</v>
      </c>
      <c r="H91" s="38" t="s">
        <v>296</v>
      </c>
      <c r="I91" s="281"/>
      <c r="J91" s="294" t="str">
        <f>IF(ISBLANK(HLOOKUP(CaseName,CaseData,MATCH($G91,cases!$G$4:$G$2458,0),FALSE)),"",HLOOKUP(CaseName,CaseData,MATCH($G91,cases!$G$4:$G$2458,0),FALSE))</f>
        <v/>
      </c>
      <c r="K91" s="435">
        <f>L45+L46*L92*RHOsolid/1000</f>
        <v>25.799999999999997</v>
      </c>
      <c r="L91" s="298">
        <f t="shared" si="4"/>
        <v>25.799999999999997</v>
      </c>
      <c r="M91" s="38" t="s">
        <v>297</v>
      </c>
      <c r="N91" s="17"/>
    </row>
    <row r="92" spans="1:14" ht="12.75" customHeight="1" x14ac:dyDescent="0.2">
      <c r="A92" s="38"/>
      <c r="B92" s="17"/>
      <c r="C92" s="38" t="s">
        <v>1122</v>
      </c>
      <c r="D92" s="17"/>
      <c r="E92" s="17"/>
      <c r="F92" s="17"/>
      <c r="G92" s="146" t="s">
        <v>2049</v>
      </c>
      <c r="H92" s="38" t="s">
        <v>1103</v>
      </c>
      <c r="I92" s="281"/>
      <c r="J92" s="294" t="str">
        <f>IF(ISBLANK(HLOOKUP(CaseName,CaseData,MATCH($G92,cases!$G$4:$G$2458,0),FALSE)),"",HLOOKUP(CaseName,CaseData,MATCH($G92,cases!$G$4:$G$2458,0),FALSE))</f>
        <v/>
      </c>
      <c r="K92" s="435">
        <f>(FRorig.sd1*Ksw+(1-FRorig.sd1)*Ksw.alt)*(1000/RHOsolid/CORG)*L93</f>
        <v>50</v>
      </c>
      <c r="L92" s="298">
        <f t="shared" si="4"/>
        <v>50</v>
      </c>
      <c r="M92" s="38" t="s">
        <v>1098</v>
      </c>
      <c r="N92" s="17"/>
    </row>
    <row r="93" spans="1:14" ht="12.75" customHeight="1" x14ac:dyDescent="0.2">
      <c r="A93" s="38"/>
      <c r="B93" s="17"/>
      <c r="C93" s="38" t="s">
        <v>1124</v>
      </c>
      <c r="D93" s="17"/>
      <c r="E93" s="17"/>
      <c r="F93" s="17"/>
      <c r="G93" s="146" t="s">
        <v>2050</v>
      </c>
      <c r="H93" s="38" t="s">
        <v>296</v>
      </c>
      <c r="I93" s="281"/>
      <c r="J93" s="294" t="str">
        <f>IF(ISBLANK(HLOOKUP(CaseName,CaseData,MATCH($G93,cases!$G$4:$G$2458,0),FALSE)),"",HLOOKUP(CaseName,CaseData,MATCH($G93,cases!$G$4:$G$2458,0),FALSE))</f>
        <v/>
      </c>
      <c r="K93" s="435">
        <v>0.05</v>
      </c>
      <c r="L93" s="298">
        <f t="shared" si="4"/>
        <v>0.05</v>
      </c>
      <c r="M93" s="17" t="s">
        <v>297</v>
      </c>
      <c r="N93" s="17"/>
    </row>
    <row r="94" spans="1:14" ht="12.75" customHeight="1" x14ac:dyDescent="0.2">
      <c r="A94" s="38"/>
      <c r="B94" s="38" t="s">
        <v>1126</v>
      </c>
      <c r="C94" s="146"/>
      <c r="D94" s="17"/>
      <c r="E94" s="17"/>
      <c r="F94" s="17"/>
      <c r="G94" s="146" t="s">
        <v>2051</v>
      </c>
      <c r="H94" s="38" t="s">
        <v>296</v>
      </c>
      <c r="I94" s="281"/>
      <c r="J94" s="294" t="str">
        <f>IF(ISBLANK(HLOOKUP(CaseName,CaseData,MATCH($G94,cases!$G$4:$G$2458,0),FALSE)),"",HLOOKUP(CaseName,CaseData,MATCH($G94,cases!$G$4:$G$2458,0),FALSE))</f>
        <v/>
      </c>
      <c r="K94" s="435">
        <f>L45+L46*L95*RHOsolid/1000</f>
        <v>25.799999999999997</v>
      </c>
      <c r="L94" s="298">
        <f t="shared" si="4"/>
        <v>25.799999999999997</v>
      </c>
      <c r="M94" s="17" t="s">
        <v>297</v>
      </c>
      <c r="N94" s="17"/>
    </row>
    <row r="95" spans="1:14" ht="12.75" customHeight="1" x14ac:dyDescent="0.2">
      <c r="A95" s="38"/>
      <c r="B95" s="17"/>
      <c r="C95" s="38" t="s">
        <v>1128</v>
      </c>
      <c r="D95" s="17"/>
      <c r="E95" s="17"/>
      <c r="F95" s="17"/>
      <c r="G95" s="146" t="s">
        <v>2052</v>
      </c>
      <c r="H95" s="38" t="s">
        <v>1103</v>
      </c>
      <c r="I95" s="281"/>
      <c r="J95" s="294" t="str">
        <f>IF(ISBLANK(HLOOKUP(CaseName,CaseData,MATCH($G95,cases!$G$4:$G$2458,0),FALSE)),"",HLOOKUP(CaseName,CaseData,MATCH($G95,cases!$G$4:$G$2458,0),FALSE))</f>
        <v/>
      </c>
      <c r="K95" s="435">
        <f>(FRorig.sd2*Ksw+(1-FRorig.sd2)*Ksw.alt)*(1000/RHOsolid/CORG)*L96</f>
        <v>50</v>
      </c>
      <c r="L95" s="298">
        <f t="shared" si="4"/>
        <v>50</v>
      </c>
      <c r="M95" s="38" t="s">
        <v>1098</v>
      </c>
      <c r="N95" s="17"/>
    </row>
    <row r="96" spans="1:14" ht="12.75" customHeight="1" x14ac:dyDescent="0.2">
      <c r="A96" s="38"/>
      <c r="B96" s="17"/>
      <c r="C96" s="38" t="s">
        <v>1130</v>
      </c>
      <c r="D96" s="17"/>
      <c r="E96" s="17"/>
      <c r="F96" s="17"/>
      <c r="G96" s="146" t="s">
        <v>2053</v>
      </c>
      <c r="H96" s="38" t="s">
        <v>296</v>
      </c>
      <c r="I96" s="281"/>
      <c r="J96" s="294" t="str">
        <f>IF(ISBLANK(HLOOKUP(CaseName,CaseData,MATCH($G96,cases!$G$4:$G$2458,0),FALSE)),"",HLOOKUP(CaseName,CaseData,MATCH($G96,cases!$G$4:$G$2458,0),FALSE))</f>
        <v/>
      </c>
      <c r="K96" s="435">
        <v>0.05</v>
      </c>
      <c r="L96" s="298">
        <f t="shared" si="4"/>
        <v>0.05</v>
      </c>
      <c r="M96" s="17" t="s">
        <v>297</v>
      </c>
      <c r="N96" s="17"/>
    </row>
    <row r="97" spans="1:14" ht="12.75" customHeight="1" x14ac:dyDescent="0.2">
      <c r="A97" s="38"/>
      <c r="B97" s="38" t="s">
        <v>1132</v>
      </c>
      <c r="C97" s="146"/>
      <c r="D97" s="17"/>
      <c r="E97" s="17"/>
      <c r="F97" s="17"/>
      <c r="G97" s="146" t="s">
        <v>2054</v>
      </c>
      <c r="H97" s="38" t="s">
        <v>296</v>
      </c>
      <c r="I97" s="281"/>
      <c r="J97" s="294" t="str">
        <f>IF(ISBLANK(HLOOKUP(CaseName,CaseData,MATCH($G97,cases!$G$4:$G$2458,0),FALSE)),"",HLOOKUP(CaseName,CaseData,MATCH($G97,cases!$G$4:$G$2458,0),FALSE))</f>
        <v/>
      </c>
      <c r="K97" s="435">
        <f>L36*(L73*FRorig.s1w)+L37+L38*L100*RHOsolid/1000</f>
        <v>30.200000000000003</v>
      </c>
      <c r="L97" s="298">
        <f t="shared" si="4"/>
        <v>30.200000000000003</v>
      </c>
      <c r="M97" s="17" t="s">
        <v>297</v>
      </c>
      <c r="N97" s="17"/>
    </row>
    <row r="98" spans="1:14" ht="12.75" customHeight="1" x14ac:dyDescent="0.2">
      <c r="A98" s="38"/>
      <c r="B98" s="38" t="s">
        <v>2055</v>
      </c>
      <c r="C98" s="146"/>
      <c r="D98" s="17"/>
      <c r="E98" s="17"/>
      <c r="F98" s="17"/>
      <c r="G98" s="146" t="s">
        <v>2056</v>
      </c>
      <c r="H98" s="38" t="s">
        <v>296</v>
      </c>
      <c r="I98" s="281"/>
      <c r="J98" s="294" t="str">
        <f>IF(ISBLANK(HLOOKUP(CaseName,CaseData,MATCH($G98,cases!$G$4:$G$2458,0),FALSE)),"",HLOOKUP(CaseName,CaseData,MATCH($G98,cases!$G$4:$G$2458,0),FALSE))</f>
        <v/>
      </c>
      <c r="K98" s="435">
        <f>L37/(L36*(L73*FRorig.s1w)+L37+L38*L100*RHOsolid/1000)</f>
        <v>6.6225165562913907E-3</v>
      </c>
      <c r="L98" s="298">
        <f t="shared" si="4"/>
        <v>6.6225165562913907E-3</v>
      </c>
      <c r="M98" s="17" t="s">
        <v>297</v>
      </c>
      <c r="N98" s="17"/>
    </row>
    <row r="99" spans="1:14" ht="12.75" customHeight="1" x14ac:dyDescent="0.2">
      <c r="A99" s="38"/>
      <c r="B99" s="38" t="s">
        <v>2057</v>
      </c>
      <c r="C99" s="146"/>
      <c r="D99" s="17"/>
      <c r="E99" s="17"/>
      <c r="F99" s="17"/>
      <c r="G99" s="146" t="s">
        <v>2058</v>
      </c>
      <c r="H99" s="38" t="s">
        <v>296</v>
      </c>
      <c r="I99" s="281"/>
      <c r="J99" s="294" t="str">
        <f>IF(ISBLANK(HLOOKUP(CaseName,CaseData,MATCH($G99,cases!$G$4:$G$2458,0),FALSE)),"",HLOOKUP(CaseName,CaseData,MATCH($G99,cases!$G$4:$G$2458,0),FALSE))</f>
        <v/>
      </c>
      <c r="K99" s="435">
        <f>L38 / (L36*L73*FRorig.s1w/(L100*RHOsolid/1000)+L37 /(L100*RHOsolid/1000)+L38 )</f>
        <v>0.99337748344370858</v>
      </c>
      <c r="L99" s="298">
        <f t="shared" si="4"/>
        <v>0.99337748344370858</v>
      </c>
      <c r="M99" s="5" t="s">
        <v>297</v>
      </c>
      <c r="N99" s="17"/>
    </row>
    <row r="100" spans="1:14" ht="12.75" customHeight="1" x14ac:dyDescent="0.2">
      <c r="A100" s="38"/>
      <c r="B100" s="17"/>
      <c r="C100" s="38" t="s">
        <v>1138</v>
      </c>
      <c r="D100" s="17"/>
      <c r="E100" s="17"/>
      <c r="F100" s="17"/>
      <c r="G100" s="146" t="s">
        <v>2059</v>
      </c>
      <c r="H100" s="38" t="s">
        <v>1103</v>
      </c>
      <c r="I100" s="281"/>
      <c r="J100" s="294" t="str">
        <f>IF(ISBLANK(HLOOKUP(CaseName,CaseData,MATCH($G100,cases!$G$4:$G$2458,0),FALSE)),"",HLOOKUP(CaseName,CaseData,MATCH($G100,cases!$G$4:$G$2458,0),FALSE))</f>
        <v/>
      </c>
      <c r="K100" s="435">
        <f>(FRorig.s1*Ksw+(1-FRorig.s1)*Ksw.alt)*(1000/RHOsolid/CORG)*L101</f>
        <v>20</v>
      </c>
      <c r="L100" s="298">
        <f t="shared" si="4"/>
        <v>20</v>
      </c>
      <c r="M100" s="38" t="s">
        <v>1098</v>
      </c>
      <c r="N100" s="17"/>
    </row>
    <row r="101" spans="1:14" ht="12.75" customHeight="1" x14ac:dyDescent="0.2">
      <c r="A101" s="38"/>
      <c r="B101" s="17"/>
      <c r="C101" s="38" t="s">
        <v>1140</v>
      </c>
      <c r="D101" s="17"/>
      <c r="E101" s="17"/>
      <c r="F101" s="17"/>
      <c r="G101" s="146" t="s">
        <v>2060</v>
      </c>
      <c r="H101" s="38" t="s">
        <v>296</v>
      </c>
      <c r="I101" s="281"/>
      <c r="J101" s="294" t="str">
        <f>IF(ISBLANK(HLOOKUP(CaseName,CaseData,MATCH($G101,cases!$G$4:$G$2458,0),FALSE)),"",HLOOKUP(CaseName,CaseData,MATCH($G101,cases!$G$4:$G$2458,0),FALSE))</f>
        <v/>
      </c>
      <c r="K101" s="435">
        <v>0.02</v>
      </c>
      <c r="L101" s="298">
        <f t="shared" si="4"/>
        <v>0.02</v>
      </c>
      <c r="M101" s="17" t="s">
        <v>297</v>
      </c>
      <c r="N101" s="17"/>
    </row>
    <row r="102" spans="1:14" ht="12.75" customHeight="1" x14ac:dyDescent="0.2">
      <c r="A102" s="38"/>
      <c r="B102" s="38" t="s">
        <v>1142</v>
      </c>
      <c r="C102" s="146"/>
      <c r="D102" s="17"/>
      <c r="E102" s="17"/>
      <c r="F102" s="17"/>
      <c r="G102" s="146" t="s">
        <v>2061</v>
      </c>
      <c r="H102" s="38" t="s">
        <v>296</v>
      </c>
      <c r="I102" s="281"/>
      <c r="J102" s="294" t="str">
        <f>IF(ISBLANK(HLOOKUP(CaseName,CaseData,MATCH($G102,cases!$G$4:$G$2458,0),FALSE)),"",HLOOKUP(CaseName,CaseData,MATCH($G102,cases!$G$4:$G$2458,0),FALSE))</f>
        <v/>
      </c>
      <c r="K102" s="435">
        <f>L39*(L73*FRorig.s2w)+L40+L41*L105*RHOsolid/1000</f>
        <v>30.200000000000003</v>
      </c>
      <c r="L102" s="298">
        <f t="shared" si="4"/>
        <v>30.200000000000003</v>
      </c>
      <c r="M102" s="17" t="s">
        <v>297</v>
      </c>
      <c r="N102" s="17"/>
    </row>
    <row r="103" spans="1:14" ht="12.75" customHeight="1" x14ac:dyDescent="0.2">
      <c r="A103" s="38"/>
      <c r="B103" s="38" t="s">
        <v>2062</v>
      </c>
      <c r="C103" s="146"/>
      <c r="D103" s="17"/>
      <c r="E103" s="17"/>
      <c r="F103" s="17"/>
      <c r="G103" s="146" t="s">
        <v>2063</v>
      </c>
      <c r="H103" s="38" t="s">
        <v>296</v>
      </c>
      <c r="I103" s="281"/>
      <c r="J103" s="294" t="str">
        <f>IF(ISBLANK(HLOOKUP(CaseName,CaseData,MATCH($G103,cases!$G$4:$G$2458,0),FALSE)),"",HLOOKUP(CaseName,CaseData,MATCH($G103,cases!$G$4:$G$2458,0),FALSE))</f>
        <v/>
      </c>
      <c r="K103" s="435">
        <f>L40/(L39*(L73*FRorig.s2w)+L40+L41*L105*RHOsolid/1000)</f>
        <v>6.6225165562913907E-3</v>
      </c>
      <c r="L103" s="298">
        <f t="shared" si="4"/>
        <v>6.6225165562913907E-3</v>
      </c>
      <c r="M103" s="17" t="s">
        <v>297</v>
      </c>
      <c r="N103" s="17"/>
    </row>
    <row r="104" spans="1:14" ht="12.75" customHeight="1" x14ac:dyDescent="0.2">
      <c r="A104" s="38"/>
      <c r="B104" s="38" t="s">
        <v>2064</v>
      </c>
      <c r="C104" s="146"/>
      <c r="D104" s="17"/>
      <c r="E104" s="17"/>
      <c r="F104" s="17"/>
      <c r="G104" s="146" t="s">
        <v>2065</v>
      </c>
      <c r="H104" s="38" t="s">
        <v>296</v>
      </c>
      <c r="I104" s="281"/>
      <c r="J104" s="294" t="str">
        <f>IF(ISBLANK(HLOOKUP(CaseName,CaseData,MATCH($G104,cases!$G$4:$G$2458,0),FALSE)),"",HLOOKUP(CaseName,CaseData,MATCH($G104,cases!$G$4:$G$2458,0),FALSE))</f>
        <v/>
      </c>
      <c r="K104" s="435">
        <f>L41 / (L39*L73*FRorig.s2w/(L105*RHOsolid/1000)+L40 /(L100*RHOsolid/1000)+L41 )</f>
        <v>0.99337748344370858</v>
      </c>
      <c r="L104" s="298">
        <f t="shared" si="4"/>
        <v>0.99337748344370858</v>
      </c>
      <c r="M104" s="5" t="s">
        <v>297</v>
      </c>
      <c r="N104" s="17"/>
    </row>
    <row r="105" spans="1:14" ht="12.75" customHeight="1" x14ac:dyDescent="0.2">
      <c r="A105" s="38"/>
      <c r="B105" s="17"/>
      <c r="C105" s="38" t="s">
        <v>1148</v>
      </c>
      <c r="D105" s="17"/>
      <c r="E105" s="17"/>
      <c r="F105" s="17"/>
      <c r="G105" s="146" t="s">
        <v>2066</v>
      </c>
      <c r="H105" s="38" t="s">
        <v>1103</v>
      </c>
      <c r="I105" s="281"/>
      <c r="J105" s="294" t="str">
        <f>IF(ISBLANK(HLOOKUP(CaseName,CaseData,MATCH($G105,cases!$G$4:$G$2458,0),FALSE)),"",HLOOKUP(CaseName,CaseData,MATCH($G105,cases!$G$4:$G$2458,0),FALSE))</f>
        <v/>
      </c>
      <c r="K105" s="435">
        <f>(FRorig.s2*Ksw+(1-FRorig.s2)*Ksw.alt)*(1000/RHOsolid/CORG)*L106</f>
        <v>20</v>
      </c>
      <c r="L105" s="298">
        <f t="shared" si="4"/>
        <v>20</v>
      </c>
      <c r="M105" s="38" t="s">
        <v>1098</v>
      </c>
      <c r="N105" s="17"/>
    </row>
    <row r="106" spans="1:14" ht="12.75" customHeight="1" x14ac:dyDescent="0.2">
      <c r="A106" s="38"/>
      <c r="B106" s="17"/>
      <c r="C106" s="38" t="s">
        <v>1150</v>
      </c>
      <c r="D106" s="17"/>
      <c r="E106" s="17"/>
      <c r="F106" s="17"/>
      <c r="G106" s="146" t="s">
        <v>2067</v>
      </c>
      <c r="H106" s="38" t="s">
        <v>296</v>
      </c>
      <c r="I106" s="281"/>
      <c r="J106" s="294" t="str">
        <f>IF(ISBLANK(HLOOKUP(CaseName,CaseData,MATCH($G106,cases!$G$4:$G$2458,0),FALSE)),"",HLOOKUP(CaseName,CaseData,MATCH($G106,cases!$G$4:$G$2458,0),FALSE))</f>
        <v/>
      </c>
      <c r="K106" s="435">
        <v>0.02</v>
      </c>
      <c r="L106" s="298">
        <f t="shared" si="4"/>
        <v>0.02</v>
      </c>
      <c r="M106" s="17" t="s">
        <v>297</v>
      </c>
      <c r="N106" s="17"/>
    </row>
    <row r="107" spans="1:14" ht="12.75" customHeight="1" x14ac:dyDescent="0.2">
      <c r="A107" s="38"/>
      <c r="B107" s="38" t="s">
        <v>1152</v>
      </c>
      <c r="C107" s="146"/>
      <c r="D107" s="17"/>
      <c r="E107" s="17"/>
      <c r="F107" s="17"/>
      <c r="G107" s="146" t="s">
        <v>2068</v>
      </c>
      <c r="H107" s="38" t="s">
        <v>296</v>
      </c>
      <c r="I107" s="281"/>
      <c r="J107" s="294" t="str">
        <f>IF(ISBLANK(HLOOKUP(CaseName,CaseData,MATCH($G107,cases!$G$4:$G$2458,0),FALSE)),"",HLOOKUP(CaseName,CaseData,MATCH($G107,cases!$G$4:$G$2458,0),FALSE))</f>
        <v/>
      </c>
      <c r="K107" s="435">
        <f>L42*(L73*FRorig.s3w)+L43+L44*L110*RHOsolid/1000</f>
        <v>30.200000000000003</v>
      </c>
      <c r="L107" s="298">
        <f t="shared" si="4"/>
        <v>30.200000000000003</v>
      </c>
      <c r="M107" s="17" t="s">
        <v>297</v>
      </c>
      <c r="N107" s="17"/>
    </row>
    <row r="108" spans="1:14" ht="12.75" customHeight="1" x14ac:dyDescent="0.2">
      <c r="A108" s="38"/>
      <c r="B108" s="38" t="s">
        <v>2069</v>
      </c>
      <c r="C108" s="146"/>
      <c r="D108" s="17"/>
      <c r="E108" s="17"/>
      <c r="F108" s="17"/>
      <c r="G108" s="146" t="s">
        <v>2070</v>
      </c>
      <c r="H108" s="38" t="s">
        <v>296</v>
      </c>
      <c r="I108" s="281"/>
      <c r="J108" s="294" t="str">
        <f>IF(ISBLANK(HLOOKUP(CaseName,CaseData,MATCH($G108,cases!$G$4:$G$2458,0),FALSE)),"",HLOOKUP(CaseName,CaseData,MATCH($G108,cases!$G$4:$G$2458,0),FALSE))</f>
        <v/>
      </c>
      <c r="K108" s="435">
        <f>L43/(L42*(L73*FRorig.s3w)+L43+L44*L110*RHOsolid/1000)</f>
        <v>6.6225165562913907E-3</v>
      </c>
      <c r="L108" s="298">
        <f t="shared" si="4"/>
        <v>6.6225165562913907E-3</v>
      </c>
      <c r="M108" s="17" t="s">
        <v>297</v>
      </c>
      <c r="N108" s="17"/>
    </row>
    <row r="109" spans="1:14" ht="12.75" customHeight="1" x14ac:dyDescent="0.2">
      <c r="A109" s="38"/>
      <c r="B109" s="38" t="s">
        <v>2071</v>
      </c>
      <c r="C109" s="146"/>
      <c r="D109" s="17"/>
      <c r="E109" s="17"/>
      <c r="F109" s="17"/>
      <c r="G109" s="146" t="s">
        <v>2072</v>
      </c>
      <c r="H109" s="38" t="s">
        <v>296</v>
      </c>
      <c r="I109" s="281"/>
      <c r="J109" s="294" t="str">
        <f>IF(ISBLANK(HLOOKUP(CaseName,CaseData,MATCH($G109,cases!$G$4:$G$2458,0),FALSE)),"",HLOOKUP(CaseName,CaseData,MATCH($G109,cases!$G$4:$G$2458,0),FALSE))</f>
        <v/>
      </c>
      <c r="K109" s="435">
        <f>L44 / (L42*L73*FRorig.s2w/(L110*RHOsolid/1000)+L43 /(L100*RHOsolid/1000)+L44 )</f>
        <v>0.99337748344370858</v>
      </c>
      <c r="L109" s="298">
        <f t="shared" si="4"/>
        <v>0.99337748344370858</v>
      </c>
      <c r="M109" s="5" t="s">
        <v>297</v>
      </c>
      <c r="N109" s="17"/>
    </row>
    <row r="110" spans="1:14" ht="12.75" customHeight="1" x14ac:dyDescent="0.2">
      <c r="A110" s="38"/>
      <c r="B110" s="17"/>
      <c r="C110" s="38" t="s">
        <v>1158</v>
      </c>
      <c r="D110" s="17"/>
      <c r="E110" s="17"/>
      <c r="F110" s="17"/>
      <c r="G110" s="146" t="s">
        <v>2073</v>
      </c>
      <c r="H110" s="38" t="s">
        <v>1103</v>
      </c>
      <c r="I110" s="281"/>
      <c r="J110" s="294" t="str">
        <f>IF(ISBLANK(HLOOKUP(CaseName,CaseData,MATCH($G110,cases!$G$4:$G$2458,0),FALSE)),"",HLOOKUP(CaseName,CaseData,MATCH($G110,cases!$G$4:$G$2458,0),FALSE))</f>
        <v/>
      </c>
      <c r="K110" s="435">
        <f>(FRorig.s3*Ksw+(1-FRorig.s3)*Ksw.alt)*(1000/RHOsolid/CORG)*L111</f>
        <v>20</v>
      </c>
      <c r="L110" s="298">
        <f t="shared" si="4"/>
        <v>20</v>
      </c>
      <c r="M110" s="38" t="s">
        <v>1098</v>
      </c>
      <c r="N110" s="17"/>
    </row>
    <row r="111" spans="1:14" ht="12.75" customHeight="1" x14ac:dyDescent="0.2">
      <c r="A111" s="38"/>
      <c r="B111" s="17"/>
      <c r="C111" s="38" t="s">
        <v>1160</v>
      </c>
      <c r="D111" s="17"/>
      <c r="E111" s="17"/>
      <c r="F111" s="17"/>
      <c r="G111" s="146" t="s">
        <v>2074</v>
      </c>
      <c r="H111" s="38" t="s">
        <v>296</v>
      </c>
      <c r="I111" s="281"/>
      <c r="J111" s="294" t="str">
        <f>IF(ISBLANK(HLOOKUP(CaseName,CaseData,MATCH($G111,cases!$G$4:$G$2458,0),FALSE)),"",HLOOKUP(CaseName,CaseData,MATCH($G111,cases!$G$4:$G$2458,0),FALSE))</f>
        <v/>
      </c>
      <c r="K111" s="435">
        <v>0.02</v>
      </c>
      <c r="L111" s="298">
        <f t="shared" si="4"/>
        <v>0.02</v>
      </c>
      <c r="M111" s="17" t="s">
        <v>297</v>
      </c>
      <c r="N111" s="17"/>
    </row>
    <row r="112" spans="1:14" ht="12.75" customHeight="1" x14ac:dyDescent="0.2">
      <c r="A112" s="17"/>
      <c r="B112" s="17"/>
      <c r="C112" s="17"/>
      <c r="D112" s="17"/>
      <c r="E112" s="17"/>
      <c r="F112" s="17"/>
      <c r="G112" s="17"/>
      <c r="H112" s="17"/>
      <c r="I112" s="17"/>
      <c r="J112" s="294"/>
      <c r="K112" s="296"/>
      <c r="L112" s="296"/>
      <c r="M112" s="17"/>
      <c r="N112" s="17"/>
    </row>
    <row r="113" spans="1:14" customFormat="1" ht="12.75" customHeight="1" x14ac:dyDescent="0.2">
      <c r="A113" s="148" t="s">
        <v>1162</v>
      </c>
      <c r="B113" s="147"/>
      <c r="C113" s="147"/>
      <c r="D113" s="147"/>
      <c r="E113" s="147"/>
      <c r="F113" s="147"/>
      <c r="G113" s="148" t="s">
        <v>263</v>
      </c>
      <c r="H113" s="148" t="s">
        <v>279</v>
      </c>
      <c r="I113" s="147" t="s">
        <v>264</v>
      </c>
      <c r="J113" s="150" t="s">
        <v>280</v>
      </c>
      <c r="K113" s="331" t="s">
        <v>265</v>
      </c>
      <c r="L113" s="331" t="s">
        <v>266</v>
      </c>
      <c r="M113" s="147"/>
      <c r="N113" s="148" t="s">
        <v>267</v>
      </c>
    </row>
    <row r="114" spans="1:14" ht="12.75" customHeight="1" x14ac:dyDescent="0.2">
      <c r="A114" s="17"/>
      <c r="B114" s="17"/>
      <c r="C114" s="17"/>
      <c r="D114" s="17"/>
      <c r="E114" s="17"/>
      <c r="F114" s="17"/>
      <c r="G114" s="17"/>
      <c r="H114" s="17"/>
      <c r="I114" s="17"/>
      <c r="J114" s="294"/>
      <c r="K114" s="296"/>
      <c r="L114" s="296"/>
      <c r="M114" s="17"/>
      <c r="N114" s="17"/>
    </row>
    <row r="115" spans="1:14" ht="12.75" customHeight="1" x14ac:dyDescent="0.2">
      <c r="A115" s="38" t="s">
        <v>2075</v>
      </c>
      <c r="B115" s="17"/>
      <c r="C115" s="17"/>
      <c r="D115" s="17"/>
      <c r="E115" s="17"/>
      <c r="F115" s="17"/>
      <c r="G115" s="38" t="s">
        <v>2076</v>
      </c>
      <c r="H115" s="38" t="s">
        <v>624</v>
      </c>
      <c r="I115" s="276"/>
      <c r="J115" s="294" t="str">
        <f>IF(ISBLANK(HLOOKUP(CaseName,CaseData,MATCH($G115,cases!$G$4:$G$2458,0),FALSE)),"",HLOOKUP(CaseName,CaseData,MATCH($G115,cases!$G$4:$G$2458,0),FALSE))</f>
        <v/>
      </c>
      <c r="K115" s="428">
        <f>(L127+L138/L23)*L17</f>
        <v>9.4383161237186709E-9</v>
      </c>
      <c r="L115" s="298">
        <f t="shared" ref="L115:L130" si="5">IF(ISBLANK(I115),IF(ISNUMBER(J115)=FALSE,K115,J115),I115)</f>
        <v>9.4383161237186709E-9</v>
      </c>
      <c r="M115" s="17" t="s">
        <v>1048</v>
      </c>
      <c r="N115" s="17"/>
    </row>
    <row r="116" spans="1:14" ht="12.75" customHeight="1" x14ac:dyDescent="0.2">
      <c r="A116" s="38" t="s">
        <v>2077</v>
      </c>
      <c r="B116" s="17"/>
      <c r="C116" s="17"/>
      <c r="D116" s="17"/>
      <c r="E116" s="17"/>
      <c r="F116" s="17"/>
      <c r="G116" s="38" t="s">
        <v>2078</v>
      </c>
      <c r="H116" s="38" t="s">
        <v>624</v>
      </c>
      <c r="I116" s="276"/>
      <c r="J116" s="294" t="str">
        <f>IF(ISBLANK(HLOOKUP(CaseName,CaseData,MATCH($G116,cases!$G$4:$G$2458,0),FALSE)),"",HLOOKUP(CaseName,CaseData,MATCH($G116,cases!$G$4:$G$2458,0),FALSE))</f>
        <v/>
      </c>
      <c r="K116" s="428">
        <f>(L127+L138/L23)*L18</f>
        <v>1.0382147736090536E-7</v>
      </c>
      <c r="L116" s="298">
        <f t="shared" si="5"/>
        <v>1.0382147736090536E-7</v>
      </c>
      <c r="M116" s="17" t="s">
        <v>1048</v>
      </c>
      <c r="N116" s="17"/>
    </row>
    <row r="117" spans="1:14" ht="12.75" customHeight="1" x14ac:dyDescent="0.2">
      <c r="A117" s="38" t="s">
        <v>2079</v>
      </c>
      <c r="B117" s="17"/>
      <c r="C117" s="17"/>
      <c r="D117" s="17"/>
      <c r="E117" s="17"/>
      <c r="F117" s="17"/>
      <c r="G117" s="38" t="s">
        <v>2080</v>
      </c>
      <c r="H117" s="38" t="s">
        <v>624</v>
      </c>
      <c r="I117" s="276"/>
      <c r="J117" s="294" t="str">
        <f>IF(ISBLANK(HLOOKUP(CaseName,CaseData,MATCH($G117,cases!$G$4:$G$2458,0),FALSE)),"",HLOOKUP(CaseName,CaseData,MATCH($G117,cases!$G$4:$G$2458,0),FALSE))</f>
        <v/>
      </c>
      <c r="K117" s="428">
        <f>(L127+L138/L23)*L22</f>
        <v>4.0217953178548807E-6</v>
      </c>
      <c r="L117" s="298">
        <f t="shared" si="5"/>
        <v>4.0217953178548807E-6</v>
      </c>
      <c r="M117" s="17" t="s">
        <v>1048</v>
      </c>
      <c r="N117" s="17"/>
    </row>
    <row r="118" spans="1:14" ht="12.75" customHeight="1" x14ac:dyDescent="0.2">
      <c r="A118" s="38" t="s">
        <v>2081</v>
      </c>
      <c r="B118" s="17"/>
      <c r="C118" s="17"/>
      <c r="D118" s="17"/>
      <c r="E118" s="17"/>
      <c r="F118" s="17"/>
      <c r="G118" s="38" t="s">
        <v>2082</v>
      </c>
      <c r="H118" s="38" t="s">
        <v>624</v>
      </c>
      <c r="I118" s="276"/>
      <c r="J118" s="294" t="str">
        <f>IF(ISBLANK(HLOOKUP(CaseName,CaseData,MATCH($G118,cases!$G$4:$G$2458,0),FALSE)),"",HLOOKUP(CaseName,CaseData,MATCH($G118,cases!$G$4:$G$2458,0),FALSE))</f>
        <v/>
      </c>
      <c r="K118" s="428">
        <f>(L127+L139/L23)*L19</f>
        <v>1.0193381413613145E-6</v>
      </c>
      <c r="L118" s="298">
        <f t="shared" si="5"/>
        <v>1.0193381413613145E-6</v>
      </c>
      <c r="M118" s="17" t="s">
        <v>1048</v>
      </c>
      <c r="N118" s="17"/>
    </row>
    <row r="119" spans="1:14" ht="12.75" customHeight="1" x14ac:dyDescent="0.2">
      <c r="A119" s="38" t="s">
        <v>2083</v>
      </c>
      <c r="B119" s="17"/>
      <c r="C119" s="17"/>
      <c r="D119" s="17"/>
      <c r="E119" s="17"/>
      <c r="F119" s="17"/>
      <c r="G119" s="38" t="s">
        <v>2084</v>
      </c>
      <c r="H119" s="38" t="s">
        <v>624</v>
      </c>
      <c r="I119" s="276"/>
      <c r="J119" s="294" t="str">
        <f>IF(ISBLANK(HLOOKUP(CaseName,CaseData,MATCH($G119,cases!$G$4:$G$2458,0),FALSE)),"",HLOOKUP(CaseName,CaseData,MATCH($G119,cases!$G$4:$G$2458,0),FALSE))</f>
        <v/>
      </c>
      <c r="K119" s="428">
        <f>(L127+L139/L23)*L20</f>
        <v>2.2651958696918096E-6</v>
      </c>
      <c r="L119" s="298">
        <f t="shared" si="5"/>
        <v>2.2651958696918096E-6</v>
      </c>
      <c r="M119" s="17" t="s">
        <v>1048</v>
      </c>
      <c r="N119" s="17"/>
    </row>
    <row r="120" spans="1:14" ht="12.75" customHeight="1" x14ac:dyDescent="0.2">
      <c r="A120" s="38" t="s">
        <v>2085</v>
      </c>
      <c r="B120" s="17"/>
      <c r="C120" s="17"/>
      <c r="D120" s="17"/>
      <c r="E120" s="17"/>
      <c r="F120" s="17"/>
      <c r="G120" s="38" t="s">
        <v>2086</v>
      </c>
      <c r="H120" s="38" t="s">
        <v>624</v>
      </c>
      <c r="I120" s="276"/>
      <c r="J120" s="294" t="str">
        <f>IF(ISBLANK(HLOOKUP(CaseName,CaseData,MATCH($G120,cases!$G$4:$G$2458,0),FALSE)),"",HLOOKUP(CaseName,CaseData,MATCH($G120,cases!$G$4:$G$2458,0),FALSE))</f>
        <v/>
      </c>
      <c r="K120" s="428">
        <f>(L127+L139/L23)*L21</f>
        <v>3.775326449486349E-7</v>
      </c>
      <c r="L120" s="298">
        <f t="shared" si="5"/>
        <v>3.775326449486349E-7</v>
      </c>
      <c r="M120" s="17" t="s">
        <v>1048</v>
      </c>
      <c r="N120" s="17"/>
    </row>
    <row r="121" spans="1:14" ht="12.75" customHeight="1" x14ac:dyDescent="0.2">
      <c r="A121" s="38" t="s">
        <v>2087</v>
      </c>
      <c r="B121" s="17"/>
      <c r="C121" s="17"/>
      <c r="D121" s="17"/>
      <c r="E121" s="17"/>
      <c r="F121" s="17"/>
      <c r="G121" s="38" t="s">
        <v>2088</v>
      </c>
      <c r="H121" s="38" t="s">
        <v>624</v>
      </c>
      <c r="I121" s="276"/>
      <c r="J121" s="294" t="str">
        <f>IF(ISBLANK(HLOOKUP(CaseName,CaseData,MATCH($G121,cases!$G$4:$G$2458,0),FALSE)),"",HLOOKUP(CaseName,CaseData,MATCH($G121,cases!$G$4:$G$2458,0),FALSE))</f>
        <v/>
      </c>
      <c r="K121" s="428">
        <f>L140/L24</f>
        <v>7.3594070844008963E-28</v>
      </c>
      <c r="L121" s="298">
        <f t="shared" si="5"/>
        <v>7.3594070844008963E-28</v>
      </c>
      <c r="M121" s="17" t="s">
        <v>1048</v>
      </c>
      <c r="N121" s="17"/>
    </row>
    <row r="122" spans="1:14" ht="12.75" customHeight="1" x14ac:dyDescent="0.2">
      <c r="A122" s="38" t="s">
        <v>2087</v>
      </c>
      <c r="B122" s="17"/>
      <c r="C122" s="17"/>
      <c r="D122" s="17"/>
      <c r="E122" s="17"/>
      <c r="F122" s="17"/>
      <c r="G122" s="38" t="s">
        <v>2089</v>
      </c>
      <c r="H122" s="38" t="s">
        <v>624</v>
      </c>
      <c r="I122" s="276"/>
      <c r="J122" s="294" t="str">
        <f>IF(ISBLANK(HLOOKUP(CaseName,CaseData,MATCH($G122,cases!$G$4:$G$2458,0),FALSE)),"",HLOOKUP(CaseName,CaseData,MATCH($G122,cases!$G$4:$G$2458,0),FALSE))</f>
        <v/>
      </c>
      <c r="K122" s="428">
        <f>L141/L25</f>
        <v>2.4495847556581632E-26</v>
      </c>
      <c r="L122" s="298">
        <f t="shared" si="5"/>
        <v>2.4495847556581632E-26</v>
      </c>
      <c r="M122" s="17" t="s">
        <v>1048</v>
      </c>
      <c r="N122" s="17"/>
    </row>
    <row r="123" spans="1:14" ht="12.75" customHeight="1" x14ac:dyDescent="0.2">
      <c r="A123" s="38" t="s">
        <v>2090</v>
      </c>
      <c r="B123" s="17"/>
      <c r="C123" s="17"/>
      <c r="D123" s="17"/>
      <c r="E123" s="17"/>
      <c r="F123" s="17"/>
      <c r="G123" s="38" t="s">
        <v>2091</v>
      </c>
      <c r="H123" s="38" t="s">
        <v>624</v>
      </c>
      <c r="I123" s="276"/>
      <c r="J123" s="294" t="str">
        <f>IF(ISBLANK(HLOOKUP(CaseName,CaseData,MATCH($G123,cases!$G$4:$G$2458,0),FALSE)),"",HLOOKUP(CaseName,CaseData,MATCH($G123,cases!$G$4:$G$2458,0),FALSE))</f>
        <v/>
      </c>
      <c r="K123" s="428">
        <f>L142/L26</f>
        <v>3.6780488669726225E-28</v>
      </c>
      <c r="L123" s="298">
        <f t="shared" si="5"/>
        <v>3.6780488669726225E-28</v>
      </c>
      <c r="M123" s="17" t="s">
        <v>1048</v>
      </c>
      <c r="N123" s="17"/>
    </row>
    <row r="124" spans="1:14" ht="12.75" customHeight="1" x14ac:dyDescent="0.2">
      <c r="A124" s="38" t="s">
        <v>2092</v>
      </c>
      <c r="B124" s="17"/>
      <c r="C124" s="17"/>
      <c r="D124" s="17"/>
      <c r="E124" s="17"/>
      <c r="F124" s="17"/>
      <c r="G124" s="38" t="s">
        <v>2093</v>
      </c>
      <c r="H124" s="38" t="s">
        <v>624</v>
      </c>
      <c r="I124" s="276"/>
      <c r="J124" s="294" t="str">
        <f>IF(ISBLANK(HLOOKUP(CaseName,CaseData,MATCH($G124,cases!$G$4:$G$2458,0),FALSE)),"",HLOOKUP(CaseName,CaseData,MATCH($G124,cases!$G$4:$G$2458,0),FALSE))</f>
        <v/>
      </c>
      <c r="K124" s="428">
        <f>L145/L30</f>
        <v>9.9730623667322376E-27</v>
      </c>
      <c r="L124" s="298">
        <f t="shared" si="5"/>
        <v>9.9730623667322376E-27</v>
      </c>
      <c r="M124" s="17" t="s">
        <v>1048</v>
      </c>
      <c r="N124" s="17"/>
    </row>
    <row r="125" spans="1:14" ht="12.75" customHeight="1" x14ac:dyDescent="0.2">
      <c r="A125" s="38" t="s">
        <v>2094</v>
      </c>
      <c r="B125" s="17"/>
      <c r="C125" s="17"/>
      <c r="D125" s="17"/>
      <c r="E125" s="17"/>
      <c r="F125" s="17"/>
      <c r="G125" s="38" t="s">
        <v>2095</v>
      </c>
      <c r="H125" s="38" t="s">
        <v>624</v>
      </c>
      <c r="I125" s="276"/>
      <c r="J125" s="294" t="str">
        <f>IF(ISBLANK(HLOOKUP(CaseName,CaseData,MATCH($G125,cases!$G$4:$G$2458,0),FALSE)),"",HLOOKUP(CaseName,CaseData,MATCH($G125,cases!$G$4:$G$2458,0),FALSE))</f>
        <v/>
      </c>
      <c r="K125" s="428">
        <f>L146/L31</f>
        <v>4.5382842551637416E-27</v>
      </c>
      <c r="L125" s="298">
        <f t="shared" si="5"/>
        <v>4.5382842551637416E-27</v>
      </c>
      <c r="M125" s="17" t="s">
        <v>1048</v>
      </c>
      <c r="N125" s="17"/>
    </row>
    <row r="126" spans="1:14" ht="12.75" customHeight="1" x14ac:dyDescent="0.2">
      <c r="A126" s="38" t="s">
        <v>2096</v>
      </c>
      <c r="B126" s="17"/>
      <c r="C126" s="17"/>
      <c r="D126" s="17"/>
      <c r="E126" s="17"/>
      <c r="F126" s="17"/>
      <c r="G126" s="38" t="s">
        <v>2097</v>
      </c>
      <c r="H126" s="38" t="s">
        <v>624</v>
      </c>
      <c r="I126" s="276"/>
      <c r="J126" s="294" t="str">
        <f>IF(ISBLANK(HLOOKUP(CaseName,CaseData,MATCH($G126,cases!$G$4:$G$2458,0),FALSE)),"",HLOOKUP(CaseName,CaseData,MATCH($G126,cases!$G$4:$G$2458,0),FALSE))</f>
        <v/>
      </c>
      <c r="K126" s="428">
        <f>L147/L32</f>
        <v>9.9730623667322376E-27</v>
      </c>
      <c r="L126" s="298">
        <f t="shared" si="5"/>
        <v>9.9730623667322376E-27</v>
      </c>
      <c r="M126" s="17" t="s">
        <v>1048</v>
      </c>
      <c r="N126" s="17"/>
    </row>
    <row r="127" spans="1:14" ht="12.75" customHeight="1" x14ac:dyDescent="0.2">
      <c r="A127" s="38"/>
      <c r="B127" s="17" t="s">
        <v>2098</v>
      </c>
      <c r="C127" s="17"/>
      <c r="D127" s="17"/>
      <c r="E127" s="17"/>
      <c r="F127" s="17"/>
      <c r="G127" s="38" t="s">
        <v>2099</v>
      </c>
      <c r="H127" s="38" t="s">
        <v>340</v>
      </c>
      <c r="I127" s="276"/>
      <c r="J127" s="294" t="str">
        <f>IF(ISBLANK(HLOOKUP(CaseName,CaseData,MATCH($G127,cases!$G$4:$G$2458,0),FALSE)),"",HLOOKUP(CaseName,CaseData,MATCH($G127,cases!$G$4:$G$2458,0),FALSE))</f>
        <v/>
      </c>
      <c r="K127" s="428">
        <f>L128-SUM((L138*(L17+L18+L22)+L139*(L19+L20+L21))/L23,L208,L48,L49)</f>
        <v>7.7971217673395943E-6</v>
      </c>
      <c r="L127" s="298">
        <f t="shared" si="5"/>
        <v>7.7971217673395943E-6</v>
      </c>
      <c r="M127" s="17" t="s">
        <v>1048</v>
      </c>
      <c r="N127" s="17"/>
    </row>
    <row r="128" spans="1:14" ht="12.75" customHeight="1" x14ac:dyDescent="0.2">
      <c r="A128" s="38"/>
      <c r="B128" s="17"/>
      <c r="C128" s="17" t="s">
        <v>2100</v>
      </c>
      <c r="D128" s="17"/>
      <c r="E128" s="17"/>
      <c r="F128" s="17"/>
      <c r="G128" s="38" t="s">
        <v>2101</v>
      </c>
      <c r="H128" s="38" t="s">
        <v>340</v>
      </c>
      <c r="I128" s="276"/>
      <c r="J128" s="294" t="str">
        <f>IF(ISBLANK(HLOOKUP(CaseName,CaseData,MATCH($G128,cases!$G$4:$G$2458,0),FALSE)),"",HLOOKUP(CaseName,CaseData,MATCH($G128,cases!$G$4:$G$2458,0),FALSE))</f>
        <v/>
      </c>
      <c r="K128" s="428">
        <f>((1/L129)*L131/(L131+L132)+(1/L130)*L132/(L131+L132)-((1/L130-1/L129)^2/(L131+L132))*(1-EXP(-L129*L131))*(1-EXP(-L130*L132))/(1-EXP(-L129*L131-L130*L132)))^-1</f>
        <v>9.4792977309678589E-6</v>
      </c>
      <c r="L128" s="298">
        <f t="shared" si="5"/>
        <v>9.4792977309678589E-6</v>
      </c>
      <c r="M128" s="17" t="s">
        <v>1048</v>
      </c>
      <c r="N128" s="17"/>
    </row>
    <row r="129" spans="1:14" ht="12.75" customHeight="1" x14ac:dyDescent="0.2">
      <c r="A129" s="38"/>
      <c r="B129" s="17"/>
      <c r="C129" s="17"/>
      <c r="D129" s="17" t="s">
        <v>2102</v>
      </c>
      <c r="E129" s="17"/>
      <c r="F129" s="17"/>
      <c r="G129" s="38" t="s">
        <v>2103</v>
      </c>
      <c r="H129" s="38" t="s">
        <v>340</v>
      </c>
      <c r="I129" s="276"/>
      <c r="J129" s="294" t="str">
        <f>IF(ISBLANK(HLOOKUP(CaseName,CaseData,MATCH($G129,cases!$G$4:$G$2458,0),FALSE)),"",HLOOKUP(CaseName,CaseData,MATCH($G129,cases!$G$4:$G$2458,0),FALSE))</f>
        <v/>
      </c>
      <c r="K129" s="428">
        <f>L133/L23 + SUM((L138*(L17+L18+L22)+L139*(L19+L20+L21))/L23,L208,L48,L49)</f>
        <v>2.6821759636278408E-6</v>
      </c>
      <c r="L129" s="298">
        <f t="shared" si="5"/>
        <v>2.6821759636278408E-6</v>
      </c>
      <c r="M129" s="17" t="s">
        <v>1048</v>
      </c>
      <c r="N129" s="17"/>
    </row>
    <row r="130" spans="1:14" ht="12.75" customHeight="1" x14ac:dyDescent="0.2">
      <c r="A130" s="38"/>
      <c r="B130" s="17"/>
      <c r="C130" s="17"/>
      <c r="D130" s="17" t="s">
        <v>2104</v>
      </c>
      <c r="E130" s="17"/>
      <c r="F130" s="17"/>
      <c r="G130" s="38" t="s">
        <v>2105</v>
      </c>
      <c r="H130" s="38" t="s">
        <v>340</v>
      </c>
      <c r="I130" s="276"/>
      <c r="J130" s="294" t="str">
        <f>IF(ISBLANK(HLOOKUP(CaseName,CaseData,MATCH($G130,cases!$G$4:$G$2458,0),FALSE)),"",HLOOKUP(CaseName,CaseData,MATCH($G130,cases!$G$4:$G$2458,0),FALSE))</f>
        <v/>
      </c>
      <c r="K130" s="428">
        <f>(L134+L135)/L23 + SUM((L138*(L17+L18+L22)+L139*(L19+L20+L21))/L23,L208,L48,L49)</f>
        <v>13.844434154434751</v>
      </c>
      <c r="L130" s="298">
        <f t="shared" si="5"/>
        <v>13.844434154434751</v>
      </c>
      <c r="M130" s="17" t="s">
        <v>1048</v>
      </c>
      <c r="N130" s="17"/>
    </row>
    <row r="131" spans="1:14" ht="12.75" customHeight="1" x14ac:dyDescent="0.2">
      <c r="A131" s="38"/>
      <c r="B131" s="17" t="s">
        <v>1195</v>
      </c>
      <c r="C131" s="17"/>
      <c r="D131" s="17"/>
      <c r="E131" s="17"/>
      <c r="F131" s="17"/>
      <c r="G131" s="38" t="s">
        <v>2106</v>
      </c>
      <c r="H131" s="38" t="s">
        <v>1197</v>
      </c>
      <c r="I131" s="276"/>
      <c r="J131" s="294" t="str">
        <f>IF(ISBLANK(HLOOKUP(CaseName,CaseData,MATCH($G131,cases!$G$4:$G$2458,0),FALSE)),"",HLOOKUP(CaseName,CaseData,MATCH($G131,cases!$G$4:$G$2458,0),FALSE))</f>
        <v/>
      </c>
      <c r="K131" s="428">
        <f>3.3*24</f>
        <v>79.199999999999989</v>
      </c>
      <c r="L131" s="298">
        <f>IF(ISBLANK(I131),IF(ISNUMBER(J131)=FALSE,K131*3600,J131*3600),I131*3600)</f>
        <v>285119.99999999994</v>
      </c>
      <c r="M131" s="17" t="s">
        <v>1052</v>
      </c>
      <c r="N131" s="17"/>
    </row>
    <row r="132" spans="1:14" ht="12.75" customHeight="1" x14ac:dyDescent="0.2">
      <c r="A132" s="38"/>
      <c r="B132" s="17" t="s">
        <v>1198</v>
      </c>
      <c r="C132" s="17"/>
      <c r="D132" s="17"/>
      <c r="E132" s="17"/>
      <c r="F132" s="17"/>
      <c r="G132" s="38" t="s">
        <v>2107</v>
      </c>
      <c r="H132" s="38" t="s">
        <v>1197</v>
      </c>
      <c r="I132" s="276"/>
      <c r="J132" s="294" t="str">
        <f>IF(ISBLANK(HLOOKUP(CaseName,CaseData,MATCH($G132,cases!$G$4:$G$2458,0),FALSE)),"",HLOOKUP(CaseName,CaseData,MATCH($G132,cases!$G$4:$G$2458,0),FALSE))</f>
        <v/>
      </c>
      <c r="K132" s="428">
        <f>3.3*24*(0.06/(1-0.06))</f>
        <v>5.0553191489361691</v>
      </c>
      <c r="L132" s="298">
        <f>IF(ISBLANK(I132),IF(ISNUMBER(J132)=FALSE,K132*3600,J132*3600),I132*3600)</f>
        <v>18199.148936170208</v>
      </c>
      <c r="M132" s="17" t="s">
        <v>1052</v>
      </c>
      <c r="N132" s="17"/>
    </row>
    <row r="133" spans="1:14" ht="12.75" customHeight="1" x14ac:dyDescent="0.2">
      <c r="A133" s="38"/>
      <c r="B133" s="17" t="s">
        <v>1200</v>
      </c>
      <c r="C133" s="17"/>
      <c r="D133" s="17"/>
      <c r="E133" s="17"/>
      <c r="F133" s="17"/>
      <c r="G133" s="38" t="s">
        <v>2108</v>
      </c>
      <c r="H133" s="38" t="s">
        <v>873</v>
      </c>
      <c r="I133" s="276"/>
      <c r="J133" s="294" t="str">
        <f>IF(ISBLANK(HLOOKUP(CaseName,CaseData,MATCH($G133,cases!$G$4:$G$2458,0),FALSE)),"",HLOOKUP(CaseName,CaseData,MATCH($G133,cases!$G$4:$G$2458,0),FALSE))</f>
        <v/>
      </c>
      <c r="K133" s="428">
        <f>L136*(L71+L72)</f>
        <v>9.9999999999957675E-4</v>
      </c>
      <c r="L133" s="298">
        <f t="shared" ref="L133:L152" si="6">IF(ISBLANK(I133),IF(ISNUMBER(J133)=FALSE,K133,J133),I133)</f>
        <v>9.9999999999957675E-4</v>
      </c>
      <c r="M133" s="17" t="s">
        <v>697</v>
      </c>
      <c r="N133" s="17"/>
    </row>
    <row r="134" spans="1:14" ht="12.75" customHeight="1" x14ac:dyDescent="0.2">
      <c r="A134" s="38"/>
      <c r="B134" s="17" t="s">
        <v>1203</v>
      </c>
      <c r="C134" s="17"/>
      <c r="D134" s="17"/>
      <c r="E134" s="17"/>
      <c r="F134" s="17"/>
      <c r="G134" s="38" t="s">
        <v>2109</v>
      </c>
      <c r="H134" s="38" t="s">
        <v>873</v>
      </c>
      <c r="I134" s="276"/>
      <c r="J134" s="294" t="str">
        <f>IF(ISBLANK(HLOOKUP(CaseName,CaseData,MATCH($G134,cases!$G$4:$G$2458,0),FALSE)),"",HLOOKUP(CaseName,CaseData,MATCH($G134,cases!$G$4:$G$2458,0),FALSE))</f>
        <v/>
      </c>
      <c r="K134" s="428">
        <f>L72*(L131+L132)/L132*RAINrate.C*L137</f>
        <v>1.8605026301177423E-2</v>
      </c>
      <c r="L134" s="298">
        <f t="shared" si="6"/>
        <v>1.8605026301177423E-2</v>
      </c>
      <c r="M134" s="17" t="s">
        <v>697</v>
      </c>
      <c r="N134" s="17"/>
    </row>
    <row r="135" spans="1:14" ht="12.75" customHeight="1" x14ac:dyDescent="0.2">
      <c r="A135" s="38"/>
      <c r="B135" s="17" t="s">
        <v>2110</v>
      </c>
      <c r="C135" s="17"/>
      <c r="D135" s="17"/>
      <c r="E135" s="17"/>
      <c r="F135" s="17"/>
      <c r="G135" s="38" t="s">
        <v>2111</v>
      </c>
      <c r="H135" s="38" t="s">
        <v>873</v>
      </c>
      <c r="I135" s="276"/>
      <c r="J135" s="294" t="str">
        <f>IF(ISBLANK(HLOOKUP(CaseName,CaseData,MATCH($G135,cases!$G$4:$G$2458,0),FALSE)),"",HLOOKUP(CaseName,CaseData,MATCH($G135,cases!$G$4:$G$2458,0),FALSE))</f>
        <v/>
      </c>
      <c r="K135" s="428">
        <f>L70*(L131+L132)/L132*RAINrate.C/(L73*FRorig.aerw)</f>
        <v>13844.413867232486</v>
      </c>
      <c r="L135" s="298">
        <f t="shared" si="6"/>
        <v>13844.413867232486</v>
      </c>
      <c r="M135" s="17" t="s">
        <v>697</v>
      </c>
      <c r="N135" s="17"/>
    </row>
    <row r="136" spans="1:14" ht="12.75" customHeight="1" x14ac:dyDescent="0.2">
      <c r="A136" s="38"/>
      <c r="B136" s="17"/>
      <c r="C136" s="17" t="s">
        <v>1207</v>
      </c>
      <c r="D136" s="17"/>
      <c r="E136" s="17"/>
      <c r="F136" s="17"/>
      <c r="G136" s="38" t="s">
        <v>2112</v>
      </c>
      <c r="H136" s="38" t="s">
        <v>873</v>
      </c>
      <c r="I136" s="276"/>
      <c r="J136" s="294" t="str">
        <f>IF(ISBLANK(HLOOKUP(CaseName,CaseData,MATCH($G136,cases!$G$4:$G$2458,0),FALSE)),"",HLOOKUP(CaseName,CaseData,MATCH($G136,cases!$G$4:$G$2458,0),FALSE))</f>
        <v/>
      </c>
      <c r="K136" s="428">
        <v>1E-3</v>
      </c>
      <c r="L136" s="298">
        <f t="shared" si="6"/>
        <v>1E-3</v>
      </c>
      <c r="M136" s="17" t="s">
        <v>697</v>
      </c>
      <c r="N136" s="17"/>
    </row>
    <row r="137" spans="1:14" ht="12.75" customHeight="1" x14ac:dyDescent="0.2">
      <c r="A137" s="38"/>
      <c r="B137" s="17"/>
      <c r="C137" s="17" t="s">
        <v>1209</v>
      </c>
      <c r="D137" s="17"/>
      <c r="E137" s="17"/>
      <c r="F137" s="17"/>
      <c r="G137" s="38" t="s">
        <v>2113</v>
      </c>
      <c r="H137" s="38" t="s">
        <v>296</v>
      </c>
      <c r="I137" s="276"/>
      <c r="J137" s="294" t="str">
        <f>IF(ISBLANK(HLOOKUP(CaseName,CaseData,MATCH($G137,cases!$G$4:$G$2458,0),FALSE)),"",HLOOKUP(CaseName,CaseData,MATCH($G137,cases!$G$4:$G$2458,0),FALSE))</f>
        <v/>
      </c>
      <c r="K137" s="428">
        <v>200000</v>
      </c>
      <c r="L137" s="298">
        <f t="shared" si="6"/>
        <v>200000</v>
      </c>
      <c r="M137" s="38" t="s">
        <v>297</v>
      </c>
      <c r="N137" s="17"/>
    </row>
    <row r="138" spans="1:14" ht="12.75" customHeight="1" x14ac:dyDescent="0.2">
      <c r="A138" s="38"/>
      <c r="B138" s="17" t="s">
        <v>1211</v>
      </c>
      <c r="C138" s="17"/>
      <c r="D138" s="17"/>
      <c r="E138" s="17"/>
      <c r="F138" s="17"/>
      <c r="G138" s="38" t="s">
        <v>2114</v>
      </c>
      <c r="H138" s="38" t="s">
        <v>873</v>
      </c>
      <c r="I138" s="276"/>
      <c r="J138" s="294" t="str">
        <f>IF(ISBLANK(HLOOKUP(CaseName,CaseData,MATCH($G138,cases!$G$4:$G$2458,0),FALSE)),"",HLOOKUP(CaseName,CaseData,MATCH($G138,cases!$G$4:$G$2458,0),FALSE))</f>
        <v/>
      </c>
      <c r="K138" s="428">
        <f>L70*(L143*L144/(FRorig.w1*L143*L73+L144))</f>
        <v>2.7548278268381724E-15</v>
      </c>
      <c r="L138" s="298">
        <f t="shared" si="6"/>
        <v>2.7548278268381724E-15</v>
      </c>
      <c r="M138" s="38" t="s">
        <v>2115</v>
      </c>
      <c r="N138" s="17"/>
    </row>
    <row r="139" spans="1:14" ht="12.75" customHeight="1" x14ac:dyDescent="0.2">
      <c r="A139" s="38"/>
      <c r="B139" s="17" t="s">
        <v>1213</v>
      </c>
      <c r="C139" s="17"/>
      <c r="D139" s="17"/>
      <c r="E139" s="17"/>
      <c r="F139" s="17"/>
      <c r="G139" s="38" t="s">
        <v>2116</v>
      </c>
      <c r="H139" s="38" t="s">
        <v>873</v>
      </c>
      <c r="I139" s="276"/>
      <c r="J139" s="294" t="str">
        <f>IF(ISBLANK(HLOOKUP(CaseName,CaseData,MATCH($G139,cases!$G$4:$G$2458,0),FALSE)),"",HLOOKUP(CaseName,CaseData,MATCH($G139,cases!$G$4:$G$2458,0),FALSE))</f>
        <v/>
      </c>
      <c r="K139" s="428">
        <f>L70*(L148*L149)/(L148*((L73*FRorig.s1w)/L97)+L149)</f>
        <v>4.4348686949202964E-16</v>
      </c>
      <c r="L139" s="298">
        <f t="shared" si="6"/>
        <v>4.4348686949202964E-16</v>
      </c>
      <c r="M139" s="38" t="s">
        <v>2115</v>
      </c>
      <c r="N139" s="17"/>
    </row>
    <row r="140" spans="1:14" ht="12.75" customHeight="1" x14ac:dyDescent="0.2">
      <c r="A140" s="38"/>
      <c r="B140" s="17" t="s">
        <v>1215</v>
      </c>
      <c r="C140" s="17"/>
      <c r="D140" s="17"/>
      <c r="E140" s="17"/>
      <c r="F140" s="17"/>
      <c r="G140" s="38" t="s">
        <v>2117</v>
      </c>
      <c r="H140" s="38" t="s">
        <v>873</v>
      </c>
      <c r="I140" s="276"/>
      <c r="J140" s="294" t="str">
        <f>IF(ISBLANK(HLOOKUP(CaseName,CaseData,MATCH($G140,cases!$G$4:$G$2458,0),FALSE)),"",HLOOKUP(CaseName,CaseData,MATCH($G140,cases!$G$4:$G$2458,0),FALSE))</f>
        <v/>
      </c>
      <c r="K140" s="428">
        <f>(L143*L144/(FRorig.w1*L143*L73+L144))*L73*(L76*FRorig.w1)</f>
        <v>7.3594070844008964E-26</v>
      </c>
      <c r="L140" s="298">
        <f t="shared" si="6"/>
        <v>7.3594070844008964E-26</v>
      </c>
      <c r="M140" s="38" t="s">
        <v>2115</v>
      </c>
      <c r="N140" s="17"/>
    </row>
    <row r="141" spans="1:14" ht="12.75" customHeight="1" x14ac:dyDescent="0.2">
      <c r="A141" s="38"/>
      <c r="B141" s="17" t="s">
        <v>1218</v>
      </c>
      <c r="C141" s="17"/>
      <c r="D141" s="17"/>
      <c r="E141" s="17"/>
      <c r="F141" s="17"/>
      <c r="G141" s="38" t="s">
        <v>2118</v>
      </c>
      <c r="H141" s="38" t="s">
        <v>873</v>
      </c>
      <c r="I141" s="276"/>
      <c r="J141" s="294" t="str">
        <f>IF(ISBLANK(HLOOKUP(CaseName,CaseData,MATCH($G141,cases!$G$4:$G$2458,0),FALSE)),"",HLOOKUP(CaseName,CaseData,MATCH($G141,cases!$G$4:$G$2458,0),FALSE))</f>
        <v/>
      </c>
      <c r="K141" s="428">
        <f>(L143*L144/(FRorig.w1*L143*L73+L144))*L73*(L80*FRorig.w1)</f>
        <v>7.3487542669744894E-26</v>
      </c>
      <c r="L141" s="298">
        <f t="shared" si="6"/>
        <v>7.3487542669744894E-26</v>
      </c>
      <c r="M141" s="38" t="s">
        <v>2115</v>
      </c>
      <c r="N141" s="17"/>
    </row>
    <row r="142" spans="1:14" ht="12.75" customHeight="1" x14ac:dyDescent="0.2">
      <c r="A142" s="38"/>
      <c r="B142" s="17" t="s">
        <v>1220</v>
      </c>
      <c r="C142" s="17"/>
      <c r="D142" s="17"/>
      <c r="E142" s="17"/>
      <c r="F142" s="17"/>
      <c r="G142" s="38" t="s">
        <v>2119</v>
      </c>
      <c r="H142" s="38" t="s">
        <v>873</v>
      </c>
      <c r="I142" s="276"/>
      <c r="J142" s="294" t="str">
        <f>IF(ISBLANK(HLOOKUP(CaseName,CaseData,MATCH($G142,cases!$G$4:$G$2458,0),FALSE)),"",HLOOKUP(CaseName,CaseData,MATCH($G142,cases!$G$4:$G$2458,0),FALSE))</f>
        <v/>
      </c>
      <c r="K142" s="428">
        <f>(L143*L144/(FRorig.w2*L143*L73+L144))*L73*(L84*FRorig.w2)</f>
        <v>7.356097733945245E-26</v>
      </c>
      <c r="L142" s="298">
        <f t="shared" si="6"/>
        <v>7.356097733945245E-26</v>
      </c>
      <c r="M142" s="38" t="s">
        <v>2115</v>
      </c>
      <c r="N142" s="17"/>
    </row>
    <row r="143" spans="1:14" ht="12.75" customHeight="1" x14ac:dyDescent="0.2">
      <c r="A143" s="38"/>
      <c r="B143" s="17"/>
      <c r="C143" s="17" t="s">
        <v>1222</v>
      </c>
      <c r="D143" s="17"/>
      <c r="E143" s="17"/>
      <c r="F143" s="17"/>
      <c r="G143" s="38" t="s">
        <v>2120</v>
      </c>
      <c r="H143" s="38" t="s">
        <v>873</v>
      </c>
      <c r="I143" s="276"/>
      <c r="J143" s="294" t="str">
        <f>IF(ISBLANK(HLOOKUP(CaseName,CaseData,MATCH($G143,cases!$G$4:$G$2458,0),FALSE)),"",HLOOKUP(CaseName,CaseData,MATCH($G143,cases!$G$4:$G$2458,0),FALSE))</f>
        <v/>
      </c>
      <c r="K143" s="428">
        <f>0.01*(0.3+0.2*WINDspeed.C)*((0.018/Molweight)^(0.67*0.5))</f>
        <v>6.508402137399746E-3</v>
      </c>
      <c r="L143" s="298">
        <f t="shared" si="6"/>
        <v>6.508402137399746E-3</v>
      </c>
      <c r="M143" s="17" t="s">
        <v>697</v>
      </c>
      <c r="N143" s="17"/>
    </row>
    <row r="144" spans="1:14" ht="12.75" customHeight="1" x14ac:dyDescent="0.2">
      <c r="A144" s="38"/>
      <c r="B144" s="17"/>
      <c r="C144" s="17" t="s">
        <v>1224</v>
      </c>
      <c r="D144" s="17"/>
      <c r="E144" s="17"/>
      <c r="F144" s="17"/>
      <c r="G144" s="38" t="s">
        <v>2121</v>
      </c>
      <c r="H144" s="38" t="s">
        <v>873</v>
      </c>
      <c r="I144" s="276"/>
      <c r="J144" s="294" t="str">
        <f>IF(ISBLANK(HLOOKUP(CaseName,CaseData,MATCH($G144,cases!$G$4:$G$2458,0),FALSE)),"",HLOOKUP(CaseName,CaseData,MATCH($G144,cases!$G$4:$G$2458,0),FALSE))</f>
        <v/>
      </c>
      <c r="K144" s="428">
        <f>0.01*(0.0004+0.00004*WINDspeed.C^2)*((0.032/Molweight)^(0.5*0.5))</f>
        <v>6.8902045811906283E-6</v>
      </c>
      <c r="L144" s="298">
        <f t="shared" si="6"/>
        <v>6.8902045811906283E-6</v>
      </c>
      <c r="M144" s="17" t="s">
        <v>697</v>
      </c>
      <c r="N144" s="17"/>
    </row>
    <row r="145" spans="1:14" ht="12.75" customHeight="1" x14ac:dyDescent="0.2">
      <c r="A145" s="38"/>
      <c r="B145" s="17" t="s">
        <v>2122</v>
      </c>
      <c r="C145" s="17"/>
      <c r="D145" s="17"/>
      <c r="E145" s="17"/>
      <c r="F145" s="17"/>
      <c r="G145" s="38" t="s">
        <v>2123</v>
      </c>
      <c r="H145" s="38" t="s">
        <v>873</v>
      </c>
      <c r="I145" s="276"/>
      <c r="J145" s="294" t="str">
        <f>IF(ISBLANK(HLOOKUP(CaseName,CaseData,MATCH($G145,cases!$G$4:$G$2458,0),FALSE)),"",HLOOKUP(CaseName,CaseData,MATCH($G145,cases!$G$4:$G$2458,0),FALSE))</f>
        <v/>
      </c>
      <c r="K145" s="428">
        <f>(L148*L149)/(L148+L149/((L73*FRorig.s1w)/L97))*L150</f>
        <v>4.9865311833661188E-28</v>
      </c>
      <c r="L145" s="298">
        <f t="shared" si="6"/>
        <v>4.9865311833661188E-28</v>
      </c>
      <c r="M145" s="38" t="s">
        <v>2115</v>
      </c>
      <c r="N145" s="165"/>
    </row>
    <row r="146" spans="1:14" ht="12.75" customHeight="1" x14ac:dyDescent="0.2">
      <c r="A146" s="38"/>
      <c r="B146" s="17" t="s">
        <v>2124</v>
      </c>
      <c r="C146" s="17"/>
      <c r="D146" s="17"/>
      <c r="E146" s="17"/>
      <c r="F146" s="17"/>
      <c r="G146" s="38" t="s">
        <v>2125</v>
      </c>
      <c r="H146" s="38" t="s">
        <v>873</v>
      </c>
      <c r="I146" s="276"/>
      <c r="J146" s="294" t="str">
        <f>IF(ISBLANK(HLOOKUP(CaseName,CaseData,MATCH($G146,cases!$G$4:$G$2458,0),FALSE)),"",HLOOKUP(CaseName,CaseData,MATCH($G146,cases!$G$4:$G$2458,0),FALSE))</f>
        <v/>
      </c>
      <c r="K146" s="428">
        <f>(L148*L149)/(L148+L149/((L73*FRorig.s1w)/L97))*L151</f>
        <v>9.0765685103274836E-28</v>
      </c>
      <c r="L146" s="298">
        <f t="shared" si="6"/>
        <v>9.0765685103274836E-28</v>
      </c>
      <c r="M146" s="38" t="s">
        <v>2115</v>
      </c>
      <c r="N146" s="17"/>
    </row>
    <row r="147" spans="1:14" ht="12.75" customHeight="1" x14ac:dyDescent="0.2">
      <c r="A147" s="38"/>
      <c r="B147" s="17" t="s">
        <v>2126</v>
      </c>
      <c r="C147" s="17"/>
      <c r="D147" s="17"/>
      <c r="E147" s="17"/>
      <c r="F147" s="17"/>
      <c r="G147" s="38" t="s">
        <v>2127</v>
      </c>
      <c r="H147" s="38" t="s">
        <v>873</v>
      </c>
      <c r="I147" s="276"/>
      <c r="J147" s="294" t="str">
        <f>IF(ISBLANK(HLOOKUP(CaseName,CaseData,MATCH($G147,cases!$G$4:$G$2458,0),FALSE)),"",HLOOKUP(CaseName,CaseData,MATCH($G147,cases!$G$4:$G$2458,0),FALSE))</f>
        <v/>
      </c>
      <c r="K147" s="428">
        <f>(L148*L149)/(L148+L149/((L73*FRorig.s1w)/L97))*L152</f>
        <v>4.9865311833661188E-28</v>
      </c>
      <c r="L147" s="298">
        <f t="shared" si="6"/>
        <v>4.9865311833661188E-28</v>
      </c>
      <c r="M147" s="38" t="s">
        <v>2115</v>
      </c>
      <c r="N147" s="17"/>
    </row>
    <row r="148" spans="1:14" ht="12.75" customHeight="1" x14ac:dyDescent="0.2">
      <c r="A148" s="38"/>
      <c r="B148" s="17"/>
      <c r="C148" s="17" t="s">
        <v>1232</v>
      </c>
      <c r="D148" s="17"/>
      <c r="E148" s="17"/>
      <c r="F148" s="17"/>
      <c r="G148" s="38" t="s">
        <v>2128</v>
      </c>
      <c r="H148" s="38" t="s">
        <v>873</v>
      </c>
      <c r="I148" s="276"/>
      <c r="J148" s="294" t="str">
        <f>IF(ISBLANK(HLOOKUP(CaseName,CaseData,MATCH($G148,cases!$G$4:$G$2458,0),FALSE)),"",HLOOKUP(CaseName,CaseData,MATCH($G148,cases!$G$4:$G$2458,0),FALSE))</f>
        <v/>
      </c>
      <c r="K148" s="428">
        <f>0.43/(24*3600)/0.00475</f>
        <v>1.0477582846003899E-3</v>
      </c>
      <c r="L148" s="298">
        <f t="shared" si="6"/>
        <v>1.0477582846003899E-3</v>
      </c>
      <c r="M148" s="17" t="s">
        <v>697</v>
      </c>
      <c r="N148" s="17"/>
    </row>
    <row r="149" spans="1:14" ht="12.75" customHeight="1" x14ac:dyDescent="0.2">
      <c r="A149" s="38"/>
      <c r="B149" s="17"/>
      <c r="C149" s="17" t="s">
        <v>1234</v>
      </c>
      <c r="D149" s="17"/>
      <c r="E149" s="17"/>
      <c r="F149" s="17"/>
      <c r="G149" s="38" t="s">
        <v>2129</v>
      </c>
      <c r="H149" s="38" t="s">
        <v>873</v>
      </c>
      <c r="I149" s="276"/>
      <c r="J149" s="294" t="str">
        <f>IF(ISBLANK(HLOOKUP(CaseName,CaseData,MATCH($G149,cases!$G$4:$G$2458,0),FALSE)),"",HLOOKUP(CaseName,CaseData,MATCH($G149,cases!$G$4:$G$2458,0),FALSE))</f>
        <v/>
      </c>
      <c r="K149" s="428">
        <f>0.1*L221</f>
        <v>4.0612619817811774E-22</v>
      </c>
      <c r="L149" s="298">
        <f t="shared" si="6"/>
        <v>4.0612619817811774E-22</v>
      </c>
      <c r="M149" s="17" t="s">
        <v>697</v>
      </c>
      <c r="N149" s="17" t="s">
        <v>2130</v>
      </c>
    </row>
    <row r="150" spans="1:14" ht="12.75" customHeight="1" x14ac:dyDescent="0.2">
      <c r="A150" s="38"/>
      <c r="B150" s="17"/>
      <c r="C150" s="17" t="s">
        <v>1236</v>
      </c>
      <c r="D150" s="17"/>
      <c r="E150" s="17"/>
      <c r="F150" s="17"/>
      <c r="G150" s="38" t="s">
        <v>2131</v>
      </c>
      <c r="H150" s="38" t="s">
        <v>296</v>
      </c>
      <c r="I150" s="276"/>
      <c r="J150" s="294" t="str">
        <f>IF(ISBLANK(HLOOKUP(CaseName,CaseData,MATCH($G150,cases!$G$4:$G$2458,0),FALSE)),"",HLOOKUP(CaseName,CaseData,MATCH($G150,cases!$G$4:$G$2458,0),FALSE))</f>
        <v/>
      </c>
      <c r="K150" s="428">
        <f>(EXP((-1/0.1)*0)*(1/0.1)*L30/(1-EXP((-1/0.1)*L30)))</f>
        <v>1.2707470412683992</v>
      </c>
      <c r="L150" s="298">
        <f t="shared" si="6"/>
        <v>1.2707470412683992</v>
      </c>
      <c r="M150" s="17" t="s">
        <v>297</v>
      </c>
      <c r="N150" s="17" t="s">
        <v>1238</v>
      </c>
    </row>
    <row r="151" spans="1:14" ht="12.75" customHeight="1" x14ac:dyDescent="0.2">
      <c r="A151" s="38"/>
      <c r="B151" s="17"/>
      <c r="C151" s="17" t="s">
        <v>1236</v>
      </c>
      <c r="D151" s="17"/>
      <c r="E151" s="17"/>
      <c r="F151" s="17"/>
      <c r="G151" s="38" t="s">
        <v>2132</v>
      </c>
      <c r="H151" s="38" t="s">
        <v>296</v>
      </c>
      <c r="I151" s="276"/>
      <c r="J151" s="294" t="str">
        <f>IF(ISBLANK(HLOOKUP(CaseName,CaseData,MATCH($G151,cases!$G$4:$G$2458,0),FALSE)),"",HLOOKUP(CaseName,CaseData,MATCH($G151,cases!$G$4:$G$2458,0),FALSE))</f>
        <v/>
      </c>
      <c r="K151" s="428">
        <f>(EXP((-1/0.1)*0)*(1/0.1)*L31/(1-EXP((-1/0.1)*L31)))</f>
        <v>2.3130352854993315</v>
      </c>
      <c r="L151" s="298">
        <f t="shared" si="6"/>
        <v>2.3130352854993315</v>
      </c>
      <c r="M151" s="17" t="s">
        <v>297</v>
      </c>
      <c r="N151" s="17" t="s">
        <v>1238</v>
      </c>
    </row>
    <row r="152" spans="1:14" ht="12.75" customHeight="1" x14ac:dyDescent="0.2">
      <c r="A152" s="38"/>
      <c r="B152" s="17"/>
      <c r="C152" s="17" t="s">
        <v>1236</v>
      </c>
      <c r="D152" s="17"/>
      <c r="E152" s="17"/>
      <c r="F152" s="17"/>
      <c r="G152" s="38" t="s">
        <v>2133</v>
      </c>
      <c r="H152" s="38" t="s">
        <v>296</v>
      </c>
      <c r="I152" s="276"/>
      <c r="J152" s="294" t="str">
        <f>IF(ISBLANK(HLOOKUP(CaseName,CaseData,MATCH($G152,cases!$G$4:$G$2458,0),FALSE)),"",HLOOKUP(CaseName,CaseData,MATCH($G152,cases!$G$4:$G$2458,0),FALSE))</f>
        <v/>
      </c>
      <c r="K152" s="428">
        <f>(EXP((-1/0.1)*0)*(1/0.1)*L32/(1-EXP((-1/0.1)*L32)))</f>
        <v>1.2707470412683992</v>
      </c>
      <c r="L152" s="298">
        <f t="shared" si="6"/>
        <v>1.2707470412683992</v>
      </c>
      <c r="M152" s="17" t="s">
        <v>297</v>
      </c>
      <c r="N152" s="17" t="s">
        <v>1238</v>
      </c>
    </row>
    <row r="153" spans="1:14" ht="12.75" customHeight="1" x14ac:dyDescent="0.2">
      <c r="A153" s="38"/>
      <c r="B153" s="17"/>
      <c r="C153" s="38"/>
      <c r="D153" s="146"/>
      <c r="E153" s="146"/>
      <c r="F153" s="17"/>
      <c r="G153" s="146"/>
      <c r="H153" s="146"/>
      <c r="I153" s="266"/>
      <c r="J153" s="294"/>
      <c r="K153" s="333"/>
      <c r="L153" s="333"/>
      <c r="M153" s="146"/>
      <c r="N153" s="17"/>
    </row>
    <row r="154" spans="1:14" ht="12.75" customHeight="1" x14ac:dyDescent="0.2">
      <c r="A154" s="568" t="s">
        <v>1241</v>
      </c>
      <c r="B154" s="567"/>
      <c r="C154" s="567"/>
      <c r="D154" s="567"/>
      <c r="E154" s="567"/>
      <c r="F154" s="567"/>
      <c r="G154" s="568" t="s">
        <v>2134</v>
      </c>
      <c r="H154" s="568" t="s">
        <v>624</v>
      </c>
      <c r="I154" s="705"/>
      <c r="J154" s="294" t="str">
        <f>IF(ISBLANK(HLOOKUP(CaseName,CaseData,MATCH($G154,cases!$G$4:$G$2458,0),FALSE)),"",HLOOKUP(CaseName,CaseData,MATCH($G154,cases!$G$4:$G$2458,0),FALSE))</f>
        <v/>
      </c>
      <c r="K154" s="435">
        <f>(L160)/L24</f>
        <v>7.810391194383157E-11</v>
      </c>
      <c r="L154" s="298">
        <f t="shared" ref="L154:L172" si="7">IF(ISBLANK(I154),IF(ISNUMBER(J154)=FALSE,K154,J154),I154)</f>
        <v>7.810391194383157E-11</v>
      </c>
      <c r="M154" s="567" t="s">
        <v>1048</v>
      </c>
      <c r="N154" s="567"/>
    </row>
    <row r="155" spans="1:14" ht="12.75" customHeight="1" x14ac:dyDescent="0.2">
      <c r="A155" s="38" t="s">
        <v>1244</v>
      </c>
      <c r="B155" s="17"/>
      <c r="C155" s="17"/>
      <c r="D155" s="17"/>
      <c r="E155" s="17"/>
      <c r="F155" s="17"/>
      <c r="G155" s="38" t="s">
        <v>2135</v>
      </c>
      <c r="H155" s="38" t="s">
        <v>624</v>
      </c>
      <c r="I155" s="276"/>
      <c r="J155" s="294" t="str">
        <f>IF(ISBLANK(HLOOKUP(CaseName,CaseData,MATCH($G155,cases!$G$4:$G$2458,0),FALSE)),"",HLOOKUP(CaseName,CaseData,MATCH($G155,cases!$G$4:$G$2458,0),FALSE))</f>
        <v/>
      </c>
      <c r="K155" s="435">
        <f>(L162+L175)/L25</f>
        <v>2.5713595620057794E-8</v>
      </c>
      <c r="L155" s="298">
        <f t="shared" si="7"/>
        <v>2.5713595620057794E-8</v>
      </c>
      <c r="M155" s="17" t="s">
        <v>1048</v>
      </c>
      <c r="N155" s="17"/>
    </row>
    <row r="156" spans="1:14" ht="12.75" customHeight="1" x14ac:dyDescent="0.2">
      <c r="A156" s="38" t="s">
        <v>1246</v>
      </c>
      <c r="B156" s="17"/>
      <c r="C156" s="17"/>
      <c r="D156" s="17"/>
      <c r="E156" s="17"/>
      <c r="F156" s="17"/>
      <c r="G156" s="38" t="s">
        <v>2136</v>
      </c>
      <c r="H156" s="38" t="s">
        <v>624</v>
      </c>
      <c r="I156" s="276"/>
      <c r="J156" s="294" t="str">
        <f>IF(ISBLANK(HLOOKUP(CaseName,CaseData,MATCH($G156,cases!$G$4:$G$2458,0),FALSE)),"",HLOOKUP(CaseName,CaseData,MATCH($G156,cases!$G$4:$G$2458,0),FALSE))</f>
        <v/>
      </c>
      <c r="K156" s="435">
        <f>(L164+L177)/L26</f>
        <v>2.415175265228318E-10</v>
      </c>
      <c r="L156" s="298">
        <f t="shared" si="7"/>
        <v>2.415175265228318E-10</v>
      </c>
      <c r="M156" s="17" t="s">
        <v>1048</v>
      </c>
      <c r="N156" s="17"/>
    </row>
    <row r="157" spans="1:14" s="386" customFormat="1" ht="12.75" customHeight="1" x14ac:dyDescent="0.2">
      <c r="A157" s="568" t="s">
        <v>1248</v>
      </c>
      <c r="B157" s="567"/>
      <c r="C157" s="567"/>
      <c r="D157" s="567"/>
      <c r="E157" s="567"/>
      <c r="F157" s="567"/>
      <c r="G157" s="568" t="s">
        <v>2137</v>
      </c>
      <c r="H157" s="568" t="s">
        <v>624</v>
      </c>
      <c r="I157" s="705"/>
      <c r="J157" s="294" t="str">
        <f>IF(ISBLANK(HLOOKUP(CaseName,CaseData,MATCH($G157,cases!$G$4:$G$2458,0),FALSE)),"",HLOOKUP(CaseName,CaseData,MATCH($G157,cases!$G$4:$G$2458,0),FALSE))</f>
        <v/>
      </c>
      <c r="K157" s="435">
        <f>(L161)/L27</f>
        <v>0</v>
      </c>
      <c r="L157" s="298">
        <f t="shared" si="7"/>
        <v>0</v>
      </c>
      <c r="M157" s="567" t="s">
        <v>1048</v>
      </c>
      <c r="N157" s="578"/>
    </row>
    <row r="158" spans="1:14" ht="12.75" customHeight="1" x14ac:dyDescent="0.2">
      <c r="A158" s="38" t="s">
        <v>1251</v>
      </c>
      <c r="B158" s="17"/>
      <c r="C158" s="17"/>
      <c r="D158" s="17"/>
      <c r="E158" s="17"/>
      <c r="F158" s="17"/>
      <c r="G158" s="38" t="s">
        <v>2138</v>
      </c>
      <c r="H158" s="38" t="s">
        <v>624</v>
      </c>
      <c r="I158" s="276"/>
      <c r="J158" s="294" t="str">
        <f>IF(ISBLANK(HLOOKUP(CaseName,CaseData,MATCH($G158,cases!$G$4:$G$2458,0),FALSE)),"",HLOOKUP(CaseName,CaseData,MATCH($G158,cases!$G$4:$G$2458,0),FALSE))</f>
        <v/>
      </c>
      <c r="K158" s="435">
        <f>(L163+L176)/L28</f>
        <v>6.1597068540741586E-8</v>
      </c>
      <c r="L158" s="298">
        <f t="shared" si="7"/>
        <v>6.1597068540741586E-8</v>
      </c>
      <c r="M158" s="17" t="s">
        <v>1048</v>
      </c>
      <c r="N158" s="17"/>
    </row>
    <row r="159" spans="1:14" ht="12.75" customHeight="1" x14ac:dyDescent="0.2">
      <c r="A159" s="38" t="s">
        <v>1253</v>
      </c>
      <c r="B159" s="17"/>
      <c r="C159" s="17"/>
      <c r="D159" s="17"/>
      <c r="E159" s="17"/>
      <c r="F159" s="17"/>
      <c r="G159" s="38" t="s">
        <v>2139</v>
      </c>
      <c r="H159" s="38" t="s">
        <v>624</v>
      </c>
      <c r="I159" s="276"/>
      <c r="J159" s="294" t="str">
        <f>IF(ISBLANK(HLOOKUP(CaseName,CaseData,MATCH($G159,cases!$G$4:$G$2458,0),FALSE)),"",HLOOKUP(CaseName,CaseData,MATCH($G159,cases!$G$4:$G$2458,0),FALSE))</f>
        <v/>
      </c>
      <c r="K159" s="435">
        <f>(L165+L178)/L29</f>
        <v>4.4267840145771689E-8</v>
      </c>
      <c r="L159" s="298">
        <f t="shared" si="7"/>
        <v>4.4267840145771689E-8</v>
      </c>
      <c r="M159" s="17" t="s">
        <v>1048</v>
      </c>
      <c r="N159" s="17"/>
    </row>
    <row r="160" spans="1:14" s="386" customFormat="1" ht="12.75" customHeight="1" x14ac:dyDescent="0.2">
      <c r="A160" s="568"/>
      <c r="B160" s="567" t="s">
        <v>1255</v>
      </c>
      <c r="C160" s="567"/>
      <c r="D160" s="567"/>
      <c r="E160" s="567"/>
      <c r="F160" s="567"/>
      <c r="G160" s="568" t="s">
        <v>2140</v>
      </c>
      <c r="H160" s="568" t="s">
        <v>873</v>
      </c>
      <c r="I160" s="705"/>
      <c r="J160" s="294" t="str">
        <f>IF(ISBLANK(HLOOKUP(CaseName,CaseData,MATCH($G160,cases!$G$4:$G$2458,0),FALSE)),"",HLOOKUP(CaseName,CaseData,MATCH($G160,cases!$G$4:$G$2458,0),FALSE))</f>
        <v/>
      </c>
      <c r="K160" s="435">
        <f>L169*(1-L76)</f>
        <v>7.8103911943831565E-9</v>
      </c>
      <c r="L160" s="298">
        <f t="shared" si="7"/>
        <v>7.8103911943831565E-9</v>
      </c>
      <c r="M160" s="567"/>
      <c r="N160" s="578"/>
    </row>
    <row r="161" spans="1:14" s="386" customFormat="1" ht="12.75" customHeight="1" x14ac:dyDescent="0.2">
      <c r="A161" s="568"/>
      <c r="B161" s="567" t="s">
        <v>1258</v>
      </c>
      <c r="C161" s="567"/>
      <c r="D161" s="567"/>
      <c r="E161" s="567"/>
      <c r="F161" s="567"/>
      <c r="G161" s="568" t="s">
        <v>2141</v>
      </c>
      <c r="H161" s="568" t="s">
        <v>873</v>
      </c>
      <c r="I161" s="705"/>
      <c r="J161" s="294" t="str">
        <f>IF(ISBLANK(HLOOKUP(CaseName,CaseData,MATCH($G161,cases!$G$4:$G$2458,0),FALSE)),"",HLOOKUP(CaseName,CaseData,MATCH($G161,cases!$G$4:$G$2458,0),FALSE))</f>
        <v/>
      </c>
      <c r="K161" s="435">
        <f>L166-L170</f>
        <v>0</v>
      </c>
      <c r="L161" s="298">
        <f t="shared" si="7"/>
        <v>0</v>
      </c>
      <c r="M161" s="567"/>
      <c r="N161" s="578"/>
    </row>
    <row r="162" spans="1:14" s="386" customFormat="1" ht="12.75" customHeight="1" x14ac:dyDescent="0.2">
      <c r="A162" s="216"/>
      <c r="B162" s="216" t="s">
        <v>1255</v>
      </c>
      <c r="C162" s="228"/>
      <c r="D162" s="228"/>
      <c r="E162" s="228"/>
      <c r="F162" s="228"/>
      <c r="G162" s="642" t="s">
        <v>2142</v>
      </c>
      <c r="H162" s="216" t="s">
        <v>1217</v>
      </c>
      <c r="I162" s="276"/>
      <c r="J162" s="294" t="str">
        <f>IF(ISBLANK(HLOOKUP(CaseName,CaseData,MATCH($G162,cases!$G$4:$G$2458,0),FALSE)),"",HLOOKUP(CaseName,CaseData,MATCH($G162,cases!$G$4:$G$2458,0),FALSE))</f>
        <v/>
      </c>
      <c r="K162" s="435">
        <f>L169*(1-L80)</f>
        <v>4.9683063649047022E-8</v>
      </c>
      <c r="L162" s="298">
        <f t="shared" si="7"/>
        <v>4.9683063649047022E-8</v>
      </c>
      <c r="M162" s="228"/>
      <c r="N162" s="384"/>
    </row>
    <row r="163" spans="1:14" s="386" customFormat="1" ht="12.75" customHeight="1" x14ac:dyDescent="0.2">
      <c r="A163" s="216"/>
      <c r="B163" s="216" t="s">
        <v>1258</v>
      </c>
      <c r="C163" s="228"/>
      <c r="D163" s="228"/>
      <c r="E163" s="228"/>
      <c r="F163" s="228"/>
      <c r="G163" s="642" t="s">
        <v>2143</v>
      </c>
      <c r="H163" s="216" t="s">
        <v>1217</v>
      </c>
      <c r="I163" s="276"/>
      <c r="J163" s="294" t="str">
        <f>IF(ISBLANK(HLOOKUP(CaseName,CaseData,MATCH($G163,cases!$G$4:$G$2458,0),FALSE)),"",HLOOKUP(CaseName,CaseData,MATCH($G163,cases!$G$4:$G$2458,0),FALSE))</f>
        <v/>
      </c>
      <c r="K163" s="435">
        <f>L167-L171</f>
        <v>7.8182870370094893E-10</v>
      </c>
      <c r="L163" s="298">
        <f t="shared" si="7"/>
        <v>7.8182870370094893E-10</v>
      </c>
      <c r="M163" s="228"/>
      <c r="N163" s="384"/>
    </row>
    <row r="164" spans="1:14" s="386" customFormat="1" ht="12.75" customHeight="1" x14ac:dyDescent="0.2">
      <c r="A164" s="216"/>
      <c r="B164" s="216" t="s">
        <v>1262</v>
      </c>
      <c r="C164" s="228"/>
      <c r="D164" s="228"/>
      <c r="E164" s="228"/>
      <c r="F164" s="228"/>
      <c r="G164" s="642" t="s">
        <v>2144</v>
      </c>
      <c r="H164" s="216" t="s">
        <v>1217</v>
      </c>
      <c r="I164" s="276"/>
      <c r="J164" s="294" t="str">
        <f>IF(ISBLANK(HLOOKUP(CaseName,CaseData,MATCH($G164,cases!$G$4:$G$2458,0),FALSE)),"",HLOOKUP(CaseName,CaseData,MATCH($G164,cases!$G$4:$G$2458,0),FALSE))</f>
        <v/>
      </c>
      <c r="K164" s="435">
        <f>L169*(1-L84)</f>
        <v>2.0818344125565744E-8</v>
      </c>
      <c r="L164" s="298">
        <f t="shared" si="7"/>
        <v>2.0818344125565744E-8</v>
      </c>
      <c r="M164" s="228"/>
      <c r="N164" s="384"/>
    </row>
    <row r="165" spans="1:14" s="386" customFormat="1" ht="12.75" customHeight="1" x14ac:dyDescent="0.2">
      <c r="A165" s="216"/>
      <c r="B165" s="216" t="s">
        <v>1264</v>
      </c>
      <c r="C165" s="228"/>
      <c r="D165" s="228"/>
      <c r="E165" s="228"/>
      <c r="F165" s="228"/>
      <c r="G165" s="642" t="s">
        <v>2145</v>
      </c>
      <c r="H165" s="216" t="s">
        <v>1217</v>
      </c>
      <c r="I165" s="276"/>
      <c r="J165" s="294" t="str">
        <f>IF(ISBLANK(HLOOKUP(CaseName,CaseData,MATCH($G165,cases!$G$4:$G$2458,0),FALSE)),"",HLOOKUP(CaseName,CaseData,MATCH($G165,cases!$G$4:$G$2458,0),FALSE))</f>
        <v/>
      </c>
      <c r="K165" s="435">
        <f>L168-L172</f>
        <v>2.6195185185185192E-10</v>
      </c>
      <c r="L165" s="298">
        <f t="shared" si="7"/>
        <v>2.6195185185185192E-10</v>
      </c>
      <c r="M165" s="228"/>
      <c r="N165" s="384"/>
    </row>
    <row r="166" spans="1:14" s="386" customFormat="1" ht="12.75" customHeight="1" x14ac:dyDescent="0.2">
      <c r="A166" s="568"/>
      <c r="B166" s="568"/>
      <c r="C166" s="568" t="s">
        <v>1266</v>
      </c>
      <c r="D166" s="567"/>
      <c r="E166" s="567"/>
      <c r="F166" s="567"/>
      <c r="G166" s="754" t="s">
        <v>2146</v>
      </c>
      <c r="H166" s="680" t="s">
        <v>1202</v>
      </c>
      <c r="I166" s="705"/>
      <c r="J166" s="294" t="str">
        <f>IF(ISBLANK(HLOOKUP(CaseName,CaseData,MATCH($G166,cases!$G$4:$G$2458,0),FALSE)),"",HLOOKUP(CaseName,CaseData,MATCH($G166,cases!$G$4:$G$2458,0),FALSE))</f>
        <v/>
      </c>
      <c r="K166" s="435">
        <f>IF(L169*input!L311/(L46*RHOsolid)&gt;L170,L169*input!L311/(L46*RHOsolid),L170)</f>
        <v>8.6226851854606775E-11</v>
      </c>
      <c r="L166" s="298">
        <f t="shared" si="7"/>
        <v>8.6226851854606775E-11</v>
      </c>
      <c r="M166" s="567"/>
      <c r="N166" s="578"/>
    </row>
    <row r="167" spans="1:14" s="386" customFormat="1" ht="12.75" customHeight="1" x14ac:dyDescent="0.2">
      <c r="A167" s="216"/>
      <c r="B167" s="216"/>
      <c r="C167" s="216" t="s">
        <v>1268</v>
      </c>
      <c r="D167" s="228"/>
      <c r="E167" s="228"/>
      <c r="F167" s="228"/>
      <c r="G167" s="703" t="s">
        <v>2147</v>
      </c>
      <c r="H167" s="579" t="s">
        <v>1202</v>
      </c>
      <c r="I167" s="276"/>
      <c r="J167" s="294" t="str">
        <f>IF(ISBLANK(HLOOKUP(CaseName,CaseData,MATCH($G167,cases!$G$4:$G$2458,0),FALSE)),"",HLOOKUP(CaseName,CaseData,MATCH($G167,cases!$G$4:$G$2458,0),FALSE))</f>
        <v/>
      </c>
      <c r="K167" s="435">
        <f>IF(L169*input!L312/(L46*RHOsolid)&gt;L171,L169*input!L312/(L46*RHOsolid),L171)</f>
        <v>8.6805555555555575E-10</v>
      </c>
      <c r="L167" s="298">
        <f t="shared" si="7"/>
        <v>8.6805555555555575E-10</v>
      </c>
      <c r="M167" s="228"/>
      <c r="N167" s="384"/>
    </row>
    <row r="168" spans="1:14" s="386" customFormat="1" ht="12.75" customHeight="1" x14ac:dyDescent="0.2">
      <c r="A168" s="216"/>
      <c r="B168" s="216"/>
      <c r="C168" s="216" t="s">
        <v>1270</v>
      </c>
      <c r="D168" s="228"/>
      <c r="E168" s="228"/>
      <c r="F168" s="228"/>
      <c r="G168" s="703" t="s">
        <v>2148</v>
      </c>
      <c r="H168" s="579" t="s">
        <v>1202</v>
      </c>
      <c r="I168" s="276"/>
      <c r="J168" s="294" t="str">
        <f>IF(ISBLANK(HLOOKUP(CaseName,CaseData,MATCH($G168,cases!$G$4:$G$2458,0),FALSE)),"",HLOOKUP(CaseName,CaseData,MATCH($G168,cases!$G$4:$G$2458,0),FALSE))</f>
        <v/>
      </c>
      <c r="K168" s="435">
        <f>IF(L169*input!L313/(L46*RHOsolid)&gt;L172,L169*input!L313/(L46*RHOsolid),L172)</f>
        <v>2.893518518518519E-10</v>
      </c>
      <c r="L168" s="298">
        <f t="shared" si="7"/>
        <v>2.893518518518519E-10</v>
      </c>
      <c r="M168" s="228"/>
      <c r="N168" s="384"/>
    </row>
    <row r="169" spans="1:14" s="386" customFormat="1" ht="12.75" customHeight="1" x14ac:dyDescent="0.2">
      <c r="A169" s="216"/>
      <c r="B169" s="216"/>
      <c r="C169" s="228"/>
      <c r="D169" s="216" t="s">
        <v>1272</v>
      </c>
      <c r="E169" s="579"/>
      <c r="F169" s="579"/>
      <c r="G169" s="703" t="s">
        <v>2149</v>
      </c>
      <c r="H169" s="579" t="s">
        <v>1202</v>
      </c>
      <c r="I169" s="276"/>
      <c r="J169" s="294" t="str">
        <f>IF(ISBLANK(HLOOKUP(CaseName,CaseData,MATCH($G169,cases!$G$4:$G$2458,0),FALSE)),"",HLOOKUP(CaseName,CaseData,MATCH($G169,cases!$G$4:$G$2458,0),FALSE))</f>
        <v/>
      </c>
      <c r="K169" s="435">
        <f>2.5/(24*3600)</f>
        <v>2.8935185185185186E-5</v>
      </c>
      <c r="L169" s="298">
        <f t="shared" si="7"/>
        <v>2.8935185185185186E-5</v>
      </c>
      <c r="M169" s="228"/>
      <c r="N169" s="384"/>
    </row>
    <row r="170" spans="1:14" s="386" customFormat="1" ht="12.75" customHeight="1" x14ac:dyDescent="0.2">
      <c r="A170" s="568"/>
      <c r="B170" s="568"/>
      <c r="C170" s="567"/>
      <c r="D170" s="568" t="s">
        <v>1275</v>
      </c>
      <c r="E170" s="680"/>
      <c r="F170" s="680"/>
      <c r="G170" s="754" t="s">
        <v>2150</v>
      </c>
      <c r="H170" s="680" t="s">
        <v>1202</v>
      </c>
      <c r="I170" s="705"/>
      <c r="J170" s="294" t="str">
        <f>IF(ISBLANK(HLOOKUP(CaseName,CaseData,MATCH($G170,cases!$G$4:$G$2458,0),FALSE)),"",HLOOKUP(CaseName,CaseData,MATCH($G170,cases!$G$4:$G$2458,0),FALSE))</f>
        <v/>
      </c>
      <c r="K170" s="435">
        <v>8.6226851854606775E-11</v>
      </c>
      <c r="L170" s="298">
        <f t="shared" si="7"/>
        <v>8.6226851854606775E-11</v>
      </c>
      <c r="M170" s="567"/>
      <c r="N170" s="578"/>
    </row>
    <row r="171" spans="1:14" s="386" customFormat="1" ht="12.75" customHeight="1" x14ac:dyDescent="0.2">
      <c r="A171" s="216"/>
      <c r="B171" s="216"/>
      <c r="C171" s="228"/>
      <c r="D171" s="216" t="s">
        <v>1277</v>
      </c>
      <c r="E171" s="579"/>
      <c r="F171" s="579"/>
      <c r="G171" s="703" t="s">
        <v>2151</v>
      </c>
      <c r="H171" s="579" t="s">
        <v>1202</v>
      </c>
      <c r="I171" s="276"/>
      <c r="J171" s="294" t="str">
        <f>IF(ISBLANK(HLOOKUP(CaseName,CaseData,MATCH($G171,cases!$G$4:$G$2458,0),FALSE)),"",HLOOKUP(CaseName,CaseData,MATCH($G171,cases!$G$4:$G$2458,0),FALSE))</f>
        <v/>
      </c>
      <c r="K171" s="435">
        <v>8.6226851854606775E-11</v>
      </c>
      <c r="L171" s="298">
        <f t="shared" si="7"/>
        <v>8.6226851854606775E-11</v>
      </c>
      <c r="M171" s="228"/>
      <c r="N171" s="384"/>
    </row>
    <row r="172" spans="1:14" s="386" customFormat="1" ht="12.75" customHeight="1" x14ac:dyDescent="0.2">
      <c r="A172" s="216"/>
      <c r="B172" s="216"/>
      <c r="C172" s="228"/>
      <c r="D172" s="216" t="s">
        <v>1280</v>
      </c>
      <c r="E172" s="579"/>
      <c r="F172" s="579"/>
      <c r="G172" s="703" t="s">
        <v>2152</v>
      </c>
      <c r="H172" s="579" t="s">
        <v>1202</v>
      </c>
      <c r="I172" s="276"/>
      <c r="J172" s="294" t="str">
        <f>IF(ISBLANK(HLOOKUP(CaseName,CaseData,MATCH($G172,cases!$G$4:$G$2458,0),FALSE)),"",HLOOKUP(CaseName,CaseData,MATCH($G172,cases!$G$4:$G$2458,0),FALSE))</f>
        <v/>
      </c>
      <c r="K172" s="704">
        <v>2.74E-11</v>
      </c>
      <c r="L172" s="298">
        <f t="shared" si="7"/>
        <v>2.74E-11</v>
      </c>
      <c r="M172" s="228"/>
      <c r="N172" s="384"/>
    </row>
    <row r="173" spans="1:14" s="386" customFormat="1" ht="12.75" customHeight="1" x14ac:dyDescent="0.2">
      <c r="A173" s="216"/>
      <c r="B173" s="216"/>
      <c r="C173" s="228"/>
      <c r="D173" s="228"/>
      <c r="E173" s="216" t="s">
        <v>1282</v>
      </c>
      <c r="F173" s="216"/>
      <c r="G173" s="703" t="s">
        <v>2153</v>
      </c>
      <c r="H173" s="216" t="s">
        <v>1284</v>
      </c>
      <c r="I173" s="276"/>
      <c r="J173" s="294" t="str">
        <f>IF(ISBLANK(HLOOKUP(CaseName,CaseData,MATCH($G173,cases!$G$4:$G$2458,0),FALSE)),"",HLOOKUP(CaseName,CaseData,MATCH($G173,cases!$G$4:$G$2458,0),FALSE))</f>
        <v/>
      </c>
      <c r="K173" s="435">
        <v>10</v>
      </c>
      <c r="L173" s="298">
        <f>IF(ISBLANK(I173),IF(ISNUMBER(J173)=FALSE,K173/(1000*3600*24*365)*L18*L16,J173/(1000*3600*24*365)*L18*L16),I173/(1000*3600*24*365)*L18*L16)</f>
        <v>30.397196854388636</v>
      </c>
      <c r="M173" s="228"/>
      <c r="N173" s="384"/>
    </row>
    <row r="174" spans="1:14" s="386" customFormat="1" ht="12.75" customHeight="1" x14ac:dyDescent="0.2">
      <c r="A174" s="216"/>
      <c r="B174" s="216"/>
      <c r="C174" s="228"/>
      <c r="D174" s="228"/>
      <c r="E174" s="216" t="s">
        <v>1286</v>
      </c>
      <c r="F174" s="216"/>
      <c r="G174" s="703" t="s">
        <v>2154</v>
      </c>
      <c r="H174" s="216" t="s">
        <v>1284</v>
      </c>
      <c r="I174" s="276"/>
      <c r="J174" s="294" t="str">
        <f>IF(ISBLANK(HLOOKUP(CaseName,CaseData,MATCH($G174,cases!$G$4:$G$2458,0),FALSE)),"",HLOOKUP(CaseName,CaseData,MATCH($G174,cases!$G$4:$G$2458,0),FALSE))</f>
        <v/>
      </c>
      <c r="K174" s="435">
        <v>5</v>
      </c>
      <c r="L174" s="298">
        <f>IF(ISBLANK(I174),IF(ISNUMBER(J174)=FALSE,K174/(1000*3600*24*365)*L22*L16,J174/(1000*3600*24*365)*L22*L16),I174/(1000*3600*24*365)*L22*L16)</f>
        <v>588.75729325215627</v>
      </c>
      <c r="M174" s="228"/>
      <c r="N174" s="384"/>
    </row>
    <row r="175" spans="1:14" s="386" customFormat="1" ht="12.75" customHeight="1" x14ac:dyDescent="0.2">
      <c r="A175" s="228"/>
      <c r="B175" s="228" t="s">
        <v>1288</v>
      </c>
      <c r="C175" s="579"/>
      <c r="D175" s="579"/>
      <c r="E175" s="228"/>
      <c r="F175" s="228"/>
      <c r="G175" s="642" t="s">
        <v>2155</v>
      </c>
      <c r="H175" s="216" t="s">
        <v>1217</v>
      </c>
      <c r="I175" s="276"/>
      <c r="J175" s="294" t="str">
        <f>IF(ISBLANK(HLOOKUP(CaseName,CaseData,MATCH($G175,cases!$G$4:$G$2458,0),FALSE)),"",HLOOKUP(CaseName,CaseData,MATCH($G175,cases!$G$4:$G$2458,0),FALSE))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2">
      <c r="A176" s="228"/>
      <c r="B176" s="228" t="s">
        <v>1290</v>
      </c>
      <c r="C176" s="579"/>
      <c r="D176" s="579"/>
      <c r="E176" s="228"/>
      <c r="F176" s="228"/>
      <c r="G176" s="642" t="s">
        <v>2156</v>
      </c>
      <c r="H176" s="216" t="s">
        <v>1217</v>
      </c>
      <c r="I176" s="276"/>
      <c r="J176" s="294" t="str">
        <f>IF(ISBLANK(HLOOKUP(CaseName,CaseData,MATCH($G176,cases!$G$4:$G$2458,0),FALSE)),"",HLOOKUP(CaseName,CaseData,MATCH($G176,cases!$G$4:$G$2458,0),FALSE))</f>
        <v/>
      </c>
      <c r="K176" s="435">
        <f>((L179*L180)/(L179+L180))/L91</f>
        <v>1.0660833525212988E-9</v>
      </c>
      <c r="L176" s="298">
        <f t="shared" si="8"/>
        <v>1.0660833525212988E-9</v>
      </c>
      <c r="M176" s="228"/>
      <c r="N176" s="384"/>
    </row>
    <row r="177" spans="1:14" s="386" customFormat="1" ht="12.75" customHeight="1" x14ac:dyDescent="0.2">
      <c r="A177" s="228"/>
      <c r="B177" s="228" t="s">
        <v>1292</v>
      </c>
      <c r="C177" s="579"/>
      <c r="D177" s="579"/>
      <c r="E177" s="228"/>
      <c r="F177" s="579"/>
      <c r="G177" s="642" t="s">
        <v>2157</v>
      </c>
      <c r="H177" s="216" t="s">
        <v>1217</v>
      </c>
      <c r="I177" s="276"/>
      <c r="J177" s="294" t="str">
        <f>IF(ISBLANK(HLOOKUP(CaseName,CaseData,MATCH($G177,cases!$G$4:$G$2458,0),FALSE)),"",HLOOKUP(CaseName,CaseData,MATCH($G177,cases!$G$4:$G$2458,0),FALSE))</f>
        <v/>
      </c>
      <c r="K177" s="435">
        <f>(L179*L180)/(L179+L180)*L84</f>
        <v>2.7485161179000623E-8</v>
      </c>
      <c r="L177" s="298">
        <f t="shared" si="8"/>
        <v>2.7485161179000623E-8</v>
      </c>
      <c r="M177" s="228"/>
      <c r="N177" s="384"/>
    </row>
    <row r="178" spans="1:14" s="386" customFormat="1" ht="12.75" customHeight="1" x14ac:dyDescent="0.2">
      <c r="A178" s="228"/>
      <c r="B178" s="228" t="s">
        <v>1294</v>
      </c>
      <c r="C178" s="579"/>
      <c r="D178" s="579"/>
      <c r="E178" s="228"/>
      <c r="F178" s="579"/>
      <c r="G178" s="642" t="s">
        <v>2158</v>
      </c>
      <c r="H178" s="216" t="s">
        <v>1217</v>
      </c>
      <c r="I178" s="276"/>
      <c r="J178" s="294" t="str">
        <f>IF(ISBLANK(HLOOKUP(CaseName,CaseData,MATCH($G178,cases!$G$4:$G$2458,0),FALSE)),"",HLOOKUP(CaseName,CaseData,MATCH($G178,cases!$G$4:$G$2458,0),FALSE))</f>
        <v/>
      </c>
      <c r="K178" s="435">
        <f>((L179*L180)/(L179+L180))/L94</f>
        <v>1.0660833525212988E-9</v>
      </c>
      <c r="L178" s="298">
        <f t="shared" si="8"/>
        <v>1.0660833525212988E-9</v>
      </c>
      <c r="M178" s="228"/>
      <c r="N178" s="384"/>
    </row>
    <row r="179" spans="1:14" s="386" customFormat="1" ht="12.75" customHeight="1" x14ac:dyDescent="0.2">
      <c r="A179" s="216"/>
      <c r="B179" s="216"/>
      <c r="C179" s="228" t="s">
        <v>1296</v>
      </c>
      <c r="D179" s="228"/>
      <c r="E179" s="579"/>
      <c r="F179" s="579"/>
      <c r="G179" s="228" t="s">
        <v>2159</v>
      </c>
      <c r="H179" s="579" t="s">
        <v>1202</v>
      </c>
      <c r="I179" s="276"/>
      <c r="J179" s="294" t="str">
        <f>IF(ISBLANK(HLOOKUP(CaseName,CaseData,MATCH($G179,cases!$G$4:$G$2458,0),FALSE)),"",HLOOKUP(CaseName,CaseData,MATCH($G179,cases!$G$4:$G$2458,0),FALSE))</f>
        <v/>
      </c>
      <c r="K179" s="435">
        <v>2.7779999999999999E-6</v>
      </c>
      <c r="L179" s="298">
        <f t="shared" si="8"/>
        <v>2.7779999999999999E-6</v>
      </c>
      <c r="M179" s="228"/>
      <c r="N179" s="384"/>
    </row>
    <row r="180" spans="1:14" s="386" customFormat="1" ht="12.75" customHeight="1" x14ac:dyDescent="0.2">
      <c r="A180" s="216"/>
      <c r="B180" s="216"/>
      <c r="C180" s="228" t="s">
        <v>1298</v>
      </c>
      <c r="D180" s="228"/>
      <c r="E180" s="579"/>
      <c r="F180" s="579"/>
      <c r="G180" s="228" t="s">
        <v>2160</v>
      </c>
      <c r="H180" s="579" t="s">
        <v>1202</v>
      </c>
      <c r="I180" s="276"/>
      <c r="J180" s="294" t="str">
        <f>IF(ISBLANK(HLOOKUP(CaseName,CaseData,MATCH($G180,cases!$G$4:$G$2458,0),FALSE)),"",HLOOKUP(CaseName,CaseData,MATCH($G180,cases!$G$4:$G$2458,0),FALSE))</f>
        <v/>
      </c>
      <c r="K180" s="435">
        <v>2.7779999999999998E-8</v>
      </c>
      <c r="L180" s="298">
        <f t="shared" si="8"/>
        <v>2.7779999999999998E-8</v>
      </c>
      <c r="M180" s="228"/>
      <c r="N180" s="384"/>
    </row>
    <row r="181" spans="1:14" ht="12.75" customHeight="1" x14ac:dyDescent="0.2">
      <c r="A181" s="38"/>
      <c r="B181" s="17"/>
      <c r="C181" s="38"/>
      <c r="D181" s="146"/>
      <c r="E181" s="146"/>
      <c r="F181" s="17"/>
      <c r="G181" s="146"/>
      <c r="H181" s="146"/>
      <c r="I181" s="266"/>
      <c r="J181" s="294"/>
      <c r="K181" s="333"/>
      <c r="L181" s="333"/>
      <c r="M181" s="146"/>
      <c r="N181" s="17"/>
    </row>
    <row r="182" spans="1:14" ht="12.75" customHeight="1" x14ac:dyDescent="0.2">
      <c r="A182" s="38" t="s">
        <v>2161</v>
      </c>
      <c r="B182" s="17"/>
      <c r="C182" s="17"/>
      <c r="D182" s="17"/>
      <c r="E182" s="17"/>
      <c r="F182" s="17"/>
      <c r="G182" s="38" t="s">
        <v>4726</v>
      </c>
      <c r="H182" s="38" t="s">
        <v>624</v>
      </c>
      <c r="I182" s="276"/>
      <c r="J182" s="294" t="e">
        <f>IF(ISBLANK(HLOOKUP(CaseName,CaseData,MATCH($G182,cases!$G$4:$G$2458,0),FALSE)),"",HLOOKUP(CaseName,CaseData,MATCH($G182,cases!$G$4:$G$2458,0),FALSE))</f>
        <v>#N/A</v>
      </c>
      <c r="K182" s="617">
        <f>(RAINrate.C*L188/L97+L185)*L191/L30</f>
        <v>4.6941418162982244E-9</v>
      </c>
      <c r="L182" s="298">
        <f t="shared" ref="L182:L193" si="9">IF(ISBLANK(I182),IF(ISNUMBER(J182)=FALSE,K182,J182),I182)</f>
        <v>4.6941418162982244E-9</v>
      </c>
      <c r="M182" s="17" t="s">
        <v>1048</v>
      </c>
      <c r="N182" s="17"/>
    </row>
    <row r="183" spans="1:14" ht="12.75" customHeight="1" x14ac:dyDescent="0.2">
      <c r="A183" s="38" t="s">
        <v>2163</v>
      </c>
      <c r="B183" s="17"/>
      <c r="C183" s="17"/>
      <c r="D183" s="17"/>
      <c r="E183" s="17"/>
      <c r="F183" s="17"/>
      <c r="G183" s="38" t="s">
        <v>4727</v>
      </c>
      <c r="H183" s="38" t="s">
        <v>624</v>
      </c>
      <c r="I183" s="276"/>
      <c r="J183" s="294" t="e">
        <f>IF(ISBLANK(HLOOKUP(CaseName,CaseData,MATCH($G183,cases!$G$4:$G$2458,0),FALSE)),"",HLOOKUP(CaseName,CaseData,MATCH($G183,cases!$G$4:$G$2458,0),FALSE))</f>
        <v>#N/A</v>
      </c>
      <c r="K183" s="617">
        <f>(RAINrate.C*L189/L102+L186)*L192/L31</f>
        <v>2.1360891081434388E-9</v>
      </c>
      <c r="L183" s="298">
        <f t="shared" si="9"/>
        <v>2.1360891081434388E-9</v>
      </c>
      <c r="M183" s="17" t="s">
        <v>1048</v>
      </c>
      <c r="N183" s="17"/>
    </row>
    <row r="184" spans="1:14" ht="12.75" customHeight="1" x14ac:dyDescent="0.2">
      <c r="A184" s="38" t="s">
        <v>2165</v>
      </c>
      <c r="B184" s="17"/>
      <c r="C184" s="17"/>
      <c r="D184" s="17"/>
      <c r="E184" s="17"/>
      <c r="F184" s="17"/>
      <c r="G184" s="38" t="s">
        <v>4728</v>
      </c>
      <c r="H184" s="38" t="s">
        <v>624</v>
      </c>
      <c r="I184" s="276"/>
      <c r="J184" s="294" t="e">
        <f>IF(ISBLANK(HLOOKUP(CaseName,CaseData,MATCH($G184,cases!$G$4:$G$2458,0),FALSE)),"",HLOOKUP(CaseName,CaseData,MATCH($G184,cases!$G$4:$G$2458,0),FALSE))</f>
        <v>#N/A</v>
      </c>
      <c r="K184" s="617">
        <f>(RAINrate.C*L190/L107+L187)*L193/L32</f>
        <v>4.6941418162982244E-9</v>
      </c>
      <c r="L184" s="298">
        <f t="shared" si="9"/>
        <v>4.6941418162982244E-9</v>
      </c>
      <c r="M184" s="17" t="s">
        <v>1048</v>
      </c>
      <c r="N184" s="17"/>
    </row>
    <row r="185" spans="1:14" ht="12.75" customHeight="1" x14ac:dyDescent="0.2">
      <c r="A185" s="38"/>
      <c r="B185" s="146" t="s">
        <v>1306</v>
      </c>
      <c r="C185" s="17"/>
      <c r="D185" s="146"/>
      <c r="E185" s="146"/>
      <c r="F185" s="146"/>
      <c r="G185" s="539" t="s">
        <v>2167</v>
      </c>
      <c r="H185" s="146" t="s">
        <v>1202</v>
      </c>
      <c r="I185" s="619"/>
      <c r="J185" s="294" t="str">
        <f>IF(ISBLANK(HLOOKUP(CaseName,CaseData,MATCH($G185,cases!$G$4:$G$2458,0),FALSE)),"",HLOOKUP(CaseName,CaseData,MATCH($G185,cases!$G$4:$G$2458,0),FALSE))</f>
        <v/>
      </c>
      <c r="K185" s="617">
        <f>EROSION.C</f>
        <v>9.5129375951293754E-13</v>
      </c>
      <c r="L185" s="298">
        <f t="shared" si="9"/>
        <v>9.5129375951293754E-13</v>
      </c>
      <c r="M185" s="17"/>
      <c r="N185" s="17"/>
    </row>
    <row r="186" spans="1:14" ht="12.75" customHeight="1" x14ac:dyDescent="0.2">
      <c r="A186" s="38"/>
      <c r="B186" s="146" t="s">
        <v>1308</v>
      </c>
      <c r="C186" s="17"/>
      <c r="D186" s="146"/>
      <c r="E186" s="146"/>
      <c r="F186" s="146"/>
      <c r="G186" s="539" t="s">
        <v>2168</v>
      </c>
      <c r="H186" s="146" t="s">
        <v>1202</v>
      </c>
      <c r="I186" s="619"/>
      <c r="J186" s="294" t="str">
        <f>IF(ISBLANK(HLOOKUP(CaseName,CaseData,MATCH($G186,cases!$G$4:$G$2458,0),FALSE)),"",HLOOKUP(CaseName,CaseData,MATCH($G186,cases!$G$4:$G$2458,0),FALSE))</f>
        <v/>
      </c>
      <c r="K186" s="617">
        <f>EROSION.C</f>
        <v>9.5129375951293754E-13</v>
      </c>
      <c r="L186" s="298">
        <f t="shared" si="9"/>
        <v>9.5129375951293754E-13</v>
      </c>
      <c r="M186" s="17"/>
      <c r="N186" s="17"/>
    </row>
    <row r="187" spans="1:14" ht="12.75" customHeight="1" x14ac:dyDescent="0.2">
      <c r="A187" s="38"/>
      <c r="B187" s="146" t="s">
        <v>1310</v>
      </c>
      <c r="C187" s="17"/>
      <c r="D187" s="146"/>
      <c r="E187" s="146"/>
      <c r="F187" s="146"/>
      <c r="G187" s="539" t="s">
        <v>2169</v>
      </c>
      <c r="H187" s="146" t="s">
        <v>1202</v>
      </c>
      <c r="I187" s="620"/>
      <c r="J187" s="294" t="str">
        <f>IF(ISBLANK(HLOOKUP(CaseName,CaseData,MATCH($G187,cases!$G$4:$G$2458,0),FALSE)),"",HLOOKUP(CaseName,CaseData,MATCH($G187,cases!$G$4:$G$2458,0),FALSE))</f>
        <v/>
      </c>
      <c r="K187" s="617">
        <f>EROSION.C</f>
        <v>9.5129375951293754E-13</v>
      </c>
      <c r="L187" s="298">
        <f t="shared" si="9"/>
        <v>9.5129375951293754E-13</v>
      </c>
      <c r="M187" s="17"/>
      <c r="N187" s="17"/>
    </row>
    <row r="188" spans="1:14" ht="12.75" customHeight="1" x14ac:dyDescent="0.2">
      <c r="A188" s="38"/>
      <c r="B188" s="38" t="s">
        <v>1312</v>
      </c>
      <c r="C188" s="17"/>
      <c r="D188" s="146"/>
      <c r="E188" s="146"/>
      <c r="F188" s="146"/>
      <c r="G188" s="539" t="s">
        <v>2170</v>
      </c>
      <c r="H188" s="38" t="s">
        <v>296</v>
      </c>
      <c r="I188" s="619"/>
      <c r="J188" s="294" t="str">
        <f>IF(ISBLANK(HLOOKUP(CaseName,CaseData,MATCH($G188,cases!$G$4:$G$2458,0),FALSE)),"",HLOOKUP(CaseName,CaseData,MATCH($G188,cases!$G$4:$G$2458,0),FALSE))</f>
        <v/>
      </c>
      <c r="K188" s="617">
        <f>FRACrun.C</f>
        <v>0.25</v>
      </c>
      <c r="L188" s="298">
        <f t="shared" si="9"/>
        <v>0.25</v>
      </c>
      <c r="M188" s="17"/>
      <c r="N188" s="17"/>
    </row>
    <row r="189" spans="1:14" ht="12.75" customHeight="1" x14ac:dyDescent="0.2">
      <c r="A189" s="38"/>
      <c r="B189" s="38" t="s">
        <v>1314</v>
      </c>
      <c r="C189" s="17"/>
      <c r="D189" s="146"/>
      <c r="E189" s="146"/>
      <c r="F189" s="146"/>
      <c r="G189" s="539" t="s">
        <v>2171</v>
      </c>
      <c r="H189" s="38" t="s">
        <v>296</v>
      </c>
      <c r="I189" s="619"/>
      <c r="J189" s="294" t="str">
        <f>IF(ISBLANK(HLOOKUP(CaseName,CaseData,MATCH($G189,cases!$G$4:$G$2458,0),FALSE)),"",HLOOKUP(CaseName,CaseData,MATCH($G189,cases!$G$4:$G$2458,0),FALSE))</f>
        <v/>
      </c>
      <c r="K189" s="617">
        <f>FRACrun.C</f>
        <v>0.25</v>
      </c>
      <c r="L189" s="298">
        <f t="shared" si="9"/>
        <v>0.25</v>
      </c>
      <c r="M189" s="17"/>
      <c r="N189" s="17"/>
    </row>
    <row r="190" spans="1:14" ht="12.75" customHeight="1" x14ac:dyDescent="0.2">
      <c r="A190" s="38"/>
      <c r="B190" s="38" t="s">
        <v>1316</v>
      </c>
      <c r="C190" s="17"/>
      <c r="D190" s="146"/>
      <c r="E190" s="146"/>
      <c r="F190" s="146"/>
      <c r="G190" s="539" t="s">
        <v>2172</v>
      </c>
      <c r="H190" s="38" t="s">
        <v>296</v>
      </c>
      <c r="I190" s="619"/>
      <c r="J190" s="294" t="str">
        <f>IF(ISBLANK(HLOOKUP(CaseName,CaseData,MATCH($G190,cases!$G$4:$G$2458,0),FALSE)),"",HLOOKUP(CaseName,CaseData,MATCH($G190,cases!$G$4:$G$2458,0),FALSE))</f>
        <v/>
      </c>
      <c r="K190" s="617">
        <f>FRACrun.C</f>
        <v>0.25</v>
      </c>
      <c r="L190" s="298">
        <f t="shared" si="9"/>
        <v>0.25</v>
      </c>
      <c r="M190" s="17"/>
      <c r="N190" s="17"/>
    </row>
    <row r="191" spans="1:14" ht="12.75" customHeight="1" x14ac:dyDescent="0.2">
      <c r="A191" s="38"/>
      <c r="B191" s="17" t="s">
        <v>1236</v>
      </c>
      <c r="C191" s="17"/>
      <c r="D191" s="146"/>
      <c r="E191" s="146"/>
      <c r="F191" s="146"/>
      <c r="G191" s="540" t="s">
        <v>2173</v>
      </c>
      <c r="H191" s="17" t="s">
        <v>296</v>
      </c>
      <c r="I191" s="620"/>
      <c r="J191" s="294" t="str">
        <f>IF(ISBLANK(HLOOKUP(CaseName,CaseData,MATCH($G191,cases!$G$4:$G$2458,0),FALSE)),"",HLOOKUP(CaseName,CaseData,MATCH($G191,cases!$G$4:$G$2458,0),FALSE))</f>
        <v/>
      </c>
      <c r="K191" s="617">
        <f>(EXP((-1/0.1)*0)*(1/0.1)*L30/(1-EXP((-1/0.1)*L30)))</f>
        <v>1.2707470412683992</v>
      </c>
      <c r="L191" s="298">
        <f t="shared" si="9"/>
        <v>1.2707470412683992</v>
      </c>
      <c r="M191" s="17"/>
      <c r="N191" s="17"/>
    </row>
    <row r="192" spans="1:14" ht="12.75" customHeight="1" x14ac:dyDescent="0.2">
      <c r="A192" s="38"/>
      <c r="B192" s="17" t="s">
        <v>1236</v>
      </c>
      <c r="C192" s="17"/>
      <c r="D192" s="146"/>
      <c r="E192" s="146"/>
      <c r="F192" s="146"/>
      <c r="G192" s="540" t="s">
        <v>2174</v>
      </c>
      <c r="H192" s="17" t="s">
        <v>296</v>
      </c>
      <c r="I192" s="620"/>
      <c r="J192" s="294" t="str">
        <f>IF(ISBLANK(HLOOKUP(CaseName,CaseData,MATCH($G192,cases!$G$4:$G$2458,0),FALSE)),"",HLOOKUP(CaseName,CaseData,MATCH($G192,cases!$G$4:$G$2458,0),FALSE))</f>
        <v/>
      </c>
      <c r="K192" s="617">
        <f>(EXP((-1/0.1)*0)*(1/0.1)*L31/(1-EXP((-1/0.1)*L31)))</f>
        <v>2.3130352854993315</v>
      </c>
      <c r="L192" s="298">
        <f t="shared" si="9"/>
        <v>2.3130352854993315</v>
      </c>
      <c r="M192" s="17"/>
      <c r="N192" s="17"/>
    </row>
    <row r="193" spans="1:14" ht="12.75" customHeight="1" x14ac:dyDescent="0.2">
      <c r="A193" s="38"/>
      <c r="B193" s="17" t="s">
        <v>1236</v>
      </c>
      <c r="C193" s="17"/>
      <c r="D193" s="146"/>
      <c r="E193" s="146"/>
      <c r="F193" s="146"/>
      <c r="G193" s="540" t="s">
        <v>2175</v>
      </c>
      <c r="H193" s="17" t="s">
        <v>296</v>
      </c>
      <c r="I193" s="620"/>
      <c r="J193" s="294" t="str">
        <f>IF(ISBLANK(HLOOKUP(CaseName,CaseData,MATCH($G193,cases!$G$4:$G$2458,0),FALSE)),"",HLOOKUP(CaseName,CaseData,MATCH($G193,cases!$G$4:$G$2458,0),FALSE))</f>
        <v/>
      </c>
      <c r="K193" s="617">
        <f>(EXP((-1/0.1)*0)*(1/0.1)*L32/(1-EXP((-1/0.1)*L32)))</f>
        <v>1.2707470412683992</v>
      </c>
      <c r="L193" s="298">
        <f t="shared" si="9"/>
        <v>1.2707470412683992</v>
      </c>
      <c r="M193" s="17"/>
      <c r="N193" s="17"/>
    </row>
    <row r="194" spans="1:14" ht="12.75" customHeight="1" x14ac:dyDescent="0.2">
      <c r="A194" s="17"/>
      <c r="B194" s="17"/>
      <c r="C194" s="17"/>
      <c r="D194" s="17"/>
      <c r="E194" s="17"/>
      <c r="F194" s="17"/>
      <c r="G194" s="17"/>
      <c r="H194" s="17"/>
      <c r="I194" s="282"/>
      <c r="J194" s="294"/>
      <c r="K194" s="296"/>
      <c r="L194" s="296"/>
      <c r="M194" s="17"/>
      <c r="N194" s="17"/>
    </row>
    <row r="195" spans="1:14" customFormat="1" ht="12.75" customHeight="1" x14ac:dyDescent="0.2">
      <c r="A195" s="148" t="s">
        <v>1321</v>
      </c>
      <c r="B195" s="147"/>
      <c r="C195" s="147"/>
      <c r="D195" s="147"/>
      <c r="E195" s="147"/>
      <c r="F195" s="147"/>
      <c r="G195" s="148" t="s">
        <v>263</v>
      </c>
      <c r="H195" s="148" t="s">
        <v>279</v>
      </c>
      <c r="I195" s="147" t="s">
        <v>264</v>
      </c>
      <c r="J195" s="150" t="s">
        <v>280</v>
      </c>
      <c r="K195" s="331" t="s">
        <v>265</v>
      </c>
      <c r="L195" s="331" t="s">
        <v>266</v>
      </c>
      <c r="M195" s="147"/>
      <c r="N195" s="148" t="s">
        <v>267</v>
      </c>
    </row>
    <row r="196" spans="1:14" ht="12.75" customHeight="1" x14ac:dyDescent="0.2">
      <c r="A196" s="38"/>
      <c r="B196" s="17"/>
      <c r="C196" s="17"/>
      <c r="D196" s="17"/>
      <c r="E196" s="17"/>
      <c r="F196" s="17"/>
      <c r="G196" s="17"/>
      <c r="H196" s="17"/>
      <c r="I196" s="282"/>
      <c r="J196" s="294"/>
      <c r="K196" s="296"/>
      <c r="L196" s="296"/>
      <c r="M196" s="17"/>
      <c r="N196" s="17"/>
    </row>
    <row r="197" spans="1:14" ht="12.75" customHeight="1" x14ac:dyDescent="0.2">
      <c r="A197" s="38" t="s">
        <v>1322</v>
      </c>
      <c r="B197" s="17"/>
      <c r="C197" s="17"/>
      <c r="D197" s="17"/>
      <c r="E197" s="17"/>
      <c r="F197" s="17"/>
      <c r="G197" s="38" t="s">
        <v>4729</v>
      </c>
      <c r="H197" s="38" t="s">
        <v>624</v>
      </c>
      <c r="I197" s="276"/>
      <c r="J197" s="294" t="e">
        <f>IF(ISBLANK(HLOOKUP(CaseName,CaseData,MATCH($G197,cases!$G$4:$G$2458,0),FALSE)),"",HLOOKUP(CaseName,CaseData,MATCH($G197,cases!$G$4:$G$2458,0),FALSE))</f>
        <v>#N/A</v>
      </c>
      <c r="K197" s="428">
        <f>L207+L70*kdegG.air*(L209/C.OHrad)*L210</f>
        <v>3.663258818281463E-10</v>
      </c>
      <c r="L197" s="298">
        <f t="shared" ref="L197:L229" si="10">IF(ISBLANK(I197),IF(ISNUMBER(J197)=FALSE,K197,J197),I197)</f>
        <v>3.663258818281463E-10</v>
      </c>
      <c r="M197" s="17" t="s">
        <v>1048</v>
      </c>
      <c r="N197" s="17"/>
    </row>
    <row r="198" spans="1:14" ht="12.75" customHeight="1" x14ac:dyDescent="0.2">
      <c r="A198" s="38" t="s">
        <v>1324</v>
      </c>
      <c r="B198" s="17"/>
      <c r="C198" s="17"/>
      <c r="D198" s="17"/>
      <c r="E198" s="17"/>
      <c r="F198" s="17"/>
      <c r="G198" s="38" t="s">
        <v>4730</v>
      </c>
      <c r="H198" s="38" t="s">
        <v>624</v>
      </c>
      <c r="I198" s="276"/>
      <c r="J198" s="294" t="e">
        <f>IF(ISBLANK(HLOOKUP(CaseName,CaseData,MATCH($G198,cases!$G$4:$G$2458,0),FALSE)),"",HLOOKUP(CaseName,CaseData,MATCH($G198,cases!$G$4:$G$2458,0),FALSE))</f>
        <v>#N/A</v>
      </c>
      <c r="K198" s="428">
        <f>kdeg.water*L217*(L214/BACT.test)*L76</f>
        <v>4.0601657370321782E-21</v>
      </c>
      <c r="L198" s="298">
        <f t="shared" si="10"/>
        <v>4.0601657370321782E-21</v>
      </c>
      <c r="M198" s="17" t="s">
        <v>1048</v>
      </c>
      <c r="N198" s="17"/>
    </row>
    <row r="199" spans="1:14" ht="12.75" customHeight="1" x14ac:dyDescent="0.2">
      <c r="A199" s="38" t="s">
        <v>1326</v>
      </c>
      <c r="B199" s="17"/>
      <c r="C199" s="17"/>
      <c r="D199" s="17"/>
      <c r="E199" s="17"/>
      <c r="F199" s="17"/>
      <c r="G199" s="38" t="s">
        <v>4731</v>
      </c>
      <c r="H199" s="38" t="s">
        <v>624</v>
      </c>
      <c r="I199" s="276"/>
      <c r="J199" s="294" t="e">
        <f>IF(ISBLANK(HLOOKUP(CaseName,CaseData,MATCH($G199,cases!$G$4:$G$2458,0),FALSE)),"",HLOOKUP(CaseName,CaseData,MATCH($G199,cases!$G$4:$G$2458,0),FALSE))</f>
        <v>#N/A</v>
      </c>
      <c r="K199" s="428">
        <f>kdeg.water*L217*(L215/BACT.test)*L80</f>
        <v>4.0542886053799232E-21</v>
      </c>
      <c r="L199" s="298">
        <f t="shared" si="10"/>
        <v>4.0542886053799232E-21</v>
      </c>
      <c r="M199" s="17" t="s">
        <v>1048</v>
      </c>
      <c r="N199" s="17"/>
    </row>
    <row r="200" spans="1:14" ht="12.75" customHeight="1" x14ac:dyDescent="0.2">
      <c r="A200" s="38" t="s">
        <v>1328</v>
      </c>
      <c r="B200" s="17"/>
      <c r="C200" s="17"/>
      <c r="D200" s="17"/>
      <c r="E200" s="17"/>
      <c r="F200" s="17"/>
      <c r="G200" s="38" t="s">
        <v>4732</v>
      </c>
      <c r="H200" s="38" t="s">
        <v>624</v>
      </c>
      <c r="I200" s="276"/>
      <c r="J200" s="294" t="e">
        <f>IF(ISBLANK(HLOOKUP(CaseName,CaseData,MATCH($G200,cases!$G$4:$G$2458,0),FALSE)),"",HLOOKUP(CaseName,CaseData,MATCH($G200,cases!$G$4:$G$2458,0),FALSE))</f>
        <v>#N/A</v>
      </c>
      <c r="K200" s="435">
        <f>kdeg.water*L217*(L216/BACT.test)*L84</f>
        <v>4.0583399769977389E-21</v>
      </c>
      <c r="L200" s="298">
        <f t="shared" si="10"/>
        <v>4.0583399769977389E-21</v>
      </c>
      <c r="M200" s="17" t="s">
        <v>1048</v>
      </c>
      <c r="N200" s="17"/>
    </row>
    <row r="201" spans="1:14" s="386" customFormat="1" ht="12.75" customHeight="1" x14ac:dyDescent="0.2">
      <c r="A201" s="38" t="s">
        <v>1330</v>
      </c>
      <c r="B201" s="17"/>
      <c r="C201" s="17"/>
      <c r="D201" s="17"/>
      <c r="E201" s="17"/>
      <c r="F201" s="17"/>
      <c r="G201" s="38" t="s">
        <v>2180</v>
      </c>
      <c r="H201" s="38" t="s">
        <v>624</v>
      </c>
      <c r="I201" s="276"/>
      <c r="J201" s="294" t="str">
        <f>IF(ISBLANK(HLOOKUP(CaseName,CaseData,MATCH($G201,cases!$G$4:$G$2458,0),FALSE)),"",HLOOKUP(CaseName,CaseData,MATCH($G201,cases!$G$4:$G$2458,0),FALSE))</f>
        <v/>
      </c>
      <c r="K201" s="617">
        <f>L218+L170/L27</f>
        <v>2.8742283951576208E-9</v>
      </c>
      <c r="L201" s="298">
        <f t="shared" si="10"/>
        <v>2.8742283951576208E-9</v>
      </c>
      <c r="M201" s="17" t="s">
        <v>1048</v>
      </c>
      <c r="N201" s="141"/>
    </row>
    <row r="202" spans="1:14" ht="12.75" customHeight="1" x14ac:dyDescent="0.2">
      <c r="A202" s="38" t="s">
        <v>1332</v>
      </c>
      <c r="B202" s="17"/>
      <c r="C202" s="17"/>
      <c r="D202" s="17"/>
      <c r="E202" s="17"/>
      <c r="F202" s="17"/>
      <c r="G202" s="38" t="s">
        <v>4733</v>
      </c>
      <c r="H202" s="38" t="s">
        <v>624</v>
      </c>
      <c r="I202" s="276"/>
      <c r="J202" s="294" t="e">
        <f>IF(ISBLANK(HLOOKUP(CaseName,CaseData,MATCH($G202,cases!$G$4:$G$2458,0),FALSE)),"",HLOOKUP(CaseName,CaseData,MATCH($G202,cases!$G$4:$G$2458,0),FALSE))</f>
        <v>#N/A</v>
      </c>
      <c r="K202" s="617">
        <f>L219+L171/L28</f>
        <v>2.8742283951576208E-9</v>
      </c>
      <c r="L202" s="298">
        <f t="shared" si="10"/>
        <v>2.8742283951576208E-9</v>
      </c>
      <c r="M202" s="17" t="s">
        <v>1048</v>
      </c>
      <c r="N202" s="17"/>
    </row>
    <row r="203" spans="1:14" ht="12.75" customHeight="1" x14ac:dyDescent="0.2">
      <c r="A203" s="38" t="s">
        <v>1334</v>
      </c>
      <c r="B203" s="17"/>
      <c r="C203" s="17"/>
      <c r="D203" s="17"/>
      <c r="E203" s="17"/>
      <c r="F203" s="17"/>
      <c r="G203" s="38" t="s">
        <v>4734</v>
      </c>
      <c r="H203" s="38" t="s">
        <v>624</v>
      </c>
      <c r="I203" s="276"/>
      <c r="J203" s="294" t="e">
        <f>IF(ISBLANK(HLOOKUP(CaseName,CaseData,MATCH($G203,cases!$G$4:$G$2458,0),FALSE)),"",HLOOKUP(CaseName,CaseData,MATCH($G203,cases!$G$4:$G$2458,0),FALSE))</f>
        <v>#N/A</v>
      </c>
      <c r="K203" s="617">
        <f>L220+L172/L29</f>
        <v>9.1333333333739463E-10</v>
      </c>
      <c r="L203" s="298">
        <f t="shared" si="10"/>
        <v>9.1333333333739463E-10</v>
      </c>
      <c r="M203" s="17" t="s">
        <v>1048</v>
      </c>
      <c r="N203" s="17"/>
    </row>
    <row r="204" spans="1:14" ht="12.75" customHeight="1" x14ac:dyDescent="0.2">
      <c r="A204" s="38" t="s">
        <v>1336</v>
      </c>
      <c r="B204" s="17"/>
      <c r="C204" s="17"/>
      <c r="D204" s="17"/>
      <c r="E204" s="17"/>
      <c r="F204" s="17"/>
      <c r="G204" s="38" t="s">
        <v>4735</v>
      </c>
      <c r="H204" s="38" t="s">
        <v>624</v>
      </c>
      <c r="I204" s="276"/>
      <c r="J204" s="294" t="e">
        <f>IF(ISBLANK(HLOOKUP(CaseName,CaseData,MATCH($G204,cases!$G$4:$G$2458,0),FALSE)),"",HLOOKUP(CaseName,CaseData,MATCH($G204,cases!$G$4:$G$2458,0),FALSE))</f>
        <v>#N/A</v>
      </c>
      <c r="K204" s="617">
        <f>L221+L224*RAINrate.C/L97*L227/L30</f>
        <v>3.1465974921184272E-11</v>
      </c>
      <c r="L204" s="298">
        <f t="shared" si="10"/>
        <v>3.1465974921184272E-11</v>
      </c>
      <c r="M204" s="17" t="s">
        <v>1048</v>
      </c>
      <c r="N204" s="17"/>
    </row>
    <row r="205" spans="1:14" ht="12.75" customHeight="1" x14ac:dyDescent="0.2">
      <c r="A205" s="38" t="s">
        <v>1336</v>
      </c>
      <c r="B205" s="17"/>
      <c r="C205" s="17"/>
      <c r="D205" s="17"/>
      <c r="E205" s="17"/>
      <c r="F205" s="17"/>
      <c r="G205" s="38" t="s">
        <v>4736</v>
      </c>
      <c r="H205" s="38" t="s">
        <v>624</v>
      </c>
      <c r="I205" s="276"/>
      <c r="J205" s="294" t="e">
        <f>IF(ISBLANK(HLOOKUP(CaseName,CaseData,MATCH($G205,cases!$G$4:$G$2458,0),FALSE)),"",HLOOKUP(CaseName,CaseData,MATCH($G205,cases!$G$4:$G$2458,0),FALSE))</f>
        <v>#N/A</v>
      </c>
      <c r="K205" s="617">
        <f>L222+L225*RAINrate.C/L102*L228/L31</f>
        <v>1.4318725114625945E-11</v>
      </c>
      <c r="L205" s="298">
        <f t="shared" si="10"/>
        <v>1.4318725114625945E-11</v>
      </c>
      <c r="M205" s="17" t="s">
        <v>1048</v>
      </c>
      <c r="N205" s="17"/>
    </row>
    <row r="206" spans="1:14" ht="12.75" customHeight="1" x14ac:dyDescent="0.2">
      <c r="A206" s="38" t="s">
        <v>1336</v>
      </c>
      <c r="B206" s="17"/>
      <c r="C206" s="17"/>
      <c r="D206" s="17"/>
      <c r="E206" s="17"/>
      <c r="F206" s="17"/>
      <c r="G206" s="38" t="s">
        <v>4737</v>
      </c>
      <c r="H206" s="38" t="s">
        <v>624</v>
      </c>
      <c r="I206" s="276"/>
      <c r="J206" s="294" t="e">
        <f>IF(ISBLANK(HLOOKUP(CaseName,CaseData,MATCH($G206,cases!$G$4:$G$2458,0),FALSE)),"",HLOOKUP(CaseName,CaseData,MATCH($G206,cases!$G$4:$G$2458,0),FALSE))</f>
        <v>#N/A</v>
      </c>
      <c r="K206" s="617">
        <f>L223+L226*RAINrate.C/L107*L229/L32</f>
        <v>3.1465974921184272E-11</v>
      </c>
      <c r="L206" s="298">
        <f t="shared" si="10"/>
        <v>3.1465974921184272E-11</v>
      </c>
      <c r="M206" s="17" t="s">
        <v>1048</v>
      </c>
      <c r="N206" s="17"/>
    </row>
    <row r="207" spans="1:14" ht="12.75" customHeight="1" x14ac:dyDescent="0.2">
      <c r="A207" s="38"/>
      <c r="B207" s="38" t="s">
        <v>1342</v>
      </c>
      <c r="C207" s="146"/>
      <c r="D207" s="17"/>
      <c r="E207" s="17"/>
      <c r="F207" s="17"/>
      <c r="G207" s="146" t="s">
        <v>2186</v>
      </c>
      <c r="H207" s="38" t="s">
        <v>624</v>
      </c>
      <c r="I207" s="281"/>
      <c r="J207" s="294" t="str">
        <f>IF(ISBLANK(HLOOKUP(CaseName,CaseData,MATCH($G207,cases!$G$4:$G$2458,0),FALSE)),"",HLOOKUP(CaseName,CaseData,MATCH($G207,cases!$G$4:$G$2458,0),FALSE))</f>
        <v/>
      </c>
      <c r="K207" s="428">
        <f>LN(2)/(60*365*24*3600)</f>
        <v>3.663258818281463E-10</v>
      </c>
      <c r="L207" s="298">
        <f t="shared" si="10"/>
        <v>3.663258818281463E-10</v>
      </c>
      <c r="M207" s="38" t="s">
        <v>1048</v>
      </c>
      <c r="N207" s="17"/>
    </row>
    <row r="208" spans="1:14" ht="12.75" customHeight="1" x14ac:dyDescent="0.2">
      <c r="A208" s="38"/>
      <c r="B208" s="38" t="s">
        <v>1344</v>
      </c>
      <c r="C208" s="17"/>
      <c r="D208" s="17"/>
      <c r="E208" s="17"/>
      <c r="F208" s="17"/>
      <c r="G208" s="38" t="s">
        <v>2187</v>
      </c>
      <c r="H208" s="38" t="s">
        <v>624</v>
      </c>
      <c r="I208" s="281"/>
      <c r="J208" s="294" t="str">
        <f>IF(ISBLANK(HLOOKUP(CaseName,CaseData,MATCH($G208,cases!$G$4:$G$2458,0),FALSE)),"",HLOOKUP(CaseName,CaseData,MATCH($G208,cases!$G$4:$G$2458,0),FALSE))</f>
        <v/>
      </c>
      <c r="K208" s="428">
        <f>L70*kdegG.air*(L209/C.OHrad)*L210</f>
        <v>3.8083662994282794E-33</v>
      </c>
      <c r="L208" s="298">
        <f t="shared" si="10"/>
        <v>3.8083662994282794E-33</v>
      </c>
      <c r="M208" s="38" t="s">
        <v>1048</v>
      </c>
      <c r="N208" s="17"/>
    </row>
    <row r="209" spans="1:14" ht="12.75" customHeight="1" x14ac:dyDescent="0.2">
      <c r="A209" s="146"/>
      <c r="B209" s="146"/>
      <c r="C209" s="38" t="s">
        <v>2188</v>
      </c>
      <c r="D209" s="17"/>
      <c r="E209" s="17"/>
      <c r="F209" s="17"/>
      <c r="G209" s="38" t="s">
        <v>2189</v>
      </c>
      <c r="H209" s="38" t="s">
        <v>627</v>
      </c>
      <c r="I209" s="281"/>
      <c r="J209" s="294" t="str">
        <f>IF(ISBLANK(HLOOKUP(CaseName,CaseData,MATCH($G209,cases!$G$4:$G$2458,0),FALSE)),"",HLOOKUP(CaseName,CaseData,MATCH($G209,cases!$G$4:$G$2458,0),FALSE))</f>
        <v/>
      </c>
      <c r="K209" s="428">
        <v>500000</v>
      </c>
      <c r="L209" s="298">
        <f t="shared" si="10"/>
        <v>500000</v>
      </c>
      <c r="M209" s="38" t="s">
        <v>1348</v>
      </c>
      <c r="N209" s="17"/>
    </row>
    <row r="210" spans="1:14" ht="12.75" customHeight="1" x14ac:dyDescent="0.2">
      <c r="A210" s="146"/>
      <c r="B210" s="146"/>
      <c r="C210" s="38" t="s">
        <v>2190</v>
      </c>
      <c r="D210" s="17"/>
      <c r="E210" s="17"/>
      <c r="F210" s="17"/>
      <c r="G210" s="38" t="s">
        <v>2191</v>
      </c>
      <c r="H210" s="38" t="s">
        <v>296</v>
      </c>
      <c r="I210" s="281"/>
      <c r="J210" s="294" t="str">
        <f>IF(ISBLANK(HLOOKUP(CaseName,CaseData,MATCH($G210,cases!$G$4:$G$2458,0),FALSE)),"",HLOOKUP(CaseName,CaseData,MATCH($G210,cases!$G$4:$G$2458,0),FALSE))</f>
        <v/>
      </c>
      <c r="K210" s="428">
        <f>EXP((Ea.OHrad/8.314)*(TEMP.C-298)/298^2)</f>
        <v>0.89974332049812744</v>
      </c>
      <c r="L210" s="298">
        <f t="shared" si="10"/>
        <v>0.89974332049812744</v>
      </c>
      <c r="M210" s="38" t="s">
        <v>297</v>
      </c>
      <c r="N210" s="17"/>
    </row>
    <row r="211" spans="1:14" ht="12.75" customHeight="1" x14ac:dyDescent="0.2">
      <c r="A211" s="38"/>
      <c r="B211" s="38" t="s">
        <v>1351</v>
      </c>
      <c r="C211" s="17"/>
      <c r="D211" s="17"/>
      <c r="E211" s="17"/>
      <c r="F211" s="17"/>
      <c r="G211" s="38" t="s">
        <v>2192</v>
      </c>
      <c r="H211" s="38" t="s">
        <v>624</v>
      </c>
      <c r="I211" s="274"/>
      <c r="J211" s="294" t="str">
        <f>IF(ISBLANK(HLOOKUP(CaseName,CaseData,MATCH($G211,cases!$G$4:$G$2458,0),FALSE)),"",HLOOKUP(CaseName,CaseData,MATCH($G211,cases!$G$4:$G$2458,0),FALSE))</f>
        <v/>
      </c>
      <c r="K211" s="428">
        <f>kdeg.water*L217*(L214/BACT.test)*L76</f>
        <v>4.0601657370321782E-21</v>
      </c>
      <c r="L211" s="298">
        <f t="shared" si="10"/>
        <v>4.0601657370321782E-21</v>
      </c>
      <c r="M211" s="38" t="s">
        <v>1048</v>
      </c>
      <c r="N211" s="17"/>
    </row>
    <row r="212" spans="1:14" ht="12.75" customHeight="1" x14ac:dyDescent="0.2">
      <c r="A212" s="38"/>
      <c r="B212" s="38" t="s">
        <v>1353</v>
      </c>
      <c r="C212" s="17"/>
      <c r="D212" s="17"/>
      <c r="E212" s="17"/>
      <c r="F212" s="17"/>
      <c r="G212" s="38" t="s">
        <v>2193</v>
      </c>
      <c r="H212" s="38" t="s">
        <v>624</v>
      </c>
      <c r="I212" s="281"/>
      <c r="J212" s="294" t="str">
        <f>IF(ISBLANK(HLOOKUP(CaseName,CaseData,MATCH($G212,cases!$G$4:$G$2458,0),FALSE)),"",HLOOKUP(CaseName,CaseData,MATCH($G212,cases!$G$4:$G$2458,0),FALSE))</f>
        <v/>
      </c>
      <c r="K212" s="428">
        <f>kdeg.water*L217*(L215/BACT.test)*L80</f>
        <v>4.0542886053799232E-21</v>
      </c>
      <c r="L212" s="298">
        <f t="shared" si="10"/>
        <v>4.0542886053799232E-21</v>
      </c>
      <c r="M212" s="38" t="s">
        <v>1048</v>
      </c>
      <c r="N212" s="17"/>
    </row>
    <row r="213" spans="1:14" ht="12.75" customHeight="1" x14ac:dyDescent="0.2">
      <c r="A213" s="38"/>
      <c r="B213" s="38" t="s">
        <v>1355</v>
      </c>
      <c r="C213" s="17"/>
      <c r="D213" s="17"/>
      <c r="E213" s="17"/>
      <c r="F213" s="17"/>
      <c r="G213" s="38" t="s">
        <v>2194</v>
      </c>
      <c r="H213" s="38" t="s">
        <v>624</v>
      </c>
      <c r="I213" s="281"/>
      <c r="J213" s="294" t="str">
        <f>IF(ISBLANK(HLOOKUP(CaseName,CaseData,MATCH($G213,cases!$G$4:$G$2458,0),FALSE)),"",HLOOKUP(CaseName,CaseData,MATCH($G213,cases!$G$4:$G$2458,0),FALSE))</f>
        <v/>
      </c>
      <c r="K213" s="428">
        <f>kdeg.water*L217*(L216/BACT.test)*L84</f>
        <v>4.0583399769977389E-21</v>
      </c>
      <c r="L213" s="298">
        <f t="shared" si="10"/>
        <v>4.0583399769977389E-21</v>
      </c>
      <c r="M213" s="38" t="s">
        <v>1048</v>
      </c>
      <c r="N213" s="17"/>
    </row>
    <row r="214" spans="1:14" ht="12.75" customHeight="1" x14ac:dyDescent="0.2">
      <c r="A214" s="38"/>
      <c r="B214" s="38"/>
      <c r="C214" s="38" t="s">
        <v>1357</v>
      </c>
      <c r="D214" s="17"/>
      <c r="E214" s="17"/>
      <c r="F214" s="17"/>
      <c r="G214" s="146" t="s">
        <v>2195</v>
      </c>
      <c r="H214" s="38" t="s">
        <v>1359</v>
      </c>
      <c r="I214" s="274"/>
      <c r="J214" s="294" t="str">
        <f>IF(ISBLANK(HLOOKUP(CaseName,CaseData,MATCH($G214,cases!$G$4:$G$2458,0),FALSE)),"",HLOOKUP(CaseName,CaseData,MATCH($G214,cases!$G$4:$G$2458,0),FALSE))</f>
        <v/>
      </c>
      <c r="K214" s="428">
        <v>40000</v>
      </c>
      <c r="L214" s="298">
        <f t="shared" si="10"/>
        <v>40000</v>
      </c>
      <c r="M214" s="38" t="s">
        <v>1360</v>
      </c>
      <c r="N214" s="17"/>
    </row>
    <row r="215" spans="1:14" ht="12.75" customHeight="1" x14ac:dyDescent="0.2">
      <c r="A215" s="38"/>
      <c r="B215" s="38"/>
      <c r="C215" s="38" t="s">
        <v>1361</v>
      </c>
      <c r="D215" s="17"/>
      <c r="E215" s="17"/>
      <c r="F215" s="17"/>
      <c r="G215" s="146" t="s">
        <v>2196</v>
      </c>
      <c r="H215" s="38" t="s">
        <v>1359</v>
      </c>
      <c r="I215" s="281"/>
      <c r="J215" s="294" t="str">
        <f>IF(ISBLANK(HLOOKUP(CaseName,CaseData,MATCH($G215,cases!$G$4:$G$2458,0),FALSE)),"",HLOOKUP(CaseName,CaseData,MATCH($G215,cases!$G$4:$G$2458,0),FALSE))</f>
        <v/>
      </c>
      <c r="K215" s="428">
        <v>40000</v>
      </c>
      <c r="L215" s="298">
        <f t="shared" si="10"/>
        <v>40000</v>
      </c>
      <c r="M215" s="38" t="s">
        <v>645</v>
      </c>
      <c r="N215" s="17"/>
    </row>
    <row r="216" spans="1:14" ht="12.75" customHeight="1" x14ac:dyDescent="0.2">
      <c r="A216" s="38"/>
      <c r="B216" s="38"/>
      <c r="C216" s="38" t="s">
        <v>1363</v>
      </c>
      <c r="D216" s="17"/>
      <c r="E216" s="17"/>
      <c r="F216" s="17"/>
      <c r="G216" s="146" t="s">
        <v>2197</v>
      </c>
      <c r="H216" s="38" t="s">
        <v>1359</v>
      </c>
      <c r="I216" s="281"/>
      <c r="J216" s="294" t="str">
        <f>IF(ISBLANK(HLOOKUP(CaseName,CaseData,MATCH($G216,cases!$G$4:$G$2458,0),FALSE)),"",HLOOKUP(CaseName,CaseData,MATCH($G216,cases!$G$4:$G$2458,0),FALSE))</f>
        <v/>
      </c>
      <c r="K216" s="428">
        <v>40000</v>
      </c>
      <c r="L216" s="298">
        <f t="shared" si="10"/>
        <v>40000</v>
      </c>
      <c r="M216" s="38" t="s">
        <v>645</v>
      </c>
      <c r="N216" s="17"/>
    </row>
    <row r="217" spans="1:14" ht="12.75" customHeight="1" x14ac:dyDescent="0.2">
      <c r="A217" s="146"/>
      <c r="B217" s="146"/>
      <c r="C217" s="38" t="s">
        <v>1365</v>
      </c>
      <c r="D217" s="17"/>
      <c r="E217" s="17"/>
      <c r="F217" s="17"/>
      <c r="G217" s="38" t="s">
        <v>2198</v>
      </c>
      <c r="H217" s="38" t="s">
        <v>296</v>
      </c>
      <c r="I217" s="281"/>
      <c r="J217" s="294" t="str">
        <f>IF(ISBLANK(HLOOKUP(CaseName,CaseData,MATCH($G217,cases!$G$4:$G$2458,0),FALSE)),"",HLOOKUP(CaseName,CaseData,MATCH($G217,cases!$G$4:$G$2458,0),FALSE))</f>
        <v/>
      </c>
      <c r="K217" s="428">
        <f>Q.10^((TEMP.C-298)/10)</f>
        <v>0.40612619817811774</v>
      </c>
      <c r="L217" s="298">
        <f t="shared" si="10"/>
        <v>0.40612619817811774</v>
      </c>
      <c r="M217" s="38" t="s">
        <v>297</v>
      </c>
      <c r="N217" s="17"/>
    </row>
    <row r="218" spans="1:14" ht="12.75" customHeight="1" x14ac:dyDescent="0.2">
      <c r="A218" s="146"/>
      <c r="B218" s="38" t="s">
        <v>2199</v>
      </c>
      <c r="C218" s="17"/>
      <c r="D218" s="17"/>
      <c r="E218" s="17"/>
      <c r="F218" s="17"/>
      <c r="G218" s="38" t="s">
        <v>2200</v>
      </c>
      <c r="H218" s="38" t="s">
        <v>624</v>
      </c>
      <c r="I218" s="281"/>
      <c r="J218" s="294" t="str">
        <f>IF(ISBLANK(HLOOKUP(CaseName,CaseData,MATCH($G218,cases!$G$4:$G$2458,0),FALSE)),"",HLOOKUP(CaseName,CaseData,MATCH($G218,cases!$G$4:$G$2458,0),FALSE))</f>
        <v/>
      </c>
      <c r="K218" s="436">
        <f>L217*kdeg.sed</f>
        <v>4.0612619817811774E-21</v>
      </c>
      <c r="L218" s="298">
        <f t="shared" si="10"/>
        <v>4.0612619817811774E-21</v>
      </c>
      <c r="M218" s="38" t="s">
        <v>1048</v>
      </c>
      <c r="N218" s="17"/>
    </row>
    <row r="219" spans="1:14" ht="12.75" customHeight="1" x14ac:dyDescent="0.2">
      <c r="A219" s="38"/>
      <c r="B219" s="38" t="s">
        <v>1369</v>
      </c>
      <c r="C219" s="17"/>
      <c r="D219" s="17"/>
      <c r="E219" s="17"/>
      <c r="F219" s="17"/>
      <c r="G219" s="38" t="s">
        <v>2201</v>
      </c>
      <c r="H219" s="38" t="s">
        <v>624</v>
      </c>
      <c r="I219" s="281"/>
      <c r="J219" s="294" t="str">
        <f>IF(ISBLANK(HLOOKUP(CaseName,CaseData,MATCH($G219,cases!$G$4:$G$2458,0),FALSE)),"",HLOOKUP(CaseName,CaseData,MATCH($G219,cases!$G$4:$G$2458,0),FALSE))</f>
        <v/>
      </c>
      <c r="K219" s="436">
        <f>L217*kdeg.sed</f>
        <v>4.0612619817811774E-21</v>
      </c>
      <c r="L219" s="298">
        <f t="shared" si="10"/>
        <v>4.0612619817811774E-21</v>
      </c>
      <c r="M219" s="38" t="s">
        <v>1048</v>
      </c>
      <c r="N219" s="17"/>
    </row>
    <row r="220" spans="1:14" ht="12.75" customHeight="1" x14ac:dyDescent="0.2">
      <c r="A220" s="38"/>
      <c r="B220" s="38" t="s">
        <v>1371</v>
      </c>
      <c r="C220" s="17"/>
      <c r="D220" s="17"/>
      <c r="E220" s="17"/>
      <c r="F220" s="17"/>
      <c r="G220" s="38" t="s">
        <v>2202</v>
      </c>
      <c r="H220" s="38" t="s">
        <v>624</v>
      </c>
      <c r="I220" s="281"/>
      <c r="J220" s="294" t="str">
        <f>IF(ISBLANK(HLOOKUP(CaseName,CaseData,MATCH($G220,cases!$G$4:$G$2458,0),FALSE)),"",HLOOKUP(CaseName,CaseData,MATCH($G220,cases!$G$4:$G$2458,0),FALSE))</f>
        <v/>
      </c>
      <c r="K220" s="436">
        <f>L217*kdeg.sed</f>
        <v>4.0612619817811774E-21</v>
      </c>
      <c r="L220" s="298">
        <f t="shared" si="10"/>
        <v>4.0612619817811774E-21</v>
      </c>
      <c r="M220" s="38" t="s">
        <v>1048</v>
      </c>
      <c r="N220" s="17"/>
    </row>
    <row r="221" spans="1:14" ht="12.75" customHeight="1" x14ac:dyDescent="0.2">
      <c r="A221" s="38"/>
      <c r="B221" s="38" t="s">
        <v>1373</v>
      </c>
      <c r="C221" s="17"/>
      <c r="D221" s="17"/>
      <c r="E221" s="17"/>
      <c r="F221" s="17"/>
      <c r="G221" s="38" t="s">
        <v>2203</v>
      </c>
      <c r="H221" s="38" t="s">
        <v>624</v>
      </c>
      <c r="I221" s="281"/>
      <c r="J221" s="294" t="str">
        <f>IF(ISBLANK(HLOOKUP(CaseName,CaseData,MATCH($G221,cases!$G$4:$G$2458,0),FALSE)),"",HLOOKUP(CaseName,CaseData,MATCH($G221,cases!$G$4:$G$2458,0),FALSE))</f>
        <v/>
      </c>
      <c r="K221" s="436">
        <f>L217*kdeg.soil</f>
        <v>4.0612619817811774E-21</v>
      </c>
      <c r="L221" s="298">
        <f t="shared" si="10"/>
        <v>4.0612619817811774E-21</v>
      </c>
      <c r="M221" s="38" t="s">
        <v>1048</v>
      </c>
      <c r="N221" s="17"/>
    </row>
    <row r="222" spans="1:14" ht="12.75" customHeight="1" x14ac:dyDescent="0.2">
      <c r="A222" s="38"/>
      <c r="B222" s="38" t="s">
        <v>1375</v>
      </c>
      <c r="C222" s="17"/>
      <c r="D222" s="17"/>
      <c r="E222" s="17"/>
      <c r="F222" s="17"/>
      <c r="G222" s="38" t="s">
        <v>2204</v>
      </c>
      <c r="H222" s="38" t="s">
        <v>624</v>
      </c>
      <c r="I222" s="281"/>
      <c r="J222" s="294" t="str">
        <f>IF(ISBLANK(HLOOKUP(CaseName,CaseData,MATCH($G222,cases!$G$4:$G$2458,0),FALSE)),"",HLOOKUP(CaseName,CaseData,MATCH($G222,cases!$G$4:$G$2458,0),FALSE))</f>
        <v/>
      </c>
      <c r="K222" s="436">
        <f>L217*kdeg.soil</f>
        <v>4.0612619817811774E-21</v>
      </c>
      <c r="L222" s="298">
        <f t="shared" si="10"/>
        <v>4.0612619817811774E-21</v>
      </c>
      <c r="M222" s="38" t="s">
        <v>1048</v>
      </c>
      <c r="N222" s="17"/>
    </row>
    <row r="223" spans="1:14" ht="12.75" customHeight="1" x14ac:dyDescent="0.2">
      <c r="A223" s="38"/>
      <c r="B223" s="38" t="s">
        <v>1377</v>
      </c>
      <c r="C223" s="17"/>
      <c r="D223" s="17"/>
      <c r="E223" s="17"/>
      <c r="F223" s="17"/>
      <c r="G223" s="38" t="s">
        <v>2205</v>
      </c>
      <c r="H223" s="38" t="s">
        <v>624</v>
      </c>
      <c r="I223" s="281"/>
      <c r="J223" s="294" t="str">
        <f>IF(ISBLANK(HLOOKUP(CaseName,CaseData,MATCH($G223,cases!$G$4:$G$2458,0),FALSE)),"",HLOOKUP(CaseName,CaseData,MATCH($G223,cases!$G$4:$G$2458,0),FALSE))</f>
        <v/>
      </c>
      <c r="K223" s="436">
        <f>L217*kdeg.soil</f>
        <v>4.0612619817811774E-21</v>
      </c>
      <c r="L223" s="298">
        <f t="shared" si="10"/>
        <v>4.0612619817811774E-21</v>
      </c>
      <c r="M223" s="38" t="s">
        <v>1048</v>
      </c>
      <c r="N223" s="17"/>
    </row>
    <row r="224" spans="1:14" ht="12.75" customHeight="1" x14ac:dyDescent="0.2">
      <c r="A224" s="38"/>
      <c r="B224" s="38"/>
      <c r="C224" s="38" t="s">
        <v>1379</v>
      </c>
      <c r="D224" s="17"/>
      <c r="E224" s="17"/>
      <c r="F224" s="17"/>
      <c r="G224" s="146" t="s">
        <v>2206</v>
      </c>
      <c r="H224" s="38" t="s">
        <v>296</v>
      </c>
      <c r="I224" s="281"/>
      <c r="J224" s="294" t="str">
        <f>IF(ISBLANK(HLOOKUP(CaseName,CaseData,MATCH($G224,cases!$G$4:$G$2458,0),FALSE)),"",HLOOKUP(CaseName,CaseData,MATCH($G224,cases!$G$4:$G$2458,0),FALSE))</f>
        <v/>
      </c>
      <c r="K224" s="428">
        <f>FRACinf.C</f>
        <v>0.25</v>
      </c>
      <c r="L224" s="298">
        <f t="shared" si="10"/>
        <v>0.25</v>
      </c>
      <c r="M224" s="38" t="s">
        <v>297</v>
      </c>
      <c r="N224" s="17"/>
    </row>
    <row r="225" spans="1:16" ht="12.75" customHeight="1" x14ac:dyDescent="0.2">
      <c r="A225" s="38"/>
      <c r="B225" s="38"/>
      <c r="C225" s="38" t="s">
        <v>1381</v>
      </c>
      <c r="D225" s="17"/>
      <c r="E225" s="17"/>
      <c r="F225" s="17"/>
      <c r="G225" s="146" t="s">
        <v>2207</v>
      </c>
      <c r="H225" s="38" t="s">
        <v>296</v>
      </c>
      <c r="I225" s="281"/>
      <c r="J225" s="294" t="str">
        <f>IF(ISBLANK(HLOOKUP(CaseName,CaseData,MATCH($G225,cases!$G$4:$G$2458,0),FALSE)),"",HLOOKUP(CaseName,CaseData,MATCH($G225,cases!$G$4:$G$2458,0),FALSE))</f>
        <v/>
      </c>
      <c r="K225" s="428">
        <f>FRACinf.C</f>
        <v>0.25</v>
      </c>
      <c r="L225" s="298">
        <f t="shared" si="10"/>
        <v>0.25</v>
      </c>
      <c r="M225" s="38" t="s">
        <v>297</v>
      </c>
      <c r="N225" s="17"/>
      <c r="O225" s="11"/>
      <c r="P225" s="11"/>
    </row>
    <row r="226" spans="1:16" ht="12.75" customHeight="1" x14ac:dyDescent="0.2">
      <c r="A226" s="17"/>
      <c r="B226" s="17"/>
      <c r="C226" s="38" t="s">
        <v>1383</v>
      </c>
      <c r="D226" s="17"/>
      <c r="E226" s="17"/>
      <c r="F226" s="17"/>
      <c r="G226" s="146" t="s">
        <v>2208</v>
      </c>
      <c r="H226" s="38" t="s">
        <v>296</v>
      </c>
      <c r="I226" s="281"/>
      <c r="J226" s="294" t="str">
        <f>IF(ISBLANK(HLOOKUP(CaseName,CaseData,MATCH($G226,cases!$G$4:$G$2458,0),FALSE)),"",HLOOKUP(CaseName,CaseData,MATCH($G226,cases!$G$4:$G$2458,0),FALSE))</f>
        <v/>
      </c>
      <c r="K226" s="428">
        <f>FRACinf.C</f>
        <v>0.25</v>
      </c>
      <c r="L226" s="298">
        <f t="shared" si="10"/>
        <v>0.25</v>
      </c>
      <c r="M226" s="38" t="s">
        <v>297</v>
      </c>
      <c r="N226" s="17"/>
      <c r="O226" s="11"/>
      <c r="P226" s="11"/>
    </row>
    <row r="227" spans="1:16" ht="12.75" customHeight="1" x14ac:dyDescent="0.2">
      <c r="A227" s="38"/>
      <c r="B227" s="38"/>
      <c r="C227" s="17" t="s">
        <v>1236</v>
      </c>
      <c r="D227" s="17"/>
      <c r="E227" s="146"/>
      <c r="F227" s="146"/>
      <c r="G227" s="38" t="s">
        <v>2209</v>
      </c>
      <c r="H227" s="17" t="s">
        <v>296</v>
      </c>
      <c r="I227" s="276"/>
      <c r="J227" s="294" t="str">
        <f>IF(ISBLANK(HLOOKUP(CaseName,CaseData,MATCH($G227,cases!$G$4:$G$2458,0),FALSE)),"",HLOOKUP(CaseName,CaseData,MATCH($G227,cases!$G$4:$G$2458,0),FALSE))</f>
        <v/>
      </c>
      <c r="K227" s="617">
        <f>(EXP((-1/0.1)*0.5)*(1/0.1)*L30/(1-EXP((-1/0.1)*L30)))</f>
        <v>8.5622262133111474E-3</v>
      </c>
      <c r="L227" s="298">
        <f t="shared" si="10"/>
        <v>8.5622262133111474E-3</v>
      </c>
      <c r="M227" s="17" t="s">
        <v>297</v>
      </c>
      <c r="N227" s="17" t="s">
        <v>1238</v>
      </c>
      <c r="O227" s="11"/>
      <c r="P227" s="11"/>
    </row>
    <row r="228" spans="1:16" ht="12.75" customHeight="1" x14ac:dyDescent="0.2">
      <c r="A228" s="38"/>
      <c r="B228" s="38"/>
      <c r="C228" s="17" t="s">
        <v>1236</v>
      </c>
      <c r="D228" s="17"/>
      <c r="E228" s="146"/>
      <c r="F228" s="146"/>
      <c r="G228" s="38" t="s">
        <v>2210</v>
      </c>
      <c r="H228" s="17" t="s">
        <v>296</v>
      </c>
      <c r="I228" s="276"/>
      <c r="J228" s="294" t="str">
        <f>IF(ISBLANK(HLOOKUP(CaseName,CaseData,MATCH($G228,cases!$G$4:$G$2458,0),FALSE)),"",HLOOKUP(CaseName,CaseData,MATCH($G228,cases!$G$4:$G$2458,0),FALSE))</f>
        <v/>
      </c>
      <c r="K228" s="617">
        <f>(EXP((-1/0.1)*0.5)*(1/0.1)*L31/(1-EXP((-1/0.1)*L31)))</f>
        <v>1.5585109160709019E-2</v>
      </c>
      <c r="L228" s="298">
        <f t="shared" si="10"/>
        <v>1.5585109160709019E-2</v>
      </c>
      <c r="M228" s="17" t="s">
        <v>297</v>
      </c>
      <c r="N228" s="17" t="s">
        <v>1238</v>
      </c>
      <c r="O228" s="11"/>
      <c r="P228" s="11"/>
    </row>
    <row r="229" spans="1:16" ht="12.75" customHeight="1" x14ac:dyDescent="0.2">
      <c r="A229" s="38"/>
      <c r="B229" s="38"/>
      <c r="C229" s="17" t="s">
        <v>1236</v>
      </c>
      <c r="D229" s="17"/>
      <c r="E229" s="146"/>
      <c r="F229" s="146"/>
      <c r="G229" s="38" t="s">
        <v>2211</v>
      </c>
      <c r="H229" s="17" t="s">
        <v>296</v>
      </c>
      <c r="I229" s="276"/>
      <c r="J229" s="294" t="str">
        <f>IF(ISBLANK(HLOOKUP(CaseName,CaseData,MATCH($G229,cases!$G$4:$G$2458,0),FALSE)),"",HLOOKUP(CaseName,CaseData,MATCH($G229,cases!$G$4:$G$2458,0),FALSE))</f>
        <v/>
      </c>
      <c r="K229" s="617">
        <f>(EXP((-1/0.1)*0.5)*(1/0.1)*L32/(1-EXP((-1/0.1)*L32)))</f>
        <v>8.5622262133111474E-3</v>
      </c>
      <c r="L229" s="298">
        <f t="shared" si="10"/>
        <v>8.5622262133111474E-3</v>
      </c>
      <c r="M229" s="17" t="s">
        <v>297</v>
      </c>
      <c r="N229" s="17" t="s">
        <v>1238</v>
      </c>
      <c r="O229" s="11"/>
      <c r="P229" s="11"/>
    </row>
    <row r="230" spans="1:16" ht="12.75" customHeight="1" x14ac:dyDescent="0.2">
      <c r="A230" s="168"/>
      <c r="B230" s="168"/>
      <c r="C230" s="168"/>
      <c r="D230" s="168"/>
      <c r="E230" s="168"/>
      <c r="F230" s="168"/>
      <c r="G230" s="168"/>
      <c r="H230" s="168"/>
      <c r="I230" s="264"/>
      <c r="J230" s="164"/>
      <c r="K230" s="297"/>
      <c r="L230" s="297"/>
      <c r="M230" s="168"/>
      <c r="N230" s="168"/>
      <c r="O230" s="11"/>
      <c r="P230" s="11"/>
    </row>
    <row r="232" spans="1:16" s="413" customFormat="1" ht="12.75" customHeight="1" x14ac:dyDescent="0.2">
      <c r="A232" s="631" t="s">
        <v>1389</v>
      </c>
      <c r="G232" s="631" t="s">
        <v>263</v>
      </c>
      <c r="H232" s="631" t="s">
        <v>279</v>
      </c>
      <c r="I232" s="413" t="s">
        <v>264</v>
      </c>
      <c r="J232" s="498" t="s">
        <v>280</v>
      </c>
      <c r="K232" s="648" t="s">
        <v>265</v>
      </c>
      <c r="L232" s="649" t="s">
        <v>266</v>
      </c>
      <c r="N232" s="631" t="s">
        <v>267</v>
      </c>
      <c r="O232" s="209" t="s">
        <v>1390</v>
      </c>
      <c r="P232" s="413" t="s">
        <v>1391</v>
      </c>
    </row>
    <row r="233" spans="1:16" s="410" customFormat="1" ht="12.75" customHeight="1" x14ac:dyDescent="0.2">
      <c r="A233" s="410" t="s">
        <v>1392</v>
      </c>
      <c r="G233" s="655"/>
      <c r="H233" s="655"/>
      <c r="J233" s="657"/>
      <c r="K233" s="658"/>
      <c r="L233" s="659"/>
      <c r="O233" s="417"/>
    </row>
    <row r="234" spans="1:16" customFormat="1" ht="12.75" customHeight="1" x14ac:dyDescent="0.2">
      <c r="A234" s="567" t="s">
        <v>1393</v>
      </c>
      <c r="B234" s="567"/>
      <c r="C234" s="567"/>
      <c r="D234" s="567"/>
      <c r="E234" s="567"/>
      <c r="F234" s="567"/>
      <c r="G234" s="567" t="s">
        <v>2212</v>
      </c>
      <c r="H234" s="568" t="s">
        <v>340</v>
      </c>
      <c r="I234" s="710"/>
      <c r="J234" s="294" t="str">
        <f>IF(ISBLANK(HLOOKUP(CaseName,CaseData,MATCH($G234,cases!$G$4:$G$2458,0),FALSE)),"",HLOOKUP(CaseName,CaseData,MATCH($G234,cases!$G$4:$G$2458,0),FALSE))</f>
        <v/>
      </c>
      <c r="K234" s="577">
        <f>L235+L239</f>
        <v>5.2255041078331695E-5</v>
      </c>
      <c r="L234" s="298">
        <f t="shared" ref="L234:L246" si="11">IF(ISBLANK(I234),IF(ISNUMBER(J234)=FALSE,K234,J234),I234)</f>
        <v>5.2255041078331695E-5</v>
      </c>
      <c r="M234" s="568" t="s">
        <v>340</v>
      </c>
      <c r="N234" s="567"/>
      <c r="O234" s="605">
        <v>2</v>
      </c>
      <c r="P234" s="567" t="s">
        <v>1395</v>
      </c>
    </row>
    <row r="235" spans="1:16" customFormat="1" ht="12.75" customHeight="1" x14ac:dyDescent="0.2">
      <c r="A235" s="567"/>
      <c r="B235" s="567" t="s">
        <v>1396</v>
      </c>
      <c r="C235" s="567"/>
      <c r="D235" s="567"/>
      <c r="E235" s="567"/>
      <c r="F235" s="567"/>
      <c r="G235" s="567" t="s">
        <v>2213</v>
      </c>
      <c r="H235" s="567" t="s">
        <v>340</v>
      </c>
      <c r="I235" s="710"/>
      <c r="J235" s="294" t="str">
        <f>IF(ISBLANK(HLOOKUP(CaseName,CaseData,MATCH($G235,cases!$G$4:$G$2458,0),FALSE)),"",HLOOKUP(CaseName,CaseData,MATCH($G235,cases!$G$4:$G$2458,0),FALSE))</f>
        <v/>
      </c>
      <c r="K235" s="577">
        <f>L238*(4*PI()*(RadNuc+RadS)*(L237+DiffS.aC))*input!L305</f>
        <v>4.9939710008047184E-6</v>
      </c>
      <c r="L235" s="298">
        <f t="shared" si="11"/>
        <v>4.9939710008047184E-6</v>
      </c>
      <c r="M235" s="567" t="s">
        <v>340</v>
      </c>
      <c r="N235" s="567"/>
      <c r="O235" s="605">
        <v>10</v>
      </c>
      <c r="P235" s="567" t="s">
        <v>915</v>
      </c>
    </row>
    <row r="236" spans="1:16" customFormat="1" ht="12.75" customHeight="1" x14ac:dyDescent="0.2">
      <c r="A236" s="567"/>
      <c r="B236" s="567"/>
      <c r="C236" s="567" t="s">
        <v>1403</v>
      </c>
      <c r="D236" s="567"/>
      <c r="E236" s="567"/>
      <c r="F236" s="567"/>
      <c r="G236" s="568" t="s">
        <v>2214</v>
      </c>
      <c r="H236" s="568" t="s">
        <v>873</v>
      </c>
      <c r="I236" s="710"/>
      <c r="J236" s="294" t="str">
        <f>IF(ISBLANK(HLOOKUP(CaseName,CaseData,MATCH($G236,cases!$G$4:$G$2458,0),FALSE)),"",HLOOKUP(CaseName,CaseData,MATCH($G236,cases!$G$4:$G$2458,0),FALSE))</f>
        <v/>
      </c>
      <c r="K236" s="577">
        <f>((8*kboltz*TEMP.C)/((PI()*(4/3*PI()*(RadNuc)^3)*RhoNuc)))^0.5</f>
        <v>1.3564947467752155</v>
      </c>
      <c r="L236" s="298">
        <f t="shared" si="11"/>
        <v>1.3564947467752155</v>
      </c>
      <c r="M236" s="568" t="s">
        <v>873</v>
      </c>
      <c r="N236" s="567"/>
      <c r="O236" s="605"/>
      <c r="P236" s="567"/>
    </row>
    <row r="237" spans="1:16" customFormat="1" ht="12.75" customHeight="1" x14ac:dyDescent="0.2">
      <c r="A237" s="567"/>
      <c r="B237" s="567"/>
      <c r="C237" s="567" t="s">
        <v>1401</v>
      </c>
      <c r="D237" s="567"/>
      <c r="E237" s="567"/>
      <c r="F237" s="567"/>
      <c r="G237" s="567" t="s">
        <v>2215</v>
      </c>
      <c r="H237" s="567" t="s">
        <v>907</v>
      </c>
      <c r="I237" s="710"/>
      <c r="J237" s="294" t="str">
        <f>IF(ISBLANK(HLOOKUP(CaseName,CaseData,MATCH($G237,cases!$G$4:$G$2458,0),FALSE)),"",HLOOKUP(CaseName,CaseData,MATCH($G237,cases!$G$4:$G$2458,0),FALSE))</f>
        <v/>
      </c>
      <c r="K237" s="577">
        <f>(kboltz*TEMP.C*(1+(66*10^-9/RadNuc)*(1.142+0.558*EXP(-0.999/(66*10^-9/RadNuc)))))/(6*PI()*DYNVISC.a*RadNuc)</f>
        <v>1.349690832911066E-8</v>
      </c>
      <c r="L237" s="298">
        <f t="shared" si="11"/>
        <v>1.349690832911066E-8</v>
      </c>
      <c r="M237" s="567" t="s">
        <v>907</v>
      </c>
      <c r="N237" s="567"/>
      <c r="O237" s="605"/>
      <c r="P237" s="567"/>
    </row>
    <row r="238" spans="1:16" customFormat="1" ht="12.75" customHeight="1" x14ac:dyDescent="0.2">
      <c r="A238" s="567"/>
      <c r="B238" s="567"/>
      <c r="C238" s="567" t="s">
        <v>1398</v>
      </c>
      <c r="D238" s="567"/>
      <c r="E238" s="567"/>
      <c r="F238" s="567"/>
      <c r="G238" s="568" t="s">
        <v>2216</v>
      </c>
      <c r="H238" s="568" t="s">
        <v>296</v>
      </c>
      <c r="I238" s="710"/>
      <c r="J238" s="294" t="str">
        <f>IF(ISBLANK(HLOOKUP(CaseName,CaseData,MATCH($G238,cases!$G$4:$G$2458,0),FALSE)),"",HLOOKUP(CaseName,CaseData,MATCH($G238,cases!$G$4:$G$2458,0),FALSE))</f>
        <v/>
      </c>
      <c r="K238" s="577">
        <f>(1+(4*(DiffS.aC+L237))/((RadS+RadNuc)*(ThermvelS^2+L236^2)^0.5))^-1</f>
        <v>0.12482772414131724</v>
      </c>
      <c r="L238" s="298">
        <f t="shared" si="11"/>
        <v>0.12482772414131724</v>
      </c>
      <c r="M238" s="568" t="s">
        <v>296</v>
      </c>
      <c r="N238" s="567"/>
      <c r="O238" s="676" t="s">
        <v>1400</v>
      </c>
      <c r="P238" s="567"/>
    </row>
    <row r="239" spans="1:16" customFormat="1" ht="12.75" customHeight="1" x14ac:dyDescent="0.2">
      <c r="A239" s="567" t="s">
        <v>1405</v>
      </c>
      <c r="B239" s="567"/>
      <c r="C239" s="567"/>
      <c r="D239" s="567"/>
      <c r="E239" s="567"/>
      <c r="F239" s="567"/>
      <c r="G239" s="567" t="s">
        <v>2217</v>
      </c>
      <c r="H239" s="567" t="s">
        <v>340</v>
      </c>
      <c r="I239" s="710"/>
      <c r="J239" s="294" t="str">
        <f>IF(ISBLANK(HLOOKUP(CaseName,CaseData,MATCH($G239,cases!$G$4:$G$2458,0),FALSE)),"",HLOOKUP(CaseName,CaseData,MATCH($G239,cases!$G$4:$G$2458,0),FALSE))</f>
        <v/>
      </c>
      <c r="K239" s="577">
        <f>L242*(4*PI()*(RadAcc+RadS)*(L241+DiffS.aC))*input!L306</f>
        <v>4.7261070077526979E-5</v>
      </c>
      <c r="L239" s="298">
        <f t="shared" si="11"/>
        <v>4.7261070077526979E-5</v>
      </c>
      <c r="M239" s="567" t="s">
        <v>340</v>
      </c>
      <c r="N239" s="567"/>
      <c r="O239" s="605"/>
      <c r="P239" s="567"/>
    </row>
    <row r="240" spans="1:16" customFormat="1" ht="12.75" customHeight="1" x14ac:dyDescent="0.2">
      <c r="A240" s="567"/>
      <c r="B240" s="567"/>
      <c r="C240" s="567" t="s">
        <v>1407</v>
      </c>
      <c r="D240" s="567"/>
      <c r="E240" s="567"/>
      <c r="F240" s="567"/>
      <c r="G240" s="568" t="s">
        <v>2218</v>
      </c>
      <c r="H240" s="568" t="s">
        <v>873</v>
      </c>
      <c r="I240" s="710"/>
      <c r="J240" s="294" t="str">
        <f>IF(ISBLANK(HLOOKUP(CaseName,CaseData,MATCH($G240,cases!$G$4:$G$2458,0),FALSE)),"",HLOOKUP(CaseName,CaseData,MATCH($G240,cases!$G$4:$G$2458,0),FALSE))</f>
        <v/>
      </c>
      <c r="K240" s="577">
        <f>((8*kboltz*TEMP.C)/((PI()*(4/3*PI()*(RadAcc)^3)*RhoAcc)))^0.5</f>
        <v>7.8294779293570968E-2</v>
      </c>
      <c r="L240" s="298">
        <f t="shared" si="11"/>
        <v>7.8294779293570968E-2</v>
      </c>
      <c r="M240" s="568" t="s">
        <v>873</v>
      </c>
      <c r="N240" s="567"/>
      <c r="O240" s="605"/>
      <c r="P240" s="567"/>
    </row>
    <row r="241" spans="1:16" customFormat="1" ht="12.75" customHeight="1" x14ac:dyDescent="0.2">
      <c r="A241" s="567"/>
      <c r="B241" s="567"/>
      <c r="C241" s="567" t="s">
        <v>1409</v>
      </c>
      <c r="D241" s="567"/>
      <c r="E241" s="567"/>
      <c r="F241" s="567"/>
      <c r="G241" s="567" t="s">
        <v>2219</v>
      </c>
      <c r="H241" s="567" t="s">
        <v>907</v>
      </c>
      <c r="I241" s="710"/>
      <c r="J241" s="294" t="str">
        <f>IF(ISBLANK(HLOOKUP(CaseName,CaseData,MATCH($G241,cases!$G$4:$G$2458,0),FALSE)),"",HLOOKUP(CaseName,CaseData,MATCH($G241,cases!$G$4:$G$2458,0),FALSE))</f>
        <v/>
      </c>
      <c r="K241" s="577">
        <f>(kboltz*TEMP.C*(1+(66*10^-9/RadAcc)*(1.142+0.558*EXP(-0.999/(66*10^-9/RadAcc)))))/(6*PI()*DYNVISC.a*RadAcc)</f>
        <v>5.097342013000671E-10</v>
      </c>
      <c r="L241" s="298">
        <f t="shared" si="11"/>
        <v>5.097342013000671E-10</v>
      </c>
      <c r="M241" s="567" t="s">
        <v>907</v>
      </c>
      <c r="N241" s="567"/>
      <c r="O241" s="605"/>
      <c r="P241" s="567"/>
    </row>
    <row r="242" spans="1:16" customFormat="1" ht="12.75" customHeight="1" x14ac:dyDescent="0.2">
      <c r="A242" s="567"/>
      <c r="B242" s="567"/>
      <c r="C242" s="567" t="s">
        <v>1411</v>
      </c>
      <c r="D242" s="567"/>
      <c r="E242" s="567"/>
      <c r="F242" s="567"/>
      <c r="G242" s="568" t="s">
        <v>2220</v>
      </c>
      <c r="H242" s="568" t="s">
        <v>296</v>
      </c>
      <c r="I242" s="710"/>
      <c r="J242" s="294" t="str">
        <f>IF(ISBLANK(HLOOKUP(CaseName,CaseData,MATCH($G242,cases!$G$4:$G$2458,0),FALSE)),"",HLOOKUP(CaseName,CaseData,MATCH($G242,cases!$G$4:$G$2458,0),FALSE))</f>
        <v/>
      </c>
      <c r="K242" s="577">
        <f>(1+(4*(DiffS.aC+L241))/((RadS+RadAcc)*(L240^2+ThermvelS^2)^0.5))^-1</f>
        <v>0.38593273622626317</v>
      </c>
      <c r="L242" s="298">
        <f t="shared" si="11"/>
        <v>0.38593273622626317</v>
      </c>
      <c r="M242" s="568" t="s">
        <v>296</v>
      </c>
      <c r="N242" s="567"/>
      <c r="O242" s="605"/>
      <c r="P242" s="567"/>
    </row>
    <row r="243" spans="1:16" customFormat="1" ht="12.75" customHeight="1" x14ac:dyDescent="0.2">
      <c r="A243" s="567" t="s">
        <v>1413</v>
      </c>
      <c r="B243" s="567"/>
      <c r="C243" s="567"/>
      <c r="D243" s="567"/>
      <c r="E243" s="567"/>
      <c r="F243" s="567"/>
      <c r="G243" s="568" t="s">
        <v>2221</v>
      </c>
      <c r="H243" s="568" t="s">
        <v>340</v>
      </c>
      <c r="I243" s="710"/>
      <c r="J243" s="294" t="str">
        <f>IF(ISBLANK(HLOOKUP(CaseName,CaseData,MATCH($G243,cases!$G$4:$G$2458,0),FALSE)),"",HLOOKUP(CaseName,CaseData,MATCH($G243,cases!$G$4:$G$2458,0),FALSE))</f>
        <v/>
      </c>
      <c r="K243" s="577">
        <f>L246*(4*PI()*(RadCP.a+RadS)*(L245+DiffS.aC))*input!L307</f>
        <v>1.6244683507574773E-7</v>
      </c>
      <c r="L243" s="298">
        <f t="shared" si="11"/>
        <v>1.6244683507574773E-7</v>
      </c>
      <c r="M243" s="567" t="s">
        <v>340</v>
      </c>
      <c r="N243" s="567"/>
      <c r="O243" s="605"/>
      <c r="P243" s="567"/>
    </row>
    <row r="244" spans="1:16" customFormat="1" ht="12.75" customHeight="1" x14ac:dyDescent="0.2">
      <c r="A244" s="567"/>
      <c r="B244" s="567" t="s">
        <v>1415</v>
      </c>
      <c r="C244" s="567"/>
      <c r="D244" s="567"/>
      <c r="E244" s="567"/>
      <c r="F244" s="567"/>
      <c r="G244" s="568" t="s">
        <v>2222</v>
      </c>
      <c r="H244" s="568" t="s">
        <v>873</v>
      </c>
      <c r="I244" s="710"/>
      <c r="J244" s="294" t="str">
        <f>IF(ISBLANK(HLOOKUP(CaseName,CaseData,MATCH($G244,cases!$G$4:$G$2458,0),FALSE)),"",HLOOKUP(CaseName,CaseData,MATCH($G244,cases!$G$4:$G$2458,0),FALSE))</f>
        <v/>
      </c>
      <c r="K244" s="577">
        <f>((8*kboltz*TEMP.C)/((PI()*(4/3*PI()*(RadCP.a)^3)*RhoCP.a)))^0.5</f>
        <v>1.2808876266468387E-3</v>
      </c>
      <c r="L244" s="298">
        <f t="shared" si="11"/>
        <v>1.2808876266468387E-3</v>
      </c>
      <c r="M244" s="568" t="s">
        <v>873</v>
      </c>
      <c r="N244" s="567"/>
      <c r="O244" s="605"/>
      <c r="P244" s="567"/>
    </row>
    <row r="245" spans="1:16" customFormat="1" ht="12.75" customHeight="1" x14ac:dyDescent="0.2">
      <c r="A245" s="567"/>
      <c r="B245" s="567" t="s">
        <v>1417</v>
      </c>
      <c r="C245" s="567"/>
      <c r="D245" s="567"/>
      <c r="E245" s="567"/>
      <c r="F245" s="567"/>
      <c r="G245" s="567" t="s">
        <v>2223</v>
      </c>
      <c r="H245" s="567" t="s">
        <v>907</v>
      </c>
      <c r="I245" s="710"/>
      <c r="J245" s="294" t="str">
        <f>IF(ISBLANK(HLOOKUP(CaseName,CaseData,MATCH($G245,cases!$G$4:$G$2458,0),FALSE)),"",HLOOKUP(CaseName,CaseData,MATCH($G245,cases!$G$4:$G$2458,0),FALSE))</f>
        <v/>
      </c>
      <c r="K245" s="577">
        <f>(kboltz*TEMP.C)/(6*PI()*DYNVISC.a*RadCP.a)</f>
        <v>1.2814624133468318E-11</v>
      </c>
      <c r="L245" s="298">
        <f t="shared" si="11"/>
        <v>1.2814624133468318E-11</v>
      </c>
      <c r="M245" s="567" t="s">
        <v>907</v>
      </c>
      <c r="N245" s="567"/>
      <c r="O245" s="605"/>
      <c r="P245" s="567"/>
    </row>
    <row r="246" spans="1:16" customFormat="1" ht="12.75" customHeight="1" x14ac:dyDescent="0.2">
      <c r="A246" s="567"/>
      <c r="B246" s="567" t="s">
        <v>1419</v>
      </c>
      <c r="C246" s="567"/>
      <c r="D246" s="567"/>
      <c r="E246" s="567"/>
      <c r="F246" s="567"/>
      <c r="G246" s="568" t="s">
        <v>2224</v>
      </c>
      <c r="H246" s="568" t="s">
        <v>296</v>
      </c>
      <c r="I246" s="710"/>
      <c r="J246" s="294" t="str">
        <f>IF(ISBLANK(HLOOKUP(CaseName,CaseData,MATCH($G246,cases!$G$4:$G$2458,0),FALSE)),"",HLOOKUP(CaseName,CaseData,MATCH($G246,cases!$G$4:$G$2458,0),FALSE))</f>
        <v/>
      </c>
      <c r="K246" s="577">
        <f>(1+(4*(DiffS.aC+L245))/((RadS+RadCP.a)*(L244^2+ThermvelS^2)^0.5))^-1</f>
        <v>0.90105854612877101</v>
      </c>
      <c r="L246" s="298">
        <f t="shared" si="11"/>
        <v>0.90105854612877101</v>
      </c>
      <c r="M246" s="568" t="s">
        <v>296</v>
      </c>
      <c r="N246" s="567"/>
      <c r="O246" s="605"/>
      <c r="P246" s="567"/>
    </row>
    <row r="247" spans="1:16" s="410" customFormat="1" ht="12.75" customHeight="1" x14ac:dyDescent="0.2">
      <c r="A247" s="410" t="s">
        <v>1421</v>
      </c>
      <c r="G247" s="655"/>
      <c r="H247" s="655"/>
      <c r="J247" s="657"/>
      <c r="K247" s="658"/>
      <c r="L247" s="659"/>
      <c r="O247" s="417"/>
    </row>
    <row r="248" spans="1:16" customFormat="1" ht="12.75" customHeight="1" x14ac:dyDescent="0.2">
      <c r="A248" s="567" t="s">
        <v>1422</v>
      </c>
      <c r="B248" s="567"/>
      <c r="C248" s="567"/>
      <c r="D248" s="567"/>
      <c r="E248" s="567"/>
      <c r="F248" s="567"/>
      <c r="G248" s="567" t="s">
        <v>2225</v>
      </c>
      <c r="H248" s="567" t="s">
        <v>340</v>
      </c>
      <c r="I248" s="710"/>
      <c r="J248" s="294" t="str">
        <f>IF(ISBLANK(HLOOKUP(CaseName,CaseData,MATCH($G248,cases!$G$4:$G$2458,0),FALSE)),"",HLOOKUP(CaseName,CaseData,MATCH($G248,cases!$G$4:$G$2458,0),FALSE))</f>
        <v/>
      </c>
      <c r="K248" s="699">
        <f>L250*L249*AtefSA.w0</f>
        <v>5.9327173676198873E-5</v>
      </c>
      <c r="L248" s="552">
        <f t="shared" ref="L248:L264" si="12">IF(ISBLANK(I248),IF(ISNUMBER(J248)=FALSE,K248,J248),I248)</f>
        <v>5.9327173676198873E-5</v>
      </c>
      <c r="M248" s="567" t="s">
        <v>340</v>
      </c>
      <c r="N248" s="567"/>
      <c r="O248" s="605"/>
      <c r="P248" s="567"/>
    </row>
    <row r="249" spans="1:16" customFormat="1" ht="12.75" customHeight="1" x14ac:dyDescent="0.2">
      <c r="A249" s="567"/>
      <c r="B249" s="567" t="s">
        <v>1424</v>
      </c>
      <c r="C249" s="567"/>
      <c r="D249" s="567"/>
      <c r="E249" s="567"/>
      <c r="F249" s="567"/>
      <c r="G249" s="567" t="s">
        <v>2226</v>
      </c>
      <c r="H249" s="567" t="s">
        <v>715</v>
      </c>
      <c r="I249" s="710"/>
      <c r="J249" s="294" t="str">
        <f>IF(ISBLANK(HLOOKUP(CaseName,CaseData,MATCH($G249,cases!$G$4:$G$2458,0),FALSE)),"",HLOOKUP(CaseName,CaseData,MATCH($G249,cases!$G$4:$G$2458,0),FALSE))</f>
        <v/>
      </c>
      <c r="K249" s="699">
        <f>COL.w0C/(SingleVolNC.w*RhoNC.w)</f>
        <v>35367765131532.289</v>
      </c>
      <c r="L249" s="552">
        <f t="shared" si="12"/>
        <v>35367765131532.289</v>
      </c>
      <c r="M249" s="567" t="s">
        <v>715</v>
      </c>
      <c r="N249" s="567"/>
      <c r="O249" s="605"/>
      <c r="P249" s="567"/>
    </row>
    <row r="250" spans="1:16" customFormat="1" ht="12.75" customHeight="1" x14ac:dyDescent="0.2">
      <c r="A250" s="567"/>
      <c r="B250" s="567" t="s">
        <v>1426</v>
      </c>
      <c r="C250" s="567"/>
      <c r="D250" s="567"/>
      <c r="E250" s="567"/>
      <c r="F250" s="567"/>
      <c r="G250" s="567" t="s">
        <v>2227</v>
      </c>
      <c r="H250" s="567" t="s">
        <v>340</v>
      </c>
      <c r="I250" s="710"/>
      <c r="J250" s="294" t="str">
        <f>IF(ISBLANK(HLOOKUP(CaseName,CaseData,MATCH($G250,cases!$G$4:$G$2458,0),FALSE)),"",HLOOKUP(CaseName,CaseData,MATCH($G250,cases!$G$4:$G$2458,0),FALSE))</f>
        <v/>
      </c>
      <c r="K250" s="699">
        <f>L263+L264+L251</f>
        <v>8.3871815840726489E-17</v>
      </c>
      <c r="L250" s="552">
        <f t="shared" si="12"/>
        <v>8.3871815840726489E-17</v>
      </c>
      <c r="M250" s="567" t="s">
        <v>340</v>
      </c>
      <c r="N250" s="567"/>
      <c r="O250" s="605"/>
      <c r="P250" s="567"/>
    </row>
    <row r="251" spans="1:16" customFormat="1" ht="12.75" customHeight="1" x14ac:dyDescent="0.2">
      <c r="A251" s="567"/>
      <c r="B251" s="567"/>
      <c r="C251" s="567" t="s">
        <v>1428</v>
      </c>
      <c r="D251" s="567"/>
      <c r="E251" s="567"/>
      <c r="F251" s="567"/>
      <c r="G251" s="568" t="s">
        <v>2228</v>
      </c>
      <c r="H251" s="568" t="s">
        <v>340</v>
      </c>
      <c r="I251" s="710"/>
      <c r="J251" s="294" t="str">
        <f>IF(ISBLANK(HLOOKUP(CaseName,CaseData,MATCH($G251,cases!$G$4:$G$2458,0),FALSE)),"",HLOOKUP(CaseName,CaseData,MATCH($G251,cases!$G$4:$G$2458,0),FALSE))</f>
        <v/>
      </c>
      <c r="K251" s="699">
        <f>(4/3)*L252*(RadS+RadNC.w)^3</f>
        <v>4.9651666666666691E-21</v>
      </c>
      <c r="L251" s="552">
        <f t="shared" si="12"/>
        <v>4.9651666666666691E-21</v>
      </c>
      <c r="M251" s="567" t="s">
        <v>340</v>
      </c>
      <c r="N251" s="567"/>
      <c r="O251" s="605"/>
      <c r="P251" s="567"/>
    </row>
    <row r="252" spans="1:16" customFormat="1" ht="12.75" customHeight="1" x14ac:dyDescent="0.2">
      <c r="A252" s="567"/>
      <c r="B252" s="567"/>
      <c r="C252" s="567"/>
      <c r="D252" s="567" t="s">
        <v>1430</v>
      </c>
      <c r="E252" s="567"/>
      <c r="F252" s="567"/>
      <c r="G252" s="567" t="s">
        <v>2229</v>
      </c>
      <c r="H252" s="567" t="s">
        <v>340</v>
      </c>
      <c r="I252" s="710"/>
      <c r="J252" s="294" t="str">
        <f>IF(ISBLANK(HLOOKUP(CaseName,CaseData,MATCH($G252,cases!$G$4:$G$2458,0),FALSE)),"",HLOOKUP(CaseName,CaseData,MATCH($G252,cases!$G$4:$G$2458,0),FALSE))</f>
        <v/>
      </c>
      <c r="K252" s="699">
        <v>1</v>
      </c>
      <c r="L252" s="552">
        <f t="shared" si="12"/>
        <v>1</v>
      </c>
      <c r="M252" s="567" t="s">
        <v>340</v>
      </c>
      <c r="N252" s="567"/>
      <c r="O252" s="605"/>
      <c r="P252" s="587" t="s">
        <v>1432</v>
      </c>
    </row>
    <row r="253" spans="1:16" customFormat="1" ht="12.75" customHeight="1" x14ac:dyDescent="0.2">
      <c r="A253" s="567" t="s">
        <v>1433</v>
      </c>
      <c r="B253" s="567"/>
      <c r="C253" s="567"/>
      <c r="D253" s="567"/>
      <c r="E253" s="567"/>
      <c r="F253" s="567"/>
      <c r="G253" s="568" t="s">
        <v>2230</v>
      </c>
      <c r="H253" s="568" t="s">
        <v>340</v>
      </c>
      <c r="I253" s="710"/>
      <c r="J253" s="294" t="str">
        <f>IF(ISBLANK(HLOOKUP(CaseName,CaseData,MATCH($G253,cases!$G$4:$G$2458,0),FALSE)),"",HLOOKUP(CaseName,CaseData,MATCH($G253,cases!$G$4:$G$2458,0),FALSE))</f>
        <v/>
      </c>
      <c r="K253" s="699">
        <f>L255*L254*AtefSA.w1</f>
        <v>5.967487523623992E-5</v>
      </c>
      <c r="L253" s="298">
        <f t="shared" si="12"/>
        <v>5.967487523623992E-5</v>
      </c>
      <c r="M253" s="567" t="s">
        <v>340</v>
      </c>
      <c r="N253" s="567"/>
      <c r="O253" s="605"/>
      <c r="P253" s="567"/>
    </row>
    <row r="254" spans="1:16" customFormat="1" ht="12.75" customHeight="1" x14ac:dyDescent="0.2">
      <c r="A254" s="567"/>
      <c r="B254" s="567" t="s">
        <v>1435</v>
      </c>
      <c r="C254" s="567"/>
      <c r="D254" s="567"/>
      <c r="E254" s="567"/>
      <c r="F254" s="567"/>
      <c r="G254" s="568" t="s">
        <v>2231</v>
      </c>
      <c r="H254" s="568" t="s">
        <v>715</v>
      </c>
      <c r="I254" s="710"/>
      <c r="J254" s="294" t="str">
        <f>IF(ISBLANK(HLOOKUP(CaseName,CaseData,MATCH($G254,cases!$G$4:$G$2458,0),FALSE)),"",HLOOKUP(CaseName,CaseData,MATCH($G254,cases!$G$4:$G$2458,0),FALSE))</f>
        <v/>
      </c>
      <c r="K254" s="699">
        <f>COL.w1C/(SingleVolNC.w*RhoNC.w)</f>
        <v>35367765131532.289</v>
      </c>
      <c r="L254" s="298">
        <f t="shared" si="12"/>
        <v>35367765131532.289</v>
      </c>
      <c r="M254" s="568" t="s">
        <v>715</v>
      </c>
      <c r="N254" s="567"/>
      <c r="O254" s="605"/>
      <c r="P254" s="587" t="s">
        <v>1437</v>
      </c>
    </row>
    <row r="255" spans="1:16" customFormat="1" ht="12.75" customHeight="1" x14ac:dyDescent="0.2">
      <c r="A255" s="567"/>
      <c r="B255" s="567" t="s">
        <v>1438</v>
      </c>
      <c r="C255" s="567"/>
      <c r="D255" s="567"/>
      <c r="E255" s="567"/>
      <c r="F255" s="567"/>
      <c r="G255" s="568" t="s">
        <v>2232</v>
      </c>
      <c r="H255" s="568" t="s">
        <v>340</v>
      </c>
      <c r="I255" s="710"/>
      <c r="J255" s="294" t="str">
        <f>IF(ISBLANK(HLOOKUP(CaseName,CaseData,MATCH($G255,cases!$G$4:$G$2458,0),FALSE)),"",HLOOKUP(CaseName,CaseData,MATCH($G255,cases!$G$4:$G$2458,0),FALSE))</f>
        <v/>
      </c>
      <c r="K255" s="699">
        <f>L256+L263+L264</f>
        <v>8.4363367340726483E-17</v>
      </c>
      <c r="L255" s="298">
        <f t="shared" si="12"/>
        <v>8.4363367340726483E-17</v>
      </c>
      <c r="M255" s="567" t="s">
        <v>340</v>
      </c>
      <c r="N255" s="567"/>
      <c r="O255" s="605"/>
      <c r="P255" s="567"/>
    </row>
    <row r="256" spans="1:16" customFormat="1" ht="12.75" customHeight="1" x14ac:dyDescent="0.2">
      <c r="A256" s="567"/>
      <c r="B256" s="567"/>
      <c r="C256" s="567" t="s">
        <v>1428</v>
      </c>
      <c r="D256" s="567"/>
      <c r="E256" s="567"/>
      <c r="F256" s="567"/>
      <c r="G256" s="568" t="s">
        <v>2233</v>
      </c>
      <c r="H256" s="568" t="s">
        <v>340</v>
      </c>
      <c r="I256" s="710"/>
      <c r="J256" s="294" t="str">
        <f>IF(ISBLANK(HLOOKUP(CaseName,CaseData,MATCH($G256,cases!$G$4:$G$2458,0),FALSE)),"",HLOOKUP(CaseName,CaseData,MATCH($G256,cases!$G$4:$G$2458,0),FALSE))</f>
        <v/>
      </c>
      <c r="K256" s="699">
        <f>(4/3)*L257*(RadS+RadNC.w)^3</f>
        <v>4.9651666666666686E-19</v>
      </c>
      <c r="L256" s="298">
        <f t="shared" si="12"/>
        <v>4.9651666666666686E-19</v>
      </c>
      <c r="M256" s="567" t="s">
        <v>340</v>
      </c>
      <c r="N256" s="567"/>
      <c r="O256" s="605"/>
      <c r="P256" s="567"/>
    </row>
    <row r="257" spans="1:16" customFormat="1" ht="12.75" customHeight="1" x14ac:dyDescent="0.2">
      <c r="A257" s="567"/>
      <c r="B257" s="567"/>
      <c r="C257" s="567"/>
      <c r="D257" s="567" t="s">
        <v>1441</v>
      </c>
      <c r="E257" s="567"/>
      <c r="F257" s="567"/>
      <c r="G257" s="568" t="s">
        <v>2234</v>
      </c>
      <c r="H257" s="568" t="s">
        <v>340</v>
      </c>
      <c r="I257" s="710"/>
      <c r="J257" s="294" t="str">
        <f>IF(ISBLANK(HLOOKUP(CaseName,CaseData,MATCH($G257,cases!$G$4:$G$2458,0),FALSE)),"",HLOOKUP(CaseName,CaseData,MATCH($G257,cases!$G$4:$G$2458,0),FALSE))</f>
        <v/>
      </c>
      <c r="K257" s="699">
        <v>100</v>
      </c>
      <c r="L257" s="298">
        <f t="shared" si="12"/>
        <v>100</v>
      </c>
      <c r="M257" s="568" t="s">
        <v>340</v>
      </c>
      <c r="N257" s="567"/>
      <c r="O257" s="605"/>
      <c r="P257" s="587" t="s">
        <v>1443</v>
      </c>
    </row>
    <row r="258" spans="1:16" customFormat="1" ht="12.75" customHeight="1" x14ac:dyDescent="0.2">
      <c r="A258" s="567" t="s">
        <v>1444</v>
      </c>
      <c r="B258" s="567"/>
      <c r="C258" s="567"/>
      <c r="D258" s="567"/>
      <c r="E258" s="567"/>
      <c r="F258" s="567"/>
      <c r="G258" s="568" t="s">
        <v>2235</v>
      </c>
      <c r="H258" s="568" t="s">
        <v>340</v>
      </c>
      <c r="I258" s="710"/>
      <c r="J258" s="294" t="str">
        <f>IF(ISBLANK(HLOOKUP(CaseName,CaseData,MATCH($G258,cases!$G$4:$G$2458,0),FALSE)),"",HLOOKUP(CaseName,CaseData,MATCH($G258,cases!$G$4:$G$2458,0),FALSE))</f>
        <v/>
      </c>
      <c r="K258" s="699">
        <f>L260*L259*AtefSA.w2</f>
        <v>2.967939145446494E-3</v>
      </c>
      <c r="L258" s="298">
        <f t="shared" si="12"/>
        <v>2.967939145446494E-3</v>
      </c>
      <c r="M258" s="567" t="s">
        <v>340</v>
      </c>
      <c r="N258" s="567"/>
      <c r="O258" s="605"/>
      <c r="P258" s="567"/>
    </row>
    <row r="259" spans="1:16" customFormat="1" ht="12.75" customHeight="1" x14ac:dyDescent="0.2">
      <c r="A259" s="567"/>
      <c r="B259" s="567" t="s">
        <v>1446</v>
      </c>
      <c r="C259" s="567"/>
      <c r="D259" s="567"/>
      <c r="E259" s="567"/>
      <c r="F259" s="567"/>
      <c r="G259" s="568" t="s">
        <v>2236</v>
      </c>
      <c r="H259" s="568" t="s">
        <v>715</v>
      </c>
      <c r="I259" s="710"/>
      <c r="J259" s="294" t="str">
        <f>IF(ISBLANK(HLOOKUP(CaseName,CaseData,MATCH($G259,cases!$G$4:$G$2458,0),FALSE)),"",HLOOKUP(CaseName,CaseData,MATCH($G259,cases!$G$4:$G$2458,0),FALSE))</f>
        <v/>
      </c>
      <c r="K259" s="699">
        <f>COL.w2C/(SingleVolNC.w*RhoNC.w)</f>
        <v>35367765131532.289</v>
      </c>
      <c r="L259" s="298">
        <f t="shared" si="12"/>
        <v>35367765131532.289</v>
      </c>
      <c r="M259" s="568" t="s">
        <v>715</v>
      </c>
      <c r="N259" s="567"/>
      <c r="O259" s="605"/>
      <c r="P259" s="587" t="s">
        <v>1448</v>
      </c>
    </row>
    <row r="260" spans="1:16" customFormat="1" ht="12.75" customHeight="1" x14ac:dyDescent="0.2">
      <c r="A260" s="567"/>
      <c r="B260" s="567" t="s">
        <v>1449</v>
      </c>
      <c r="C260" s="567"/>
      <c r="D260" s="567"/>
      <c r="E260" s="567"/>
      <c r="F260" s="567"/>
      <c r="G260" s="568" t="s">
        <v>2237</v>
      </c>
      <c r="H260" s="568" t="s">
        <v>340</v>
      </c>
      <c r="I260" s="710"/>
      <c r="J260" s="294" t="str">
        <f>IF(ISBLANK(HLOOKUP(CaseName,CaseData,MATCH($G260,cases!$G$4:$G$2458,0),FALSE)),"",HLOOKUP(CaseName,CaseData,MATCH($G260,cases!$G$4:$G$2458,0),FALSE))</f>
        <v/>
      </c>
      <c r="K260" s="699">
        <f>L261+L263+L264</f>
        <v>8.3916502340726485E-17</v>
      </c>
      <c r="L260" s="298">
        <f t="shared" si="12"/>
        <v>8.3916502340726485E-17</v>
      </c>
      <c r="M260" s="567" t="s">
        <v>340</v>
      </c>
      <c r="N260" s="567"/>
      <c r="O260" s="605"/>
      <c r="P260" s="567"/>
    </row>
    <row r="261" spans="1:16" customFormat="1" ht="12.75" customHeight="1" x14ac:dyDescent="0.2">
      <c r="A261" s="567"/>
      <c r="B261" s="567"/>
      <c r="C261" s="567" t="s">
        <v>1428</v>
      </c>
      <c r="D261" s="567"/>
      <c r="E261" s="567"/>
      <c r="F261" s="567"/>
      <c r="G261" s="568" t="s">
        <v>2238</v>
      </c>
      <c r="H261" s="568" t="s">
        <v>340</v>
      </c>
      <c r="I261" s="710"/>
      <c r="J261" s="294" t="str">
        <f>IF(ISBLANK(HLOOKUP(CaseName,CaseData,MATCH($G261,cases!$G$4:$G$2458,0),FALSE)),"",HLOOKUP(CaseName,CaseData,MATCH($G261,cases!$G$4:$G$2458,0),FALSE))</f>
        <v/>
      </c>
      <c r="K261" s="699">
        <f>(4/3)*L262*(RadS+RadNC.w)^3</f>
        <v>4.9651666666666685E-20</v>
      </c>
      <c r="L261" s="298">
        <f t="shared" si="12"/>
        <v>4.9651666666666685E-20</v>
      </c>
      <c r="M261" s="567" t="s">
        <v>340</v>
      </c>
      <c r="N261" s="567"/>
      <c r="O261" s="605"/>
      <c r="P261" s="567"/>
    </row>
    <row r="262" spans="1:16" customFormat="1" ht="12.75" customHeight="1" x14ac:dyDescent="0.2">
      <c r="A262" s="567"/>
      <c r="B262" s="567"/>
      <c r="C262" s="567"/>
      <c r="D262" s="567" t="s">
        <v>1452</v>
      </c>
      <c r="E262" s="567"/>
      <c r="F262" s="567"/>
      <c r="G262" s="568" t="s">
        <v>2239</v>
      </c>
      <c r="H262" s="568" t="s">
        <v>340</v>
      </c>
      <c r="I262" s="710"/>
      <c r="J262" s="294" t="str">
        <f>IF(ISBLANK(HLOOKUP(CaseName,CaseData,MATCH($G262,cases!$G$4:$G$2458,0),FALSE)),"",HLOOKUP(CaseName,CaseData,MATCH($G262,cases!$G$4:$G$2458,0),FALSE))</f>
        <v/>
      </c>
      <c r="K262" s="699">
        <v>10</v>
      </c>
      <c r="L262" s="298">
        <f t="shared" si="12"/>
        <v>10</v>
      </c>
      <c r="M262" s="568" t="s">
        <v>340</v>
      </c>
      <c r="N262" s="567"/>
      <c r="O262" s="605"/>
      <c r="P262" s="587" t="s">
        <v>1432</v>
      </c>
    </row>
    <row r="263" spans="1:16" customFormat="1" ht="12.75" customHeight="1" x14ac:dyDescent="0.2">
      <c r="A263" s="567"/>
      <c r="B263" s="567"/>
      <c r="C263" s="567" t="s">
        <v>1454</v>
      </c>
      <c r="D263" s="567"/>
      <c r="E263" s="567"/>
      <c r="F263" s="567"/>
      <c r="G263" s="567" t="s">
        <v>2240</v>
      </c>
      <c r="H263" s="567" t="s">
        <v>340</v>
      </c>
      <c r="I263" s="710"/>
      <c r="J263" s="294" t="str">
        <f>IF(ISBLANK(HLOOKUP(CaseName,CaseData,MATCH($G263,cases!$G$4:$G$2458,0),FALSE)),"",HLOOKUP(CaseName,CaseData,MATCH($G263,cases!$G$4:$G$2458,0),FALSE))</f>
        <v/>
      </c>
      <c r="K263" s="699">
        <f>(2*kboltz*TEMP.C)/(3*DYNVISC.w)*(RadS+RadNC.w)^2/(RadS*RadNC.w)</f>
        <v>8.3863161807052569E-17</v>
      </c>
      <c r="L263" s="552">
        <f t="shared" si="12"/>
        <v>8.3863161807052569E-17</v>
      </c>
      <c r="M263" s="567" t="s">
        <v>340</v>
      </c>
      <c r="N263" s="567"/>
      <c r="O263" s="605"/>
      <c r="P263" s="567"/>
    </row>
    <row r="264" spans="1:16" customFormat="1" ht="12.75" customHeight="1" x14ac:dyDescent="0.2">
      <c r="A264" s="567"/>
      <c r="B264" s="567"/>
      <c r="C264" s="567" t="s">
        <v>1456</v>
      </c>
      <c r="D264" s="567"/>
      <c r="E264" s="567"/>
      <c r="F264" s="567"/>
      <c r="G264" s="568" t="s">
        <v>2241</v>
      </c>
      <c r="H264" s="568" t="s">
        <v>340</v>
      </c>
      <c r="I264" s="710"/>
      <c r="J264" s="294" t="str">
        <f>IF(ISBLANK(HLOOKUP(CaseName,CaseData,MATCH($G264,cases!$G$4:$G$2458,0),FALSE)),"",HLOOKUP(CaseName,CaseData,MATCH($G264,cases!$G$4:$G$2458,0),FALSE))</f>
        <v/>
      </c>
      <c r="K264" s="699">
        <f>PI()*(RadS+RadNC.w)^2*ABS(SetVelS.w-SetVelNC.w)</f>
        <v>3.6888670072520785E-21</v>
      </c>
      <c r="L264" s="298">
        <f t="shared" si="12"/>
        <v>3.6888670072520785E-21</v>
      </c>
      <c r="M264" s="567" t="s">
        <v>340</v>
      </c>
      <c r="N264" s="567"/>
      <c r="O264" s="605"/>
      <c r="P264" s="567"/>
    </row>
    <row r="265" spans="1:16" s="410" customFormat="1" ht="12.75" customHeight="1" x14ac:dyDescent="0.2">
      <c r="A265" s="410" t="s">
        <v>1458</v>
      </c>
      <c r="G265" s="655"/>
      <c r="H265" s="655"/>
      <c r="J265" s="657"/>
      <c r="K265" s="658"/>
      <c r="L265" s="659"/>
      <c r="O265" s="417"/>
    </row>
    <row r="266" spans="1:16" customFormat="1" ht="12.75" customHeight="1" x14ac:dyDescent="0.2">
      <c r="A266" s="567" t="s">
        <v>1459</v>
      </c>
      <c r="B266" s="567"/>
      <c r="C266" s="567"/>
      <c r="D266" s="567"/>
      <c r="E266" s="567"/>
      <c r="F266" s="567"/>
      <c r="G266" s="568" t="s">
        <v>2242</v>
      </c>
      <c r="H266" s="568" t="s">
        <v>340</v>
      </c>
      <c r="I266" s="710"/>
      <c r="J266" s="294" t="str">
        <f>IF(ISBLANK(HLOOKUP(CaseName,CaseData,MATCH($G266,cases!$G$4:$G$2458,0),FALSE)),"",HLOOKUP(CaseName,CaseData,MATCH($G266,cases!$G$4:$G$2458,0),FALSE))</f>
        <v/>
      </c>
      <c r="K266" s="577">
        <f>L267*L268*AtefSP.w0</f>
        <v>8.6528931279242802E-8</v>
      </c>
      <c r="L266" s="298">
        <f t="shared" ref="L266:L279" si="13">IF(ISBLANK(I266),IF(ISNUMBER(J266)=FALSE,K266,J266),I266)</f>
        <v>8.6528931279242802E-8</v>
      </c>
      <c r="M266" s="567" t="s">
        <v>340</v>
      </c>
      <c r="N266" s="567"/>
      <c r="O266" s="605"/>
      <c r="P266" s="567"/>
    </row>
    <row r="267" spans="1:16" customFormat="1" ht="12.75" customHeight="1" x14ac:dyDescent="0.2">
      <c r="A267" s="567"/>
      <c r="B267" s="567" t="s">
        <v>1461</v>
      </c>
      <c r="C267" s="567"/>
      <c r="D267" s="567"/>
      <c r="E267" s="567"/>
      <c r="F267" s="567"/>
      <c r="G267" s="568" t="s">
        <v>2243</v>
      </c>
      <c r="H267" s="568" t="s">
        <v>715</v>
      </c>
      <c r="I267" s="710"/>
      <c r="J267" s="294" t="str">
        <f>IF(ISBLANK(HLOOKUP(CaseName,CaseData,MATCH($G267,cases!$G$4:$G$2458,0),FALSE)),"",HLOOKUP(CaseName,CaseData,MATCH($G267,cases!$G$4:$G$2458,0),FALSE))</f>
        <v/>
      </c>
      <c r="K267" s="577">
        <f>(SUSP.w0C)/(SingleVolSPM.w*RhoSPM.w)</f>
        <v>1768388256.5766146</v>
      </c>
      <c r="L267" s="298">
        <f t="shared" si="13"/>
        <v>1768388256.5766146</v>
      </c>
      <c r="M267" s="567" t="s">
        <v>715</v>
      </c>
      <c r="N267" s="567" t="s">
        <v>1463</v>
      </c>
      <c r="O267" s="605"/>
      <c r="P267" s="567"/>
    </row>
    <row r="268" spans="1:16" customFormat="1" ht="12.75" customHeight="1" x14ac:dyDescent="0.2">
      <c r="A268" s="567"/>
      <c r="B268" s="567" t="s">
        <v>1464</v>
      </c>
      <c r="C268" s="567"/>
      <c r="D268" s="567"/>
      <c r="E268" s="567"/>
      <c r="F268" s="567"/>
      <c r="G268" s="568" t="s">
        <v>2244</v>
      </c>
      <c r="H268" s="567" t="s">
        <v>340</v>
      </c>
      <c r="I268" s="710"/>
      <c r="J268" s="294" t="str">
        <f>IF(ISBLANK(HLOOKUP(CaseName,CaseData,MATCH($G268,cases!$G$4:$G$2458,0),FALSE)),"",HLOOKUP(CaseName,CaseData,MATCH($G268,cases!$G$4:$G$2458,0),FALSE))</f>
        <v/>
      </c>
      <c r="K268" s="577">
        <f>L278+L269+L279</f>
        <v>2.4465478934686075E-15</v>
      </c>
      <c r="L268" s="298">
        <f t="shared" si="13"/>
        <v>2.4465478934686075E-15</v>
      </c>
      <c r="M268" s="567" t="s">
        <v>340</v>
      </c>
      <c r="N268" s="567"/>
      <c r="O268" s="605"/>
      <c r="P268" s="567"/>
    </row>
    <row r="269" spans="1:16" customFormat="1" ht="12.75" customHeight="1" x14ac:dyDescent="0.2">
      <c r="A269" s="567"/>
      <c r="B269" s="567"/>
      <c r="C269" s="567" t="s">
        <v>1466</v>
      </c>
      <c r="D269" s="567"/>
      <c r="E269" s="567"/>
      <c r="F269" s="567"/>
      <c r="G269" s="568" t="s">
        <v>2245</v>
      </c>
      <c r="H269" s="568" t="s">
        <v>340</v>
      </c>
      <c r="I269" s="710"/>
      <c r="J269" s="294" t="str">
        <f>IF(ISBLANK(HLOOKUP(CaseName,CaseData,MATCH($G269,cases!$G$4:$G$2458,0),FALSE)),"",HLOOKUP(CaseName,CaseData,MATCH($G269,cases!$G$4:$G$2458,0),FALSE))</f>
        <v/>
      </c>
      <c r="K269" s="577">
        <f>(4/3)*L252*(RadS+RadSPM.w)^3</f>
        <v>3.6180300166666666E-17</v>
      </c>
      <c r="L269" s="298">
        <f t="shared" si="13"/>
        <v>3.6180300166666666E-17</v>
      </c>
      <c r="M269" s="567" t="s">
        <v>340</v>
      </c>
      <c r="N269" s="567"/>
      <c r="O269" s="605"/>
      <c r="P269" s="567"/>
    </row>
    <row r="270" spans="1:16" customFormat="1" ht="12.75" customHeight="1" x14ac:dyDescent="0.2">
      <c r="A270" s="567" t="s">
        <v>1468</v>
      </c>
      <c r="B270" s="567"/>
      <c r="C270" s="567"/>
      <c r="D270" s="567"/>
      <c r="E270" s="567"/>
      <c r="F270" s="567"/>
      <c r="G270" s="568" t="s">
        <v>2246</v>
      </c>
      <c r="H270" s="568" t="s">
        <v>340</v>
      </c>
      <c r="I270" s="710"/>
      <c r="J270" s="294" t="str">
        <f>IF(ISBLANK(HLOOKUP(CaseName,CaseData,MATCH($G270,cases!$G$4:$G$2458,0),FALSE)),"",HLOOKUP(CaseName,CaseData,MATCH($G270,cases!$G$4:$G$2458,0),FALSE))</f>
        <v/>
      </c>
      <c r="K270" s="577">
        <f>L271*L272*AtefSP.w1</f>
        <v>6.3963285236658089E-6</v>
      </c>
      <c r="L270" s="298">
        <f t="shared" si="13"/>
        <v>6.3963285236658089E-6</v>
      </c>
      <c r="M270" s="567" t="s">
        <v>340</v>
      </c>
      <c r="N270" s="567"/>
      <c r="O270" s="605"/>
      <c r="P270" s="567"/>
    </row>
    <row r="271" spans="1:16" customFormat="1" ht="12.75" customHeight="1" x14ac:dyDescent="0.2">
      <c r="A271" s="567"/>
      <c r="B271" s="567" t="s">
        <v>1470</v>
      </c>
      <c r="C271" s="567"/>
      <c r="D271" s="567"/>
      <c r="E271" s="567"/>
      <c r="F271" s="567"/>
      <c r="G271" s="568" t="s">
        <v>2247</v>
      </c>
      <c r="H271" s="568" t="s">
        <v>715</v>
      </c>
      <c r="I271" s="710"/>
      <c r="J271" s="294" t="str">
        <f>IF(ISBLANK(HLOOKUP(CaseName,CaseData,MATCH($G271,cases!$G$4:$G$2458,0),FALSE)),"",HLOOKUP(CaseName,CaseData,MATCH($G271,cases!$G$4:$G$2458,0),FALSE))</f>
        <v/>
      </c>
      <c r="K271" s="577">
        <f>(SUSP.w1C)/(SingleVolSPM.w*RhoSPM.w)</f>
        <v>53051647697.298439</v>
      </c>
      <c r="L271" s="298">
        <f t="shared" si="13"/>
        <v>53051647697.298439</v>
      </c>
      <c r="M271" s="567" t="s">
        <v>715</v>
      </c>
      <c r="N271" s="567" t="s">
        <v>1472</v>
      </c>
      <c r="O271" s="605"/>
      <c r="P271" s="567"/>
    </row>
    <row r="272" spans="1:16" customFormat="1" ht="12.75" customHeight="1" x14ac:dyDescent="0.2">
      <c r="A272" s="567"/>
      <c r="B272" s="567" t="s">
        <v>1473</v>
      </c>
      <c r="C272" s="567"/>
      <c r="D272" s="567"/>
      <c r="E272" s="567"/>
      <c r="F272" s="567"/>
      <c r="G272" s="568" t="s">
        <v>2248</v>
      </c>
      <c r="H272" s="567" t="s">
        <v>340</v>
      </c>
      <c r="I272" s="710"/>
      <c r="J272" s="294" t="str">
        <f>IF(ISBLANK(HLOOKUP(CaseName,CaseData,MATCH($G272,cases!$G$4:$G$2458,0),FALSE)),"",HLOOKUP(CaseName,CaseData,MATCH($G272,cases!$G$4:$G$2458,0),FALSE))</f>
        <v/>
      </c>
      <c r="K272" s="577">
        <f>L273+L278+L279</f>
        <v>6.0283976099686068E-15</v>
      </c>
      <c r="L272" s="298">
        <f t="shared" si="13"/>
        <v>6.0283976099686068E-15</v>
      </c>
      <c r="M272" s="567" t="s">
        <v>340</v>
      </c>
      <c r="N272" s="567"/>
      <c r="O272" s="605"/>
      <c r="P272" s="567"/>
    </row>
    <row r="273" spans="1:16" customFormat="1" ht="12.75" customHeight="1" x14ac:dyDescent="0.2">
      <c r="A273" s="567"/>
      <c r="B273" s="567"/>
      <c r="C273" s="567" t="s">
        <v>1466</v>
      </c>
      <c r="D273" s="567"/>
      <c r="E273" s="567"/>
      <c r="F273" s="567"/>
      <c r="G273" s="568" t="s">
        <v>2249</v>
      </c>
      <c r="H273" s="568" t="s">
        <v>340</v>
      </c>
      <c r="I273" s="710"/>
      <c r="J273" s="294" t="str">
        <f>IF(ISBLANK(HLOOKUP(CaseName,CaseData,MATCH($G273,cases!$G$4:$G$2458,0),FALSE)),"",HLOOKUP(CaseName,CaseData,MATCH($G273,cases!$G$4:$G$2458,0),FALSE))</f>
        <v/>
      </c>
      <c r="K273" s="577">
        <f>(4/3)*L257*(RadS+RadSPM.w)^3</f>
        <v>3.618030016666666E-15</v>
      </c>
      <c r="L273" s="298">
        <f t="shared" si="13"/>
        <v>3.618030016666666E-15</v>
      </c>
      <c r="M273" s="567" t="s">
        <v>340</v>
      </c>
      <c r="N273" s="567"/>
      <c r="O273" s="605"/>
      <c r="P273" s="567"/>
    </row>
    <row r="274" spans="1:16" customFormat="1" ht="12.75" customHeight="1" x14ac:dyDescent="0.2">
      <c r="A274" s="567" t="s">
        <v>1476</v>
      </c>
      <c r="B274" s="567"/>
      <c r="C274" s="567"/>
      <c r="D274" s="567"/>
      <c r="E274" s="567"/>
      <c r="F274" s="567"/>
      <c r="G274" s="568" t="s">
        <v>2250</v>
      </c>
      <c r="H274" s="568" t="s">
        <v>340</v>
      </c>
      <c r="I274" s="710"/>
      <c r="J274" s="294" t="str">
        <f>IF(ISBLANK(HLOOKUP(CaseName,CaseData,MATCH($G274,cases!$G$4:$G$2458,0),FALSE)),"",HLOOKUP(CaseName,CaseData,MATCH($G274,cases!$G$4:$G$2458,0),FALSE))</f>
        <v/>
      </c>
      <c r="K274" s="577">
        <f>L275*L276*AtefSP.w2</f>
        <v>4.9022739253694927E-5</v>
      </c>
      <c r="L274" s="298">
        <f t="shared" si="13"/>
        <v>4.9022739253694927E-5</v>
      </c>
      <c r="M274" s="567" t="s">
        <v>340</v>
      </c>
      <c r="N274" s="567"/>
      <c r="O274" s="605"/>
      <c r="P274" s="567"/>
    </row>
    <row r="275" spans="1:16" customFormat="1" ht="12.75" customHeight="1" x14ac:dyDescent="0.2">
      <c r="A275" s="567"/>
      <c r="B275" s="567" t="s">
        <v>1470</v>
      </c>
      <c r="C275" s="567"/>
      <c r="D275" s="567"/>
      <c r="E275" s="567"/>
      <c r="F275" s="567"/>
      <c r="G275" s="568" t="s">
        <v>2251</v>
      </c>
      <c r="H275" s="568" t="s">
        <v>715</v>
      </c>
      <c r="I275" s="710"/>
      <c r="J275" s="294" t="str">
        <f>IF(ISBLANK(HLOOKUP(CaseName,CaseData,MATCH($G275,cases!$G$4:$G$2458,0),FALSE)),"",HLOOKUP(CaseName,CaseData,MATCH($G275,cases!$G$4:$G$2458,0),FALSE))</f>
        <v/>
      </c>
      <c r="K275" s="577">
        <f>(SUSP.w2C)/(SingleVolSPM.w*RhoSPM.w)</f>
        <v>17683882565.766148</v>
      </c>
      <c r="L275" s="298">
        <f t="shared" si="13"/>
        <v>17683882565.766148</v>
      </c>
      <c r="M275" s="567" t="s">
        <v>715</v>
      </c>
      <c r="N275" s="567" t="s">
        <v>1480</v>
      </c>
      <c r="O275" s="605"/>
      <c r="P275" s="567"/>
    </row>
    <row r="276" spans="1:16" customFormat="1" ht="12.75" customHeight="1" x14ac:dyDescent="0.2">
      <c r="A276" s="567"/>
      <c r="B276" s="567" t="s">
        <v>1481</v>
      </c>
      <c r="C276" s="567"/>
      <c r="D276" s="567"/>
      <c r="E276" s="567"/>
      <c r="F276" s="567"/>
      <c r="G276" s="568" t="s">
        <v>2252</v>
      </c>
      <c r="H276" s="567" t="s">
        <v>340</v>
      </c>
      <c r="I276" s="710"/>
      <c r="J276" s="294" t="str">
        <f>IF(ISBLANK(HLOOKUP(CaseName,CaseData,MATCH($G276,cases!$G$4:$G$2458,0),FALSE)),"",HLOOKUP(CaseName,CaseData,MATCH($G276,cases!$G$4:$G$2458,0),FALSE))</f>
        <v/>
      </c>
      <c r="K276" s="577">
        <f>L278+L279+L277</f>
        <v>2.7721705949686074E-15</v>
      </c>
      <c r="L276" s="298">
        <f t="shared" si="13"/>
        <v>2.7721705949686074E-15</v>
      </c>
      <c r="M276" s="567" t="s">
        <v>340</v>
      </c>
      <c r="N276" s="567"/>
      <c r="O276" s="605"/>
      <c r="P276" s="567"/>
    </row>
    <row r="277" spans="1:16" customFormat="1" ht="12.75" customHeight="1" x14ac:dyDescent="0.2">
      <c r="A277" s="567"/>
      <c r="B277" s="567"/>
      <c r="C277" s="567" t="s">
        <v>1466</v>
      </c>
      <c r="D277" s="567"/>
      <c r="E277" s="567"/>
      <c r="F277" s="567"/>
      <c r="G277" s="568" t="s">
        <v>2253</v>
      </c>
      <c r="H277" s="568" t="s">
        <v>340</v>
      </c>
      <c r="I277" s="710"/>
      <c r="J277" s="294" t="str">
        <f>IF(ISBLANK(HLOOKUP(CaseName,CaseData,MATCH($G277,cases!$G$4:$G$2458,0),FALSE)),"",HLOOKUP(CaseName,CaseData,MATCH($G277,cases!$G$4:$G$2458,0),FALSE))</f>
        <v/>
      </c>
      <c r="K277" s="577">
        <f>(4/3)*L262*(RadS+RadSPM.w)^3</f>
        <v>3.6180300166666665E-16</v>
      </c>
      <c r="L277" s="298">
        <f t="shared" si="13"/>
        <v>3.6180300166666665E-16</v>
      </c>
      <c r="M277" s="567" t="s">
        <v>340</v>
      </c>
      <c r="N277" s="567"/>
      <c r="O277" s="605"/>
      <c r="P277" s="567"/>
    </row>
    <row r="278" spans="1:16" customFormat="1" ht="12.75" customHeight="1" x14ac:dyDescent="0.2">
      <c r="A278" s="567"/>
      <c r="B278" s="567"/>
      <c r="C278" s="567" t="s">
        <v>1484</v>
      </c>
      <c r="D278" s="567"/>
      <c r="E278" s="567"/>
      <c r="F278" s="567"/>
      <c r="G278" s="568" t="s">
        <v>2254</v>
      </c>
      <c r="H278" s="568" t="s">
        <v>340</v>
      </c>
      <c r="I278" s="710"/>
      <c r="J278" s="294" t="str">
        <f>IF(ISBLANK(HLOOKUP(CaseName,CaseData,MATCH($G278,cases!$G$4:$G$2458,0),FALSE)),"",HLOOKUP(CaseName,CaseData,MATCH($G278,cases!$G$4:$G$2458,0),FALSE))</f>
        <v/>
      </c>
      <c r="K278" s="577">
        <f>((2*kboltz*TEMP.C)/(3*DYNVISC.w))*(RadS+RadSPM.w)^2/(RadS*RadSPM.w)</f>
        <v>1.5760383927091152E-15</v>
      </c>
      <c r="L278" s="298">
        <f t="shared" si="13"/>
        <v>1.5760383927091152E-15</v>
      </c>
      <c r="M278" s="567" t="s">
        <v>340</v>
      </c>
      <c r="N278" s="567"/>
      <c r="O278" s="605"/>
      <c r="P278" s="567"/>
    </row>
    <row r="279" spans="1:16" customFormat="1" ht="12.75" customHeight="1" x14ac:dyDescent="0.2">
      <c r="A279" s="567"/>
      <c r="B279" s="567"/>
      <c r="C279" s="567" t="s">
        <v>2255</v>
      </c>
      <c r="D279" s="567"/>
      <c r="E279" s="567"/>
      <c r="F279" s="567"/>
      <c r="G279" s="568" t="s">
        <v>2256</v>
      </c>
      <c r="H279" s="568" t="s">
        <v>340</v>
      </c>
      <c r="I279" s="710"/>
      <c r="J279" s="294" t="str">
        <f>IF(ISBLANK(HLOOKUP(CaseName,CaseData,MATCH($G279,cases!$G$4:$G$2458,0),FALSE)),"",HLOOKUP(CaseName,CaseData,MATCH($G279,cases!$G$4:$G$2458,0),FALSE))</f>
        <v/>
      </c>
      <c r="K279" s="577">
        <f>PI()*(RadS+RadSPM.w)^2*ABS(SetVelS.w-SetVelSPM.w)</f>
        <v>8.3432920059282575E-16</v>
      </c>
      <c r="L279" s="298">
        <f t="shared" si="13"/>
        <v>8.3432920059282575E-16</v>
      </c>
      <c r="M279" s="567" t="s">
        <v>340</v>
      </c>
      <c r="N279" s="567"/>
      <c r="O279" s="605"/>
      <c r="P279" s="567"/>
    </row>
    <row r="280" spans="1:16" customFormat="1" ht="12.75" customHeight="1" x14ac:dyDescent="0.2">
      <c r="A280" s="410" t="s">
        <v>1488</v>
      </c>
      <c r="G280" s="172"/>
      <c r="H280" s="172"/>
      <c r="J280" s="273"/>
      <c r="K280" s="335"/>
      <c r="L280" s="332"/>
      <c r="O280" s="176"/>
    </row>
    <row r="281" spans="1:16" customFormat="1" ht="12.75" customHeight="1" x14ac:dyDescent="0.2">
      <c r="A281" s="567" t="s">
        <v>1489</v>
      </c>
      <c r="B281" s="567"/>
      <c r="C281" s="567"/>
      <c r="D281" s="567"/>
      <c r="E281" s="567"/>
      <c r="F281" s="567"/>
      <c r="G281" s="568" t="s">
        <v>2257</v>
      </c>
      <c r="H281" s="568" t="s">
        <v>340</v>
      </c>
      <c r="I281" s="710"/>
      <c r="J281" s="294" t="str">
        <f>IF(ISBLANK(HLOOKUP(CaseName,CaseData,MATCH($G281,cases!$G$4:$G$2458,0),FALSE)),"",HLOOKUP(CaseName,CaseData,MATCH($G281,cases!$G$4:$G$2458,0),FALSE))</f>
        <v/>
      </c>
      <c r="K281" s="699">
        <f>AtefSA.sd0*L282*(L287+L288)</f>
        <v>1.1864732307845752E-4</v>
      </c>
      <c r="L281" s="298">
        <f t="shared" ref="L281:L288" si="14">IF(ISBLANK(I281),IF(ISNUMBER(J281)=FALSE,K281,J281),I281)</f>
        <v>1.1864732307845752E-4</v>
      </c>
      <c r="M281" s="568" t="s">
        <v>340</v>
      </c>
      <c r="N281" s="567" t="s">
        <v>2258</v>
      </c>
      <c r="O281" s="605"/>
      <c r="P281" s="567"/>
    </row>
    <row r="282" spans="1:16" customFormat="1" ht="12.75" customHeight="1" x14ac:dyDescent="0.2">
      <c r="A282" s="567"/>
      <c r="B282" s="567" t="s">
        <v>1491</v>
      </c>
      <c r="C282" s="567"/>
      <c r="D282" s="567"/>
      <c r="E282" s="567"/>
      <c r="F282" s="567"/>
      <c r="G282" s="567" t="s">
        <v>2259</v>
      </c>
      <c r="H282" s="567" t="s">
        <v>715</v>
      </c>
      <c r="I282" s="710"/>
      <c r="J282" s="294" t="str">
        <f>IF(ISBLANK(HLOOKUP(CaseName,CaseData,MATCH($G282,cases!$G$4:$G$2458,0),FALSE)),"",HLOOKUP(CaseName,CaseData,MATCH($G282,cases!$G$4:$G$2458,0),FALSE))</f>
        <v/>
      </c>
      <c r="K282" s="699">
        <f>2*L249</f>
        <v>70735530263064.578</v>
      </c>
      <c r="L282" s="552">
        <f t="shared" si="14"/>
        <v>70735530263064.578</v>
      </c>
      <c r="M282" s="567" t="s">
        <v>715</v>
      </c>
      <c r="N282" s="567" t="s">
        <v>2260</v>
      </c>
      <c r="O282" s="605"/>
      <c r="P282" s="567"/>
    </row>
    <row r="283" spans="1:16" customFormat="1" ht="12.75" customHeight="1" x14ac:dyDescent="0.2">
      <c r="A283" s="567" t="s">
        <v>1494</v>
      </c>
      <c r="B283" s="567"/>
      <c r="C283" s="567"/>
      <c r="D283" s="567"/>
      <c r="E283" s="567"/>
      <c r="F283" s="567"/>
      <c r="G283" s="568" t="s">
        <v>2261</v>
      </c>
      <c r="H283" s="568" t="s">
        <v>340</v>
      </c>
      <c r="I283" s="710"/>
      <c r="J283" s="294" t="str">
        <f>IF(ISBLANK(HLOOKUP(CaseName,CaseData,MATCH($G283,cases!$G$4:$G$2458,0),FALSE)),"",HLOOKUP(CaseName,CaseData,MATCH($G283,cases!$G$4:$G$2458,0),FALSE))</f>
        <v/>
      </c>
      <c r="K283" s="699">
        <f>AtefSA.sd1*L284*(L287+L288)</f>
        <v>1.1864732307845752E-4</v>
      </c>
      <c r="L283" s="298">
        <f t="shared" si="14"/>
        <v>1.1864732307845752E-4</v>
      </c>
      <c r="M283" s="568" t="s">
        <v>340</v>
      </c>
      <c r="N283" s="567"/>
      <c r="O283" s="605"/>
      <c r="P283" s="567"/>
    </row>
    <row r="284" spans="1:16" customFormat="1" ht="12.75" customHeight="1" x14ac:dyDescent="0.2">
      <c r="A284" s="567"/>
      <c r="B284" s="567" t="s">
        <v>1496</v>
      </c>
      <c r="C284" s="567"/>
      <c r="D284" s="567"/>
      <c r="E284" s="567"/>
      <c r="F284" s="567"/>
      <c r="G284" s="568" t="s">
        <v>2262</v>
      </c>
      <c r="H284" s="568" t="s">
        <v>715</v>
      </c>
      <c r="I284" s="710"/>
      <c r="J284" s="294" t="str">
        <f>IF(ISBLANK(HLOOKUP(CaseName,CaseData,MATCH($G284,cases!$G$4:$G$2458,0),FALSE)),"",HLOOKUP(CaseName,CaseData,MATCH($G284,cases!$G$4:$G$2458,0),FALSE))</f>
        <v/>
      </c>
      <c r="K284" s="699">
        <f>2*L254</f>
        <v>70735530263064.578</v>
      </c>
      <c r="L284" s="298">
        <f t="shared" si="14"/>
        <v>70735530263064.578</v>
      </c>
      <c r="M284" s="568" t="s">
        <v>715</v>
      </c>
      <c r="N284" s="567" t="s">
        <v>2260</v>
      </c>
      <c r="O284" s="605"/>
      <c r="P284" s="587"/>
    </row>
    <row r="285" spans="1:16" customFormat="1" ht="12.75" customHeight="1" x14ac:dyDescent="0.2">
      <c r="A285" s="567" t="s">
        <v>1498</v>
      </c>
      <c r="B285" s="567"/>
      <c r="C285" s="567"/>
      <c r="D285" s="567"/>
      <c r="E285" s="567"/>
      <c r="F285" s="567"/>
      <c r="G285" s="568" t="s">
        <v>2263</v>
      </c>
      <c r="H285" s="568" t="s">
        <v>340</v>
      </c>
      <c r="I285" s="710"/>
      <c r="J285" s="294" t="str">
        <f>IF(ISBLANK(HLOOKUP(CaseName,CaseData,MATCH($G285,cases!$G$4:$G$2458,0),FALSE)),"",HLOOKUP(CaseName,CaseData,MATCH($G285,cases!$G$4:$G$2458,0),FALSE))</f>
        <v/>
      </c>
      <c r="K285" s="699">
        <f>AtefSA.sd2*L286*(L287+L288)</f>
        <v>5.9323661539228767E-3</v>
      </c>
      <c r="L285" s="298">
        <f t="shared" si="14"/>
        <v>5.9323661539228767E-3</v>
      </c>
      <c r="M285" s="568" t="s">
        <v>340</v>
      </c>
      <c r="N285" s="567"/>
      <c r="O285" s="605"/>
      <c r="P285" s="567"/>
    </row>
    <row r="286" spans="1:16" customFormat="1" ht="12.75" customHeight="1" x14ac:dyDescent="0.2">
      <c r="A286" s="567"/>
      <c r="B286" s="567" t="s">
        <v>1500</v>
      </c>
      <c r="C286" s="567"/>
      <c r="D286" s="567"/>
      <c r="E286" s="567"/>
      <c r="F286" s="567"/>
      <c r="G286" s="568" t="s">
        <v>2264</v>
      </c>
      <c r="H286" s="568" t="s">
        <v>715</v>
      </c>
      <c r="I286" s="710"/>
      <c r="J286" s="294" t="str">
        <f>IF(ISBLANK(HLOOKUP(CaseName,CaseData,MATCH($G286,cases!$G$4:$G$2458,0),FALSE)),"",HLOOKUP(CaseName,CaseData,MATCH($G286,cases!$G$4:$G$2458,0),FALSE))</f>
        <v/>
      </c>
      <c r="K286" s="699">
        <f>2*L259</f>
        <v>70735530263064.578</v>
      </c>
      <c r="L286" s="298">
        <f t="shared" si="14"/>
        <v>70735530263064.578</v>
      </c>
      <c r="M286" s="568" t="s">
        <v>715</v>
      </c>
      <c r="N286" s="567" t="s">
        <v>2260</v>
      </c>
      <c r="O286" s="605"/>
      <c r="P286" s="587"/>
    </row>
    <row r="287" spans="1:16" customFormat="1" ht="12.75" customHeight="1" x14ac:dyDescent="0.2">
      <c r="A287" s="567"/>
      <c r="B287" s="567"/>
      <c r="C287" s="567" t="s">
        <v>1454</v>
      </c>
      <c r="D287" s="567"/>
      <c r="E287" s="567"/>
      <c r="F287" s="567"/>
      <c r="G287" s="567" t="s">
        <v>2265</v>
      </c>
      <c r="H287" s="567" t="s">
        <v>340</v>
      </c>
      <c r="I287" s="710"/>
      <c r="J287" s="294" t="str">
        <f>IF(ISBLANK(HLOOKUP(CaseName,CaseData,MATCH($G287,cases!$G$4:$G$2458,0),FALSE)),"",HLOOKUP(CaseName,CaseData,MATCH($G287,cases!$G$4:$G$2458,0),FALSE))</f>
        <v/>
      </c>
      <c r="K287" s="699">
        <f>((2*kboltz*TEMP.C)/(3*DYNVISC.w))*(RadS+RadNC.sd)^2/(RadS*RadNC.sd)</f>
        <v>8.3863161807052569E-17</v>
      </c>
      <c r="L287" s="552">
        <f t="shared" si="14"/>
        <v>8.3863161807052569E-17</v>
      </c>
      <c r="M287" s="567" t="s">
        <v>340</v>
      </c>
      <c r="N287" s="567"/>
      <c r="O287" s="605"/>
      <c r="P287" s="567"/>
    </row>
    <row r="288" spans="1:16" customFormat="1" ht="12.75" customHeight="1" x14ac:dyDescent="0.2">
      <c r="A288" s="567"/>
      <c r="B288" s="567"/>
      <c r="C288" s="567" t="s">
        <v>1456</v>
      </c>
      <c r="D288" s="567"/>
      <c r="E288" s="567"/>
      <c r="F288" s="567"/>
      <c r="G288" s="568" t="s">
        <v>2266</v>
      </c>
      <c r="H288" s="568" t="s">
        <v>340</v>
      </c>
      <c r="I288" s="710"/>
      <c r="J288" s="294" t="str">
        <f>IF(ISBLANK(HLOOKUP(CaseName,CaseData,MATCH($G288,cases!$G$4:$G$2458,0),FALSE)),"",HLOOKUP(CaseName,CaseData,MATCH($G288,cases!$G$4:$G$2458,0),FALSE))</f>
        <v/>
      </c>
      <c r="K288" s="699">
        <f>PI()*(RadS+RadNC.sd)^2*ABS(SetVelS.w-SetVelNC.sd)</f>
        <v>3.6888670072520785E-21</v>
      </c>
      <c r="L288" s="298">
        <f t="shared" si="14"/>
        <v>3.6888670072520785E-21</v>
      </c>
      <c r="M288" s="567" t="s">
        <v>340</v>
      </c>
      <c r="N288" s="567"/>
      <c r="O288" s="605"/>
      <c r="P288" s="567"/>
    </row>
    <row r="289" spans="1:16" customFormat="1" ht="12.75" customHeight="1" x14ac:dyDescent="0.2">
      <c r="A289" s="410" t="s">
        <v>1504</v>
      </c>
      <c r="G289" s="172"/>
      <c r="H289" s="172"/>
      <c r="K289" s="335"/>
      <c r="L289" s="332"/>
      <c r="M289" s="172"/>
      <c r="O289" s="176"/>
    </row>
    <row r="290" spans="1:16" customFormat="1" ht="12.75" customHeight="1" x14ac:dyDescent="0.2">
      <c r="A290" s="567" t="s">
        <v>2267</v>
      </c>
      <c r="B290" s="567"/>
      <c r="C290" s="567"/>
      <c r="D290" s="567"/>
      <c r="E290" s="567"/>
      <c r="F290" s="567"/>
      <c r="G290" s="568" t="s">
        <v>2268</v>
      </c>
      <c r="H290" s="568" t="s">
        <v>340</v>
      </c>
      <c r="I290" s="710"/>
      <c r="J290" s="294" t="str">
        <f>IF(ISBLANK(HLOOKUP(CaseName,CaseData,MATCH($G290,cases!$G$4:$G$2458,0),FALSE)),"",HLOOKUP(CaseName,CaseData,MATCH($G290,cases!$G$4:$G$2458,0),FALSE))</f>
        <v/>
      </c>
      <c r="K290" s="577">
        <f>L293*L294*L295*AtefSP.sd0</f>
        <v>3.2073612446653404E-4</v>
      </c>
      <c r="L290" s="298">
        <f t="shared" ref="L290:L305" si="15">IF(ISBLANK(I290),IF(ISNUMBER(J290)=FALSE,K290,J290),I290)</f>
        <v>3.2073612446653404E-4</v>
      </c>
      <c r="M290" s="568" t="s">
        <v>340</v>
      </c>
      <c r="N290" s="567"/>
      <c r="O290" s="605"/>
      <c r="P290" s="567"/>
    </row>
    <row r="291" spans="1:16" customFormat="1" ht="12.75" customHeight="1" x14ac:dyDescent="0.2">
      <c r="A291" s="567" t="s">
        <v>2269</v>
      </c>
      <c r="B291" s="567"/>
      <c r="C291" s="567"/>
      <c r="D291" s="567"/>
      <c r="E291" s="567"/>
      <c r="F291" s="567"/>
      <c r="G291" s="568" t="s">
        <v>2270</v>
      </c>
      <c r="H291" s="568" t="s">
        <v>340</v>
      </c>
      <c r="I291" s="710"/>
      <c r="J291" s="294" t="str">
        <f>IF(ISBLANK(HLOOKUP(CaseName,CaseData,MATCH($G291,cases!$G$4:$G$2458,0),FALSE)),"",HLOOKUP(CaseName,CaseData,MATCH($G291,cases!$G$4:$G$2458,0),FALSE))</f>
        <v/>
      </c>
      <c r="K291" s="577">
        <f>L293*L294*L295*AtefSP.sd1</f>
        <v>3.2073612446653404E-4</v>
      </c>
      <c r="L291" s="298">
        <f t="shared" si="15"/>
        <v>3.2073612446653404E-4</v>
      </c>
      <c r="M291" s="568" t="s">
        <v>340</v>
      </c>
      <c r="N291" s="567"/>
      <c r="O291" s="605"/>
      <c r="P291" s="567"/>
    </row>
    <row r="292" spans="1:16" customFormat="1" ht="12.75" customHeight="1" x14ac:dyDescent="0.2">
      <c r="A292" s="567" t="s">
        <v>2271</v>
      </c>
      <c r="B292" s="567"/>
      <c r="C292" s="567"/>
      <c r="D292" s="567"/>
      <c r="E292" s="567"/>
      <c r="F292" s="567"/>
      <c r="G292" s="568" t="s">
        <v>2272</v>
      </c>
      <c r="H292" s="568" t="s">
        <v>340</v>
      </c>
      <c r="I292" s="710"/>
      <c r="J292" s="294" t="str">
        <f>IF(ISBLANK(HLOOKUP(CaseName,CaseData,MATCH($G292,cases!$G$4:$G$2458,0),FALSE)),"",HLOOKUP(CaseName,CaseData,MATCH($G292,cases!$G$4:$G$2458,0),FALSE))</f>
        <v/>
      </c>
      <c r="K292" s="577">
        <f>L293*L295*L294*AtefSP.sd2</f>
        <v>1.6036806223326702E-2</v>
      </c>
      <c r="L292" s="298">
        <f t="shared" si="15"/>
        <v>1.6036806223326702E-2</v>
      </c>
      <c r="M292" s="568" t="s">
        <v>340</v>
      </c>
      <c r="N292" s="567"/>
      <c r="O292" s="605"/>
      <c r="P292" s="567"/>
    </row>
    <row r="293" spans="1:16" customFormat="1" ht="12.75" customHeight="1" x14ac:dyDescent="0.2">
      <c r="A293" s="567"/>
      <c r="B293" s="567" t="s">
        <v>1511</v>
      </c>
      <c r="C293" s="567"/>
      <c r="D293" s="567"/>
      <c r="E293" s="567"/>
      <c r="F293" s="567"/>
      <c r="G293" s="568" t="s">
        <v>2273</v>
      </c>
      <c r="H293" s="568" t="s">
        <v>1513</v>
      </c>
      <c r="I293" s="710"/>
      <c r="J293" s="294" t="str">
        <f>IF(ISBLANK(HLOOKUP(CaseName,CaseData,MATCH($G293,cases!$G$4:$G$2458,0),FALSE)),"",HLOOKUP(CaseName,CaseData,MATCH($G293,cases!$G$4:$G$2458,0),FALSE))</f>
        <v/>
      </c>
      <c r="K293" s="577">
        <f>(3/2)*((1-L299)/(2*RadFP.sd*L299))</f>
        <v>1464.8437499999995</v>
      </c>
      <c r="L293" s="298">
        <f t="shared" si="15"/>
        <v>1464.8437499999995</v>
      </c>
      <c r="M293" s="568" t="s">
        <v>1513</v>
      </c>
      <c r="N293" s="567"/>
      <c r="O293" s="605"/>
      <c r="P293" s="567"/>
    </row>
    <row r="294" spans="1:16" customFormat="1" ht="12.75" customHeight="1" x14ac:dyDescent="0.2">
      <c r="A294" s="567"/>
      <c r="B294" s="567" t="s">
        <v>1514</v>
      </c>
      <c r="C294" s="567"/>
      <c r="D294" s="567"/>
      <c r="E294" s="567"/>
      <c r="F294" s="567"/>
      <c r="G294" s="567" t="s">
        <v>2274</v>
      </c>
      <c r="H294" s="568" t="s">
        <v>873</v>
      </c>
      <c r="I294" s="710"/>
      <c r="J294" s="294" t="str">
        <f>IF(ISBLANK(HLOOKUP(CaseName,CaseData,MATCH($G294,cases!$G$4:$G$2458,0),FALSE)),"",HLOOKUP(CaseName,CaseData,MATCH($G294,cases!$G$4:$G$2458,0),FALSE))</f>
        <v/>
      </c>
      <c r="K294" s="628">
        <f>9*10^-6</f>
        <v>9.0000000000000002E-6</v>
      </c>
      <c r="L294" s="298">
        <f t="shared" si="15"/>
        <v>9.0000000000000002E-6</v>
      </c>
      <c r="M294" s="568" t="s">
        <v>873</v>
      </c>
      <c r="N294" s="567"/>
      <c r="O294" s="605"/>
      <c r="P294" s="567" t="s">
        <v>1516</v>
      </c>
    </row>
    <row r="295" spans="1:16" customFormat="1" ht="12.75" customHeight="1" x14ac:dyDescent="0.2">
      <c r="A295" s="567"/>
      <c r="B295" s="567" t="s">
        <v>1517</v>
      </c>
      <c r="C295" s="567"/>
      <c r="D295" s="567"/>
      <c r="E295" s="567"/>
      <c r="F295" s="567"/>
      <c r="G295" s="568" t="s">
        <v>2275</v>
      </c>
      <c r="H295" s="568" t="s">
        <v>296</v>
      </c>
      <c r="I295" s="710"/>
      <c r="J295" s="294" t="str">
        <f>IF(ISBLANK(HLOOKUP(CaseName,CaseData,MATCH($G295,cases!$G$4:$G$2458,0),FALSE)),"",HLOOKUP(CaseName,CaseData,MATCH($G295,cases!$G$4:$G$2458,0),FALSE))</f>
        <v/>
      </c>
      <c r="K295" s="577">
        <f>L296+L300+L301</f>
        <v>1.216421449828633</v>
      </c>
      <c r="L295" s="298">
        <f t="shared" si="15"/>
        <v>1.216421449828633</v>
      </c>
      <c r="M295" s="568" t="s">
        <v>296</v>
      </c>
      <c r="N295" s="567"/>
      <c r="O295" s="605"/>
      <c r="P295" s="567" t="s">
        <v>1516</v>
      </c>
    </row>
    <row r="296" spans="1:16" customFormat="1" ht="12.75" customHeight="1" x14ac:dyDescent="0.2">
      <c r="A296" s="567"/>
      <c r="B296" s="567"/>
      <c r="C296" s="567" t="s">
        <v>1519</v>
      </c>
      <c r="D296" s="567"/>
      <c r="E296" s="567"/>
      <c r="F296" s="567"/>
      <c r="G296" s="568" t="s">
        <v>2276</v>
      </c>
      <c r="H296" s="568" t="s">
        <v>296</v>
      </c>
      <c r="I296" s="710"/>
      <c r="J296" s="294" t="str">
        <f>IF(ISBLANK(HLOOKUP(CaseName,CaseData,MATCH($G296,cases!$G$4:$G$2458,0),FALSE)),"",HLOOKUP(CaseName,CaseData,MATCH($G296,cases!$G$4:$G$2458,0),FALSE))</f>
        <v/>
      </c>
      <c r="K296" s="577">
        <f>2.4*L304^(1/3)*L303^(-0.081)*L304^(-0.715)*L302^(0.053)</f>
        <v>1.2164060487084727</v>
      </c>
      <c r="L296" s="298">
        <f t="shared" si="15"/>
        <v>1.2164060487084727</v>
      </c>
      <c r="M296" s="568" t="s">
        <v>296</v>
      </c>
      <c r="N296" s="567"/>
      <c r="O296" s="605"/>
      <c r="P296" s="567" t="s">
        <v>1516</v>
      </c>
    </row>
    <row r="297" spans="1:16" customFormat="1" ht="12.75" customHeight="1" x14ac:dyDescent="0.2">
      <c r="A297" s="567"/>
      <c r="B297" s="567"/>
      <c r="C297" s="567"/>
      <c r="D297" s="567" t="s">
        <v>1521</v>
      </c>
      <c r="E297" s="567"/>
      <c r="F297" s="567"/>
      <c r="G297" s="567" t="s">
        <v>2277</v>
      </c>
      <c r="H297" s="568" t="s">
        <v>296</v>
      </c>
      <c r="I297" s="710"/>
      <c r="J297" s="294" t="str">
        <f>IF(ISBLANK(HLOOKUP(CaseName,CaseData,MATCH($G297,cases!$G$4:$G$2458,0),FALSE)),"",HLOOKUP(CaseName,CaseData,MATCH($G297,cases!$G$4:$G$2458,0),FALSE))</f>
        <v/>
      </c>
      <c r="K297" s="628">
        <f>(2*(1-L298^5))/(2-3*L298+3*L298^5-2*L298^6)</f>
        <v>5.0249997549306684</v>
      </c>
      <c r="L297" s="298">
        <f t="shared" si="15"/>
        <v>5.0249997549306684</v>
      </c>
      <c r="M297" s="568" t="s">
        <v>296</v>
      </c>
      <c r="N297" s="567"/>
      <c r="O297" s="605"/>
      <c r="P297" s="567" t="s">
        <v>1516</v>
      </c>
    </row>
    <row r="298" spans="1:16" customFormat="1" ht="12.75" customHeight="1" x14ac:dyDescent="0.2">
      <c r="A298" s="567"/>
      <c r="B298" s="567"/>
      <c r="C298" s="567"/>
      <c r="D298" s="567"/>
      <c r="E298" s="567" t="s">
        <v>1523</v>
      </c>
      <c r="F298" s="567"/>
      <c r="G298" s="567" t="s">
        <v>2278</v>
      </c>
      <c r="H298" s="568" t="s">
        <v>296</v>
      </c>
      <c r="I298" s="710"/>
      <c r="J298" s="294" t="str">
        <f>IF(ISBLANK(HLOOKUP(CaseName,CaseData,MATCH($G298,cases!$G$4:$G$2458,0),FALSE)),"",HLOOKUP(CaseName,CaseData,MATCH($G298,cases!$G$4:$G$2458,0),FALSE))</f>
        <v/>
      </c>
      <c r="K298" s="628">
        <f>(1-L299)^(1/3)</f>
        <v>0.58480354764257325</v>
      </c>
      <c r="L298" s="298">
        <f t="shared" si="15"/>
        <v>0.58480354764257325</v>
      </c>
      <c r="M298" s="568" t="s">
        <v>296</v>
      </c>
      <c r="N298" s="567"/>
      <c r="O298" s="605"/>
      <c r="P298" s="567" t="s">
        <v>1516</v>
      </c>
    </row>
    <row r="299" spans="1:16" customFormat="1" ht="12.75" customHeight="1" x14ac:dyDescent="0.2">
      <c r="A299" s="567"/>
      <c r="B299" s="567"/>
      <c r="C299" s="567"/>
      <c r="D299" s="567"/>
      <c r="E299" s="567"/>
      <c r="F299" s="567" t="s">
        <v>1525</v>
      </c>
      <c r="G299" s="567" t="s">
        <v>2279</v>
      </c>
      <c r="H299" s="568" t="s">
        <v>1527</v>
      </c>
      <c r="I299" s="710"/>
      <c r="J299" s="294" t="str">
        <f>IF(ISBLANK(HLOOKUP(CaseName,CaseData,MATCH($G299,cases!$G$4:$G$2458,0),FALSE)),"",HLOOKUP(CaseName,CaseData,MATCH($G299,cases!$G$4:$G$2458,0),FALSE))</f>
        <v/>
      </c>
      <c r="K299" s="577">
        <f>L45</f>
        <v>0.8</v>
      </c>
      <c r="L299" s="298">
        <f t="shared" si="15"/>
        <v>0.8</v>
      </c>
      <c r="M299" s="568" t="s">
        <v>1527</v>
      </c>
      <c r="N299" s="567" t="s">
        <v>1528</v>
      </c>
      <c r="O299" s="605"/>
      <c r="P299" s="567"/>
    </row>
    <row r="300" spans="1:16" customFormat="1" ht="12.75" customHeight="1" x14ac:dyDescent="0.2">
      <c r="A300" s="567"/>
      <c r="B300" s="567"/>
      <c r="C300" s="567" t="s">
        <v>1529</v>
      </c>
      <c r="D300" s="567"/>
      <c r="E300" s="567"/>
      <c r="F300" s="567"/>
      <c r="G300" s="568" t="s">
        <v>2280</v>
      </c>
      <c r="H300" s="568" t="s">
        <v>296</v>
      </c>
      <c r="I300" s="710"/>
      <c r="J300" s="294" t="str">
        <f>IF(ISBLANK(HLOOKUP(CaseName,CaseData,MATCH($G300,cases!$G$4:$G$2458,0),FALSE)),"",HLOOKUP(CaseName,CaseData,MATCH($G300,cases!$G$4:$G$2458,0),FALSE))</f>
        <v/>
      </c>
      <c r="K300" s="577">
        <f>0.55*L303^1.55*L304^-0.125*L302^0.125</f>
        <v>5.2510265498612906E-8</v>
      </c>
      <c r="L300" s="298">
        <f t="shared" si="15"/>
        <v>5.2510265498612906E-8</v>
      </c>
      <c r="M300" s="568" t="s">
        <v>296</v>
      </c>
      <c r="N300" s="567"/>
      <c r="O300" s="605"/>
      <c r="P300" s="567" t="s">
        <v>1516</v>
      </c>
    </row>
    <row r="301" spans="1:16" customFormat="1" ht="12.75" customHeight="1" x14ac:dyDescent="0.2">
      <c r="A301" s="567"/>
      <c r="B301" s="567"/>
      <c r="C301" s="567" t="s">
        <v>1531</v>
      </c>
      <c r="D301" s="567"/>
      <c r="E301" s="567"/>
      <c r="F301" s="567"/>
      <c r="G301" s="568" t="s">
        <v>2281</v>
      </c>
      <c r="H301" s="568" t="s">
        <v>296</v>
      </c>
      <c r="I301" s="710"/>
      <c r="J301" s="294" t="str">
        <f>IF(ISBLANK(HLOOKUP(CaseName,CaseData,MATCH($G301,cases!$G$4:$G$2458,0),FALSE)),"",HLOOKUP(CaseName,CaseData,MATCH($G301,cases!$G$4:$G$2458,0),FALSE))</f>
        <v/>
      </c>
      <c r="K301" s="577">
        <f>0.22*L303^-0.24*L305^1.11*L302^0.053</f>
        <v>1.5348609894728741E-5</v>
      </c>
      <c r="L301" s="298">
        <f t="shared" si="15"/>
        <v>1.5348609894728741E-5</v>
      </c>
      <c r="M301" s="568" t="s">
        <v>296</v>
      </c>
      <c r="N301" s="567"/>
      <c r="O301" s="605"/>
      <c r="P301" s="567" t="s">
        <v>1516</v>
      </c>
    </row>
    <row r="302" spans="1:16" customFormat="1" ht="12.75" customHeight="1" x14ac:dyDescent="0.2">
      <c r="A302" s="567"/>
      <c r="B302" s="567"/>
      <c r="C302" s="567"/>
      <c r="D302" s="567" t="s">
        <v>1533</v>
      </c>
      <c r="E302" s="567"/>
      <c r="F302" s="567"/>
      <c r="G302" s="567" t="s">
        <v>2282</v>
      </c>
      <c r="H302" s="568" t="s">
        <v>296</v>
      </c>
      <c r="I302" s="710"/>
      <c r="J302" s="294" t="str">
        <f>IF(ISBLANK(HLOOKUP(CaseName,CaseData,MATCH($G302,cases!$G$4:$G$2458,0),FALSE)),"",HLOOKUP(CaseName,CaseData,MATCH($G302,cases!$G$4:$G$2458,0),FALSE))</f>
        <v/>
      </c>
      <c r="K302" s="628">
        <f>AHamakerSP.w/(kboltz*TEMP.C)</f>
        <v>1.7535615368506079</v>
      </c>
      <c r="L302" s="298">
        <f t="shared" si="15"/>
        <v>1.7535615368506079</v>
      </c>
      <c r="M302" s="568" t="s">
        <v>296</v>
      </c>
      <c r="N302" s="567"/>
      <c r="O302" s="605"/>
      <c r="P302" s="567" t="s">
        <v>1516</v>
      </c>
    </row>
    <row r="303" spans="1:16" customFormat="1" ht="12.75" customHeight="1" x14ac:dyDescent="0.2">
      <c r="A303" s="567"/>
      <c r="B303" s="567"/>
      <c r="C303" s="567"/>
      <c r="D303" s="567" t="s">
        <v>1535</v>
      </c>
      <c r="E303" s="567"/>
      <c r="F303" s="567"/>
      <c r="G303" s="567" t="s">
        <v>2283</v>
      </c>
      <c r="H303" s="568" t="s">
        <v>1537</v>
      </c>
      <c r="I303" s="710"/>
      <c r="J303" s="294" t="str">
        <f>IF(ISBLANK(HLOOKUP(CaseName,CaseData,MATCH($G303,cases!$G$4:$G$2458,0),FALSE)),"",HLOOKUP(CaseName,CaseData,MATCH($G303,cases!$G$4:$G$2458,0),FALSE))</f>
        <v/>
      </c>
      <c r="K303" s="628">
        <f>RadS/RadFP.sd</f>
        <v>3.9062500000000001E-5</v>
      </c>
      <c r="L303" s="298">
        <f t="shared" si="15"/>
        <v>3.9062500000000001E-5</v>
      </c>
      <c r="M303" s="568" t="s">
        <v>1537</v>
      </c>
      <c r="N303" s="567"/>
      <c r="O303" s="605"/>
      <c r="P303" s="567" t="s">
        <v>1516</v>
      </c>
    </row>
    <row r="304" spans="1:16" customFormat="1" ht="12.75" customHeight="1" x14ac:dyDescent="0.2">
      <c r="A304" s="567"/>
      <c r="B304" s="567"/>
      <c r="C304" s="567"/>
      <c r="D304" s="567" t="s">
        <v>1538</v>
      </c>
      <c r="E304" s="567"/>
      <c r="F304" s="567"/>
      <c r="G304" s="567" t="s">
        <v>2284</v>
      </c>
      <c r="H304" s="568" t="s">
        <v>296</v>
      </c>
      <c r="I304" s="710"/>
      <c r="J304" s="294" t="str">
        <f>IF(ISBLANK(HLOOKUP(CaseName,CaseData,MATCH($G304,cases!$G$4:$G$2458,0),FALSE)),"",HLOOKUP(CaseName,CaseData,MATCH($G304,cases!$G$4:$G$2458,0),FALSE))</f>
        <v/>
      </c>
      <c r="K304" s="628">
        <f>(L294*2*RadFP.sd)/DiffS.wC</f>
        <v>55.295939834256309</v>
      </c>
      <c r="L304" s="298">
        <f t="shared" si="15"/>
        <v>55.295939834256309</v>
      </c>
      <c r="M304" s="568" t="s">
        <v>296</v>
      </c>
      <c r="N304" s="567"/>
      <c r="O304" s="605"/>
      <c r="P304" s="567" t="s">
        <v>1516</v>
      </c>
    </row>
    <row r="305" spans="1:16" customFormat="1" ht="12.75" customHeight="1" x14ac:dyDescent="0.2">
      <c r="A305" s="567"/>
      <c r="B305" s="567"/>
      <c r="C305" s="567"/>
      <c r="D305" s="567" t="s">
        <v>1540</v>
      </c>
      <c r="E305" s="567"/>
      <c r="F305" s="567"/>
      <c r="G305" s="568" t="s">
        <v>2285</v>
      </c>
      <c r="H305" s="568" t="s">
        <v>296</v>
      </c>
      <c r="I305" s="710"/>
      <c r="J305" s="294" t="str">
        <f>IF(ISBLANK(HLOOKUP(CaseName,CaseData,MATCH($G305,cases!$G$4:$G$2458,0),FALSE)),"",HLOOKUP(CaseName,CaseData,MATCH($G305,cases!$G$4:$G$2458,0),FALSE))</f>
        <v/>
      </c>
      <c r="K305" s="628">
        <f>(2*RadS^2*(ABS(RhoS-Rho.w))*9.81)/(9*DYNVISC.w*L294)</f>
        <v>1.9532490574406746E-5</v>
      </c>
      <c r="L305" s="298">
        <f t="shared" si="15"/>
        <v>1.9532490574406746E-5</v>
      </c>
      <c r="M305" s="568" t="s">
        <v>296</v>
      </c>
      <c r="N305" s="567"/>
      <c r="O305" s="605"/>
      <c r="P305" s="567" t="s">
        <v>1516</v>
      </c>
    </row>
    <row r="306" spans="1:16" customFormat="1" ht="12.75" customHeight="1" x14ac:dyDescent="0.2">
      <c r="A306" s="410" t="s">
        <v>1542</v>
      </c>
      <c r="G306" s="172"/>
      <c r="H306" s="172"/>
      <c r="J306" s="273"/>
      <c r="K306" s="335"/>
      <c r="L306" s="332"/>
      <c r="M306" s="172"/>
      <c r="O306" s="176"/>
    </row>
    <row r="307" spans="1:16" customFormat="1" ht="12.75" customHeight="1" x14ac:dyDescent="0.2">
      <c r="A307" s="567" t="s">
        <v>1543</v>
      </c>
      <c r="B307" s="567"/>
      <c r="C307" s="567"/>
      <c r="D307" s="567"/>
      <c r="E307" s="567"/>
      <c r="F307" s="567"/>
      <c r="G307" s="568" t="s">
        <v>2286</v>
      </c>
      <c r="H307" s="568" t="s">
        <v>340</v>
      </c>
      <c r="I307" s="710"/>
      <c r="J307" s="294" t="str">
        <f>IF(ISBLANK(HLOOKUP(CaseName,CaseData,MATCH($G307,cases!$G$4:$G$2458,0),FALSE)),"",HLOOKUP(CaseName,CaseData,MATCH($G307,cases!$G$4:$G$2458,0),FALSE))</f>
        <v/>
      </c>
      <c r="K307" s="577">
        <f>AtefSA.s1*L310*(L311+L312)</f>
        <v>9.9663751385904359E-2</v>
      </c>
      <c r="L307" s="298">
        <f t="shared" ref="L307:L312" si="16">IF(ISBLANK(I307),IF(ISNUMBER(J307)=FALSE,K307,J307),I307)</f>
        <v>9.9663751385904359E-2</v>
      </c>
      <c r="M307" s="568" t="s">
        <v>340</v>
      </c>
      <c r="N307" s="567"/>
      <c r="O307" s="605"/>
      <c r="P307" s="567"/>
    </row>
    <row r="308" spans="1:16" customFormat="1" ht="12.75" customHeight="1" x14ac:dyDescent="0.2">
      <c r="A308" s="567" t="s">
        <v>1545</v>
      </c>
      <c r="B308" s="567"/>
      <c r="C308" s="567"/>
      <c r="D308" s="567"/>
      <c r="E308" s="567"/>
      <c r="F308" s="567"/>
      <c r="G308" s="568" t="s">
        <v>2287</v>
      </c>
      <c r="H308" s="568" t="s">
        <v>340</v>
      </c>
      <c r="I308" s="710"/>
      <c r="J308" s="294" t="str">
        <f>IF(ISBLANK(HLOOKUP(CaseName,CaseData,MATCH($G308,cases!$G$4:$G$2458,0),FALSE)),"",HLOOKUP(CaseName,CaseData,MATCH($G308,cases!$G$4:$G$2458,0),FALSE))</f>
        <v/>
      </c>
      <c r="K308" s="577">
        <f>AtefSA.s2*L310*(L311+L312)</f>
        <v>9.9663751385904359E-2</v>
      </c>
      <c r="L308" s="298">
        <f t="shared" si="16"/>
        <v>9.9663751385904359E-2</v>
      </c>
      <c r="M308" s="568" t="s">
        <v>340</v>
      </c>
      <c r="N308" s="567"/>
      <c r="O308" s="605"/>
      <c r="P308" s="567"/>
    </row>
    <row r="309" spans="1:16" customFormat="1" ht="12.75" customHeight="1" x14ac:dyDescent="0.2">
      <c r="A309" s="567" t="s">
        <v>1547</v>
      </c>
      <c r="B309" s="567"/>
      <c r="C309" s="567"/>
      <c r="D309" s="567"/>
      <c r="E309" s="567"/>
      <c r="F309" s="567"/>
      <c r="G309" s="568" t="s">
        <v>2288</v>
      </c>
      <c r="H309" s="568" t="s">
        <v>340</v>
      </c>
      <c r="I309" s="710"/>
      <c r="J309" s="294" t="str">
        <f>IF(ISBLANK(HLOOKUP(CaseName,CaseData,MATCH($G309,cases!$G$4:$G$2458,0),FALSE)),"",HLOOKUP(CaseName,CaseData,MATCH($G309,cases!$G$4:$G$2458,0),FALSE))</f>
        <v/>
      </c>
      <c r="K309" s="577">
        <f>AtefSA.s3*L310*(L311+L312)</f>
        <v>9.9663751385904359E-2</v>
      </c>
      <c r="L309" s="298">
        <f t="shared" si="16"/>
        <v>9.9663751385904359E-2</v>
      </c>
      <c r="M309" s="568" t="s">
        <v>340</v>
      </c>
      <c r="N309" s="567"/>
      <c r="O309" s="605"/>
      <c r="P309" s="567"/>
    </row>
    <row r="310" spans="1:16" customFormat="1" ht="12.75" customHeight="1" x14ac:dyDescent="0.2">
      <c r="A310" s="567"/>
      <c r="B310" s="567" t="s">
        <v>1549</v>
      </c>
      <c r="C310" s="567"/>
      <c r="D310" s="567"/>
      <c r="E310" s="567"/>
      <c r="F310" s="567"/>
      <c r="G310" s="568" t="s">
        <v>2289</v>
      </c>
      <c r="H310" s="568" t="s">
        <v>715</v>
      </c>
      <c r="I310" s="710"/>
      <c r="J310" s="294" t="str">
        <f>IF(ISBLANK(HLOOKUP(CaseName,CaseData,MATCH($G310,cases!$G$4:$G$2458,0),FALSE)),"",HLOOKUP(CaseName,CaseData,MATCH($G310,cases!$G$4:$G$2458,0),FALSE))</f>
        <v/>
      </c>
      <c r="K310" s="577">
        <f>(input!L314)/(SingleVolNC.s*RhoNC.s)</f>
        <v>3536776513153229.5</v>
      </c>
      <c r="L310" s="298">
        <f t="shared" si="16"/>
        <v>3536776513153229.5</v>
      </c>
      <c r="M310" s="568" t="s">
        <v>715</v>
      </c>
      <c r="N310" s="567"/>
      <c r="O310" s="605"/>
      <c r="P310" s="567"/>
    </row>
    <row r="311" spans="1:16" customFormat="1" ht="12.75" customHeight="1" x14ac:dyDescent="0.2">
      <c r="A311" s="567"/>
      <c r="B311" s="567" t="s">
        <v>1454</v>
      </c>
      <c r="C311" s="567"/>
      <c r="D311" s="567"/>
      <c r="E311" s="567"/>
      <c r="F311" s="567"/>
      <c r="G311" s="568" t="s">
        <v>2290</v>
      </c>
      <c r="H311" s="568" t="s">
        <v>340</v>
      </c>
      <c r="I311" s="710"/>
      <c r="J311" s="294" t="str">
        <f>IF(ISBLANK(HLOOKUP(CaseName,CaseData,MATCH($G311,cases!$G$4:$G$2458,0),FALSE)),"",HLOOKUP(CaseName,CaseData,MATCH($G311,cases!$G$4:$G$2458,0),FALSE))</f>
        <v/>
      </c>
      <c r="K311" s="577">
        <f>((2*kboltz*TEMP.C)/(3*DYNVISC.w))*((RadS+RadNC.s)^2)/(RadS*RadNC.s)</f>
        <v>8.3863161807052569E-17</v>
      </c>
      <c r="L311" s="298">
        <f t="shared" si="16"/>
        <v>8.3863161807052569E-17</v>
      </c>
      <c r="M311" s="567" t="s">
        <v>340</v>
      </c>
      <c r="N311" s="567"/>
      <c r="O311" s="605"/>
      <c r="P311" s="567"/>
    </row>
    <row r="312" spans="1:16" customFormat="1" ht="12.75" customHeight="1" x14ac:dyDescent="0.2">
      <c r="A312" s="567"/>
      <c r="B312" s="567" t="s">
        <v>1456</v>
      </c>
      <c r="C312" s="567"/>
      <c r="D312" s="567"/>
      <c r="E312" s="567"/>
      <c r="F312" s="567"/>
      <c r="G312" s="568" t="s">
        <v>2291</v>
      </c>
      <c r="H312" s="568" t="s">
        <v>340</v>
      </c>
      <c r="I312" s="710"/>
      <c r="J312" s="294" t="str">
        <f>IF(ISBLANK(HLOOKUP(CaseName,CaseData,MATCH($G312,cases!$G$4:$G$2458,0),FALSE)),"",HLOOKUP(CaseName,CaseData,MATCH($G312,cases!$G$4:$G$2458,0),FALSE))</f>
        <v/>
      </c>
      <c r="K312" s="577">
        <f>PI()*(RadS+RadNC.s)^2*ABS(SetVelS.w-SetVelNC.s)</f>
        <v>3.6888670072520785E-21</v>
      </c>
      <c r="L312" s="298">
        <f t="shared" si="16"/>
        <v>3.6888670072520785E-21</v>
      </c>
      <c r="M312" s="567" t="s">
        <v>340</v>
      </c>
      <c r="N312" s="567"/>
      <c r="O312" s="605"/>
      <c r="P312" s="567"/>
    </row>
    <row r="313" spans="1:16" customFormat="1" ht="12.75" customHeight="1" x14ac:dyDescent="0.2">
      <c r="A313" s="410" t="s">
        <v>1553</v>
      </c>
      <c r="G313" s="172"/>
      <c r="H313" s="172"/>
      <c r="J313" s="273"/>
      <c r="K313" s="335"/>
      <c r="L313" s="332"/>
      <c r="M313" s="172"/>
      <c r="O313" s="176"/>
    </row>
    <row r="314" spans="1:16" customFormat="1" ht="12.75" customHeight="1" x14ac:dyDescent="0.2">
      <c r="A314" s="567" t="s">
        <v>1554</v>
      </c>
      <c r="B314" s="567"/>
      <c r="C314" s="567"/>
      <c r="D314" s="567"/>
      <c r="E314" s="567"/>
      <c r="F314" s="567"/>
      <c r="G314" s="568" t="s">
        <v>2292</v>
      </c>
      <c r="H314" s="568" t="s">
        <v>340</v>
      </c>
      <c r="I314" s="710"/>
      <c r="J314" s="294" t="str">
        <f>IF(ISBLANK(HLOOKUP(CaseName,CaseData,MATCH($G314,cases!$G$4:$G$2458,0),FALSE)),"",HLOOKUP(CaseName,CaseData,MATCH($G314,cases!$G$4:$G$2458,0),FALSE))</f>
        <v/>
      </c>
      <c r="K314" s="577">
        <f>L315*L316*L317*AtefSP.s1</f>
        <v>2.8525040501634097E-2</v>
      </c>
      <c r="L314" s="298">
        <f t="shared" ref="L314:L355" si="17">IF(ISBLANK(I314),IF(ISNUMBER(J314)=FALSE,K314,J314),I314)</f>
        <v>2.8525040501634097E-2</v>
      </c>
      <c r="M314" s="568" t="s">
        <v>340</v>
      </c>
      <c r="N314" s="567"/>
      <c r="O314" s="605"/>
      <c r="P314" s="567"/>
    </row>
    <row r="315" spans="1:16" customFormat="1" ht="12.75" customHeight="1" x14ac:dyDescent="0.2">
      <c r="A315" s="567"/>
      <c r="B315" s="567" t="s">
        <v>1556</v>
      </c>
      <c r="C315" s="567"/>
      <c r="D315" s="567"/>
      <c r="E315" s="567"/>
      <c r="F315" s="567"/>
      <c r="G315" s="568" t="s">
        <v>2293</v>
      </c>
      <c r="H315" s="568" t="s">
        <v>1513</v>
      </c>
      <c r="I315" s="710"/>
      <c r="J315" s="294" t="str">
        <f>IF(ISBLANK(HLOOKUP(CaseName,CaseData,MATCH($G315,cases!$G$4:$G$2458,0),FALSE)),"",HLOOKUP(CaseName,CaseData,MATCH($G315,cases!$G$4:$G$2458,0),FALSE))</f>
        <v/>
      </c>
      <c r="K315" s="577">
        <f>(3/2)*(1-L321)/(2*RadFP.s*L321)</f>
        <v>8789.0625000000036</v>
      </c>
      <c r="L315" s="298">
        <f t="shared" si="17"/>
        <v>8789.0625000000036</v>
      </c>
      <c r="M315" s="568" t="s">
        <v>1513</v>
      </c>
      <c r="N315" s="567"/>
      <c r="O315" s="605"/>
      <c r="P315" s="567"/>
    </row>
    <row r="316" spans="1:16" customFormat="1" ht="12.75" customHeight="1" x14ac:dyDescent="0.2">
      <c r="A316" s="567"/>
      <c r="B316" s="567" t="s">
        <v>1558</v>
      </c>
      <c r="C316" s="567"/>
      <c r="D316" s="567"/>
      <c r="E316" s="567"/>
      <c r="F316" s="567"/>
      <c r="G316" s="567" t="s">
        <v>2294</v>
      </c>
      <c r="H316" s="568" t="s">
        <v>873</v>
      </c>
      <c r="I316" s="710"/>
      <c r="J316" s="294" t="str">
        <f>IF(ISBLANK(HLOOKUP(CaseName,CaseData,MATCH($G316,cases!$G$4:$G$2458,0),FALSE)),"",HLOOKUP(CaseName,CaseData,MATCH($G316,cases!$G$4:$G$2458,0),FALSE))</f>
        <v/>
      </c>
      <c r="K316" s="628">
        <f>9*10^-6</f>
        <v>9.0000000000000002E-6</v>
      </c>
      <c r="L316" s="298">
        <f t="shared" si="17"/>
        <v>9.0000000000000002E-6</v>
      </c>
      <c r="M316" s="568" t="s">
        <v>873</v>
      </c>
      <c r="N316" s="567"/>
      <c r="O316" s="605"/>
      <c r="P316" s="567" t="s">
        <v>1516</v>
      </c>
    </row>
    <row r="317" spans="1:16" customFormat="1" ht="12.75" customHeight="1" x14ac:dyDescent="0.2">
      <c r="A317" s="567"/>
      <c r="B317" s="567" t="s">
        <v>1517</v>
      </c>
      <c r="C317" s="567"/>
      <c r="D317" s="567"/>
      <c r="E317" s="567"/>
      <c r="F317" s="567"/>
      <c r="G317" s="568" t="s">
        <v>2295</v>
      </c>
      <c r="H317" s="568" t="s">
        <v>296</v>
      </c>
      <c r="I317" s="710"/>
      <c r="J317" s="294" t="str">
        <f>IF(ISBLANK(HLOOKUP(CaseName,CaseData,MATCH($G317,cases!$G$4:$G$2458,0),FALSE)),"",HLOOKUP(CaseName,CaseData,MATCH($G317,cases!$G$4:$G$2458,0),FALSE))</f>
        <v/>
      </c>
      <c r="K317" s="577">
        <f>L318+L322+L323</f>
        <v>1.0732525526775902</v>
      </c>
      <c r="L317" s="298">
        <f t="shared" si="17"/>
        <v>1.0732525526775902</v>
      </c>
      <c r="M317" s="568" t="s">
        <v>296</v>
      </c>
      <c r="N317" s="567"/>
      <c r="O317" s="605"/>
      <c r="P317" s="567" t="s">
        <v>1516</v>
      </c>
    </row>
    <row r="318" spans="1:16" customFormat="1" ht="12.75" customHeight="1" x14ac:dyDescent="0.2">
      <c r="A318" s="567"/>
      <c r="B318" s="567"/>
      <c r="C318" s="567" t="s">
        <v>1519</v>
      </c>
      <c r="D318" s="567"/>
      <c r="E318" s="567"/>
      <c r="F318" s="567"/>
      <c r="G318" s="568" t="s">
        <v>2296</v>
      </c>
      <c r="H318" s="568" t="s">
        <v>296</v>
      </c>
      <c r="I318" s="710"/>
      <c r="J318" s="294" t="str">
        <f>IF(ISBLANK(HLOOKUP(CaseName,CaseData,MATCH($G318,cases!$G$4:$G$2458,0),FALSE)),"",HLOOKUP(CaseName,CaseData,MATCH($G318,cases!$G$4:$G$2458,0),FALSE))</f>
        <v/>
      </c>
      <c r="K318" s="577">
        <f>2.4*L319^(1/3)*L325^(-0.081)*L326^-0.715*L324^0.053</f>
        <v>1.0732371515574299</v>
      </c>
      <c r="L318" s="298">
        <f t="shared" si="17"/>
        <v>1.0732371515574299</v>
      </c>
      <c r="M318" s="568" t="s">
        <v>296</v>
      </c>
      <c r="N318" s="567"/>
      <c r="O318" s="605"/>
      <c r="P318" s="567" t="s">
        <v>1516</v>
      </c>
    </row>
    <row r="319" spans="1:16" customFormat="1" ht="12.75" customHeight="1" x14ac:dyDescent="0.2">
      <c r="A319" s="567"/>
      <c r="B319" s="567"/>
      <c r="C319" s="567"/>
      <c r="D319" s="567" t="s">
        <v>1521</v>
      </c>
      <c r="E319" s="567"/>
      <c r="F319" s="567"/>
      <c r="G319" s="567" t="s">
        <v>2297</v>
      </c>
      <c r="H319" s="568" t="s">
        <v>296</v>
      </c>
      <c r="I319" s="710"/>
      <c r="J319" s="294" t="str">
        <f>IF(ISBLANK(HLOOKUP(CaseName,CaseData,MATCH($G319,cases!$G$4:$G$2458,0),FALSE)),"",HLOOKUP(CaseName,CaseData,MATCH($G319,cases!$G$4:$G$2458,0),FALSE))</f>
        <v/>
      </c>
      <c r="K319" s="628">
        <f>(2*(1-L320^5))/(2-3*L320+3*L320^5-2*L320^6)</f>
        <v>37.979096123930859</v>
      </c>
      <c r="L319" s="298">
        <f t="shared" si="17"/>
        <v>37.979096123930859</v>
      </c>
      <c r="M319" s="568" t="s">
        <v>296</v>
      </c>
      <c r="N319" s="567"/>
      <c r="O319" s="605"/>
      <c r="P319" s="567" t="s">
        <v>1516</v>
      </c>
    </row>
    <row r="320" spans="1:16" customFormat="1" ht="12.75" customHeight="1" x14ac:dyDescent="0.2">
      <c r="A320" s="567"/>
      <c r="B320" s="567"/>
      <c r="C320" s="567"/>
      <c r="D320" s="567"/>
      <c r="E320" s="567" t="s">
        <v>1563</v>
      </c>
      <c r="F320" s="567"/>
      <c r="G320" s="567" t="s">
        <v>2298</v>
      </c>
      <c r="H320" s="568" t="s">
        <v>296</v>
      </c>
      <c r="I320" s="710"/>
      <c r="J320" s="294" t="str">
        <f>IF(ISBLANK(HLOOKUP(CaseName,CaseData,MATCH($G320,cases!$G$4:$G$2458,0),FALSE)),"",HLOOKUP(CaseName,CaseData,MATCH($G320,cases!$G$4:$G$2458,0),FALSE))</f>
        <v/>
      </c>
      <c r="K320" s="628">
        <f>(1-L321)^(1/3)</f>
        <v>0.84343266530174932</v>
      </c>
      <c r="L320" s="298">
        <f t="shared" si="17"/>
        <v>0.84343266530174932</v>
      </c>
      <c r="M320" s="568" t="s">
        <v>296</v>
      </c>
      <c r="N320" s="567"/>
      <c r="O320" s="605"/>
      <c r="P320" s="567" t="s">
        <v>1516</v>
      </c>
    </row>
    <row r="321" spans="1:16" customFormat="1" ht="12.75" customHeight="1" x14ac:dyDescent="0.2">
      <c r="A321" s="567"/>
      <c r="B321" s="567"/>
      <c r="C321" s="567"/>
      <c r="D321" s="567"/>
      <c r="E321" s="567"/>
      <c r="F321" s="567" t="s">
        <v>1565</v>
      </c>
      <c r="G321" s="567" t="s">
        <v>2299</v>
      </c>
      <c r="H321" s="568" t="s">
        <v>1527</v>
      </c>
      <c r="I321" s="710"/>
      <c r="J321" s="294" t="str">
        <f>IF(ISBLANK(HLOOKUP(CaseName,CaseData,MATCH($G321,cases!$G$4:$G$2458,0),FALSE)),"",HLOOKUP(CaseName,CaseData,MATCH($G321,cases!$G$4:$G$2458,0),FALSE))</f>
        <v/>
      </c>
      <c r="K321" s="577">
        <f>1-L38</f>
        <v>0.39999999999999991</v>
      </c>
      <c r="L321" s="298">
        <f t="shared" si="17"/>
        <v>0.39999999999999991</v>
      </c>
      <c r="M321" s="568" t="s">
        <v>1527</v>
      </c>
      <c r="N321" s="567" t="s">
        <v>1583</v>
      </c>
      <c r="O321" s="605"/>
      <c r="P321" s="567"/>
    </row>
    <row r="322" spans="1:16" customFormat="1" ht="12.75" customHeight="1" x14ac:dyDescent="0.2">
      <c r="A322" s="567"/>
      <c r="B322" s="567"/>
      <c r="C322" s="567" t="s">
        <v>1529</v>
      </c>
      <c r="D322" s="567"/>
      <c r="E322" s="567"/>
      <c r="F322" s="567"/>
      <c r="G322" s="568" t="s">
        <v>2300</v>
      </c>
      <c r="H322" s="568" t="s">
        <v>296</v>
      </c>
      <c r="I322" s="710"/>
      <c r="J322" s="294" t="str">
        <f>IF(ISBLANK(HLOOKUP(CaseName,CaseData,MATCH($G322,cases!$G$4:$G$2458,0),FALSE)),"",HLOOKUP(CaseName,CaseData,MATCH($G322,cases!$G$4:$G$2458,0),FALSE))</f>
        <v/>
      </c>
      <c r="K322" s="577">
        <f>0.55*L325^1.55*L326^-0.125*L324^0.125</f>
        <v>5.2510265498612906E-8</v>
      </c>
      <c r="L322" s="298">
        <f t="shared" si="17"/>
        <v>5.2510265498612906E-8</v>
      </c>
      <c r="M322" s="568" t="s">
        <v>296</v>
      </c>
      <c r="N322" s="567"/>
      <c r="O322" s="605"/>
      <c r="P322" s="567" t="s">
        <v>1516</v>
      </c>
    </row>
    <row r="323" spans="1:16" customFormat="1" ht="12.75" customHeight="1" x14ac:dyDescent="0.2">
      <c r="A323" s="567"/>
      <c r="B323" s="567"/>
      <c r="C323" s="567" t="s">
        <v>1531</v>
      </c>
      <c r="D323" s="567"/>
      <c r="E323" s="567"/>
      <c r="F323" s="567"/>
      <c r="G323" s="568" t="s">
        <v>2301</v>
      </c>
      <c r="H323" s="568" t="s">
        <v>296</v>
      </c>
      <c r="I323" s="710"/>
      <c r="J323" s="294" t="str">
        <f>IF(ISBLANK(HLOOKUP(CaseName,CaseData,MATCH($G323,cases!$G$4:$G$2458,0),FALSE)),"",HLOOKUP(CaseName,CaseData,MATCH($G323,cases!$G$4:$G$2458,0),FALSE))</f>
        <v/>
      </c>
      <c r="K323" s="577">
        <f>0.22*L325^-0.24*L327^1.11*L324^0.053</f>
        <v>1.5348609894728741E-5</v>
      </c>
      <c r="L323" s="298">
        <f t="shared" si="17"/>
        <v>1.5348609894728741E-5</v>
      </c>
      <c r="M323" s="568" t="s">
        <v>296</v>
      </c>
      <c r="N323" s="567"/>
      <c r="O323" s="605"/>
      <c r="P323" s="567" t="s">
        <v>1516</v>
      </c>
    </row>
    <row r="324" spans="1:16" customFormat="1" ht="12.75" customHeight="1" x14ac:dyDescent="0.2">
      <c r="A324" s="567"/>
      <c r="B324" s="567"/>
      <c r="C324" s="567"/>
      <c r="D324" s="567" t="s">
        <v>1533</v>
      </c>
      <c r="E324" s="567"/>
      <c r="F324" s="567"/>
      <c r="G324" s="567" t="s">
        <v>2302</v>
      </c>
      <c r="H324" s="568" t="s">
        <v>296</v>
      </c>
      <c r="I324" s="710"/>
      <c r="J324" s="294" t="str">
        <f>IF(ISBLANK(HLOOKUP(CaseName,CaseData,MATCH($G324,cases!$G$4:$G$2458,0),FALSE)),"",HLOOKUP(CaseName,CaseData,MATCH($G324,cases!$G$4:$G$2458,0),FALSE))</f>
        <v/>
      </c>
      <c r="K324" s="628">
        <f>AHamakerSP.w/(kboltz*TEMP.C)</f>
        <v>1.7535615368506079</v>
      </c>
      <c r="L324" s="298">
        <f t="shared" si="17"/>
        <v>1.7535615368506079</v>
      </c>
      <c r="M324" s="568" t="s">
        <v>296</v>
      </c>
      <c r="N324" s="567"/>
      <c r="O324" s="605"/>
      <c r="P324" s="567" t="s">
        <v>1516</v>
      </c>
    </row>
    <row r="325" spans="1:16" customFormat="1" ht="12.75" customHeight="1" x14ac:dyDescent="0.2">
      <c r="A325" s="567"/>
      <c r="B325" s="567"/>
      <c r="C325" s="567"/>
      <c r="D325" s="567" t="s">
        <v>1535</v>
      </c>
      <c r="E325" s="567"/>
      <c r="F325" s="567"/>
      <c r="G325" s="567" t="s">
        <v>2303</v>
      </c>
      <c r="H325" s="568" t="s">
        <v>1537</v>
      </c>
      <c r="I325" s="710"/>
      <c r="J325" s="294" t="str">
        <f>IF(ISBLANK(HLOOKUP(CaseName,CaseData,MATCH($G325,cases!$G$4:$G$2458,0),FALSE)),"",HLOOKUP(CaseName,CaseData,MATCH($G325,cases!$G$4:$G$2458,0),FALSE))</f>
        <v/>
      </c>
      <c r="K325" s="628">
        <f>RadS/RadFP.s</f>
        <v>3.9062500000000001E-5</v>
      </c>
      <c r="L325" s="298">
        <f t="shared" si="17"/>
        <v>3.9062500000000001E-5</v>
      </c>
      <c r="M325" s="568" t="s">
        <v>1537</v>
      </c>
      <c r="N325" s="567"/>
      <c r="O325" s="605"/>
      <c r="P325" s="567" t="s">
        <v>1516</v>
      </c>
    </row>
    <row r="326" spans="1:16" customFormat="1" ht="12.75" customHeight="1" x14ac:dyDescent="0.2">
      <c r="A326" s="567"/>
      <c r="B326" s="567"/>
      <c r="C326" s="567"/>
      <c r="D326" s="567" t="s">
        <v>1538</v>
      </c>
      <c r="E326" s="567"/>
      <c r="F326" s="567"/>
      <c r="G326" s="567" t="s">
        <v>2304</v>
      </c>
      <c r="H326" s="568" t="s">
        <v>296</v>
      </c>
      <c r="I326" s="710"/>
      <c r="J326" s="294" t="str">
        <f>IF(ISBLANK(HLOOKUP(CaseName,CaseData,MATCH($G326,cases!$G$4:$G$2458,0),FALSE)),"",HLOOKUP(CaseName,CaseData,MATCH($G326,cases!$G$4:$G$2458,0),FALSE))</f>
        <v/>
      </c>
      <c r="K326" s="628">
        <f>(L316*2*RadFP.s)/(DiffS.wC)</f>
        <v>55.295939834256309</v>
      </c>
      <c r="L326" s="298">
        <f t="shared" si="17"/>
        <v>55.295939834256309</v>
      </c>
      <c r="M326" s="568" t="s">
        <v>296</v>
      </c>
      <c r="N326" s="567"/>
      <c r="O326" s="605"/>
      <c r="P326" s="567" t="s">
        <v>1516</v>
      </c>
    </row>
    <row r="327" spans="1:16" customFormat="1" ht="12.75" customHeight="1" x14ac:dyDescent="0.2">
      <c r="A327" s="567"/>
      <c r="B327" s="567"/>
      <c r="C327" s="567"/>
      <c r="D327" s="567" t="s">
        <v>1540</v>
      </c>
      <c r="E327" s="567"/>
      <c r="F327" s="567"/>
      <c r="G327" s="568" t="s">
        <v>2305</v>
      </c>
      <c r="H327" s="568" t="s">
        <v>296</v>
      </c>
      <c r="I327" s="710"/>
      <c r="J327" s="294" t="str">
        <f>IF(ISBLANK(HLOOKUP(CaseName,CaseData,MATCH($G327,cases!$G$4:$G$2458,0),FALSE)),"",HLOOKUP(CaseName,CaseData,MATCH($G327,cases!$G$4:$G$2458,0),FALSE))</f>
        <v/>
      </c>
      <c r="K327" s="628">
        <f>(2*RadS^2*(ABS(RhoS-Rho.w))*g)/(9*DYNVISC.w*L316)</f>
        <v>1.9532490574406746E-5</v>
      </c>
      <c r="L327" s="298">
        <f t="shared" si="17"/>
        <v>1.9532490574406746E-5</v>
      </c>
      <c r="M327" s="568" t="s">
        <v>296</v>
      </c>
      <c r="N327" s="567"/>
      <c r="O327" s="605"/>
      <c r="P327" s="567" t="s">
        <v>1516</v>
      </c>
    </row>
    <row r="328" spans="1:16" customFormat="1" ht="12.75" customHeight="1" x14ac:dyDescent="0.2">
      <c r="A328" s="567" t="s">
        <v>1574</v>
      </c>
      <c r="B328" s="567"/>
      <c r="C328" s="567"/>
      <c r="D328" s="567"/>
      <c r="E328" s="567"/>
      <c r="F328" s="567"/>
      <c r="G328" s="568" t="s">
        <v>2306</v>
      </c>
      <c r="H328" s="568" t="s">
        <v>340</v>
      </c>
      <c r="I328" s="710"/>
      <c r="J328" s="294" t="str">
        <f>IF(ISBLANK(HLOOKUP(CaseName,CaseData,MATCH($G328,cases!$G$4:$G$2458,0),FALSE)),"",HLOOKUP(CaseName,CaseData,MATCH($G328,cases!$G$4:$G$2458,0),FALSE))</f>
        <v/>
      </c>
      <c r="K328" s="577">
        <f>L329*L330*L331*AtefSP.s2</f>
        <v>2.8525040501634097E-2</v>
      </c>
      <c r="L328" s="298">
        <f t="shared" si="17"/>
        <v>2.8525040501634097E-2</v>
      </c>
      <c r="M328" s="567" t="s">
        <v>340</v>
      </c>
      <c r="N328" s="567"/>
      <c r="O328" s="605"/>
      <c r="P328" s="567"/>
    </row>
    <row r="329" spans="1:16" customFormat="1" ht="12.75" customHeight="1" x14ac:dyDescent="0.2">
      <c r="A329" s="567"/>
      <c r="B329" s="567" t="s">
        <v>1556</v>
      </c>
      <c r="C329" s="567"/>
      <c r="D329" s="567"/>
      <c r="E329" s="567"/>
      <c r="F329" s="567"/>
      <c r="G329" s="568" t="s">
        <v>2307</v>
      </c>
      <c r="H329" s="568" t="s">
        <v>1513</v>
      </c>
      <c r="I329" s="710"/>
      <c r="J329" s="294" t="str">
        <f>IF(ISBLANK(HLOOKUP(CaseName,CaseData,MATCH($G329,cases!$G$4:$G$2458,0),FALSE)),"",HLOOKUP(CaseName,CaseData,MATCH($G329,cases!$G$4:$G$2458,0),FALSE))</f>
        <v/>
      </c>
      <c r="K329" s="577">
        <f>(3/2)*(1-L335)/(2*RadFP.s*L335)</f>
        <v>8789.0625000000036</v>
      </c>
      <c r="L329" s="298">
        <f t="shared" si="17"/>
        <v>8789.0625000000036</v>
      </c>
      <c r="M329" s="568" t="s">
        <v>1513</v>
      </c>
      <c r="N329" s="567"/>
      <c r="O329" s="605"/>
      <c r="P329" s="567"/>
    </row>
    <row r="330" spans="1:16" customFormat="1" ht="12.75" customHeight="1" x14ac:dyDescent="0.2">
      <c r="A330" s="567"/>
      <c r="B330" s="567" t="s">
        <v>1558</v>
      </c>
      <c r="C330" s="567"/>
      <c r="D330" s="567"/>
      <c r="E330" s="567"/>
      <c r="F330" s="567"/>
      <c r="G330" s="567" t="s">
        <v>2308</v>
      </c>
      <c r="H330" s="568" t="s">
        <v>873</v>
      </c>
      <c r="I330" s="710"/>
      <c r="J330" s="294" t="str">
        <f>IF(ISBLANK(HLOOKUP(CaseName,CaseData,MATCH($G330,cases!$G$4:$G$2458,0),FALSE)),"",HLOOKUP(CaseName,CaseData,MATCH($G330,cases!$G$4:$G$2458,0),FALSE))</f>
        <v/>
      </c>
      <c r="K330" s="628">
        <f>9*10^-6</f>
        <v>9.0000000000000002E-6</v>
      </c>
      <c r="L330" s="298">
        <f t="shared" si="17"/>
        <v>9.0000000000000002E-6</v>
      </c>
      <c r="M330" s="568" t="s">
        <v>873</v>
      </c>
      <c r="N330" s="567"/>
      <c r="O330" s="605"/>
      <c r="P330" s="567" t="s">
        <v>1516</v>
      </c>
    </row>
    <row r="331" spans="1:16" customFormat="1" ht="12.75" customHeight="1" x14ac:dyDescent="0.2">
      <c r="A331" s="567"/>
      <c r="B331" s="567" t="s">
        <v>1517</v>
      </c>
      <c r="C331" s="567"/>
      <c r="D331" s="567"/>
      <c r="E331" s="567"/>
      <c r="F331" s="567"/>
      <c r="G331" s="568" t="s">
        <v>2309</v>
      </c>
      <c r="H331" s="568" t="s">
        <v>296</v>
      </c>
      <c r="I331" s="710"/>
      <c r="J331" s="294" t="str">
        <f>IF(ISBLANK(HLOOKUP(CaseName,CaseData,MATCH($G331,cases!$G$4:$G$2458,0),FALSE)),"",HLOOKUP(CaseName,CaseData,MATCH($G331,cases!$G$4:$G$2458,0),FALSE))</f>
        <v/>
      </c>
      <c r="K331" s="577">
        <f>L332+L336+L337</f>
        <v>1.0732525526775902</v>
      </c>
      <c r="L331" s="298">
        <f t="shared" si="17"/>
        <v>1.0732525526775902</v>
      </c>
      <c r="M331" s="568" t="s">
        <v>296</v>
      </c>
      <c r="N331" s="567"/>
      <c r="O331" s="605"/>
      <c r="P331" s="567" t="s">
        <v>1516</v>
      </c>
    </row>
    <row r="332" spans="1:16" customFormat="1" ht="12.75" customHeight="1" x14ac:dyDescent="0.2">
      <c r="A332" s="567"/>
      <c r="B332" s="567"/>
      <c r="C332" s="567" t="s">
        <v>1519</v>
      </c>
      <c r="D332" s="567"/>
      <c r="E332" s="567"/>
      <c r="F332" s="567"/>
      <c r="G332" s="568" t="s">
        <v>2310</v>
      </c>
      <c r="H332" s="568" t="s">
        <v>296</v>
      </c>
      <c r="I332" s="710"/>
      <c r="J332" s="294" t="str">
        <f>IF(ISBLANK(HLOOKUP(CaseName,CaseData,MATCH($G332,cases!$G$4:$G$2458,0),FALSE)),"",HLOOKUP(CaseName,CaseData,MATCH($G332,cases!$G$4:$G$2458,0),FALSE))</f>
        <v/>
      </c>
      <c r="K332" s="577">
        <f>2.4*L333^(1/3)*L338^(-0.081)*L339^-0.715*L340^0.053</f>
        <v>1.0732371515574299</v>
      </c>
      <c r="L332" s="298">
        <f t="shared" si="17"/>
        <v>1.0732371515574299</v>
      </c>
      <c r="M332" s="568" t="s">
        <v>296</v>
      </c>
      <c r="N332" s="567"/>
      <c r="O332" s="605"/>
      <c r="P332" s="567" t="s">
        <v>1516</v>
      </c>
    </row>
    <row r="333" spans="1:16" customFormat="1" ht="12.75" customHeight="1" x14ac:dyDescent="0.2">
      <c r="A333" s="567"/>
      <c r="B333" s="567"/>
      <c r="C333" s="567"/>
      <c r="D333" s="567" t="s">
        <v>1521</v>
      </c>
      <c r="E333" s="567"/>
      <c r="F333" s="567"/>
      <c r="G333" s="567" t="s">
        <v>2311</v>
      </c>
      <c r="H333" s="568" t="s">
        <v>296</v>
      </c>
      <c r="I333" s="710"/>
      <c r="J333" s="294" t="str">
        <f>IF(ISBLANK(HLOOKUP(CaseName,CaseData,MATCH($G333,cases!$G$4:$G$2458,0),FALSE)),"",HLOOKUP(CaseName,CaseData,MATCH($G333,cases!$G$4:$G$2458,0),FALSE))</f>
        <v/>
      </c>
      <c r="K333" s="628">
        <f>(2*(1-L334^5))/(2-3*L334+3*L334^5-2*L334^6)</f>
        <v>37.979096123930859</v>
      </c>
      <c r="L333" s="298">
        <f t="shared" si="17"/>
        <v>37.979096123930859</v>
      </c>
      <c r="M333" s="568" t="s">
        <v>296</v>
      </c>
      <c r="N333" s="567"/>
      <c r="O333" s="605"/>
      <c r="P333" s="567" t="s">
        <v>1516</v>
      </c>
    </row>
    <row r="334" spans="1:16" customFormat="1" ht="12.75" customHeight="1" x14ac:dyDescent="0.2">
      <c r="A334" s="567"/>
      <c r="B334" s="567"/>
      <c r="C334" s="567"/>
      <c r="D334" s="567"/>
      <c r="E334" s="567" t="s">
        <v>1563</v>
      </c>
      <c r="F334" s="567"/>
      <c r="G334" s="567" t="s">
        <v>2312</v>
      </c>
      <c r="H334" s="568" t="s">
        <v>296</v>
      </c>
      <c r="I334" s="710"/>
      <c r="J334" s="294" t="str">
        <f>IF(ISBLANK(HLOOKUP(CaseName,CaseData,MATCH($G334,cases!$G$4:$G$2458,0),FALSE)),"",HLOOKUP(CaseName,CaseData,MATCH($G334,cases!$G$4:$G$2458,0),FALSE))</f>
        <v/>
      </c>
      <c r="K334" s="628">
        <f>(1-L335)^(1/3)</f>
        <v>0.84343266530174932</v>
      </c>
      <c r="L334" s="298">
        <f t="shared" si="17"/>
        <v>0.84343266530174932</v>
      </c>
      <c r="M334" s="568" t="s">
        <v>296</v>
      </c>
      <c r="N334" s="567"/>
      <c r="O334" s="605"/>
      <c r="P334" s="567" t="s">
        <v>1516</v>
      </c>
    </row>
    <row r="335" spans="1:16" customFormat="1" ht="12.75" customHeight="1" x14ac:dyDescent="0.2">
      <c r="A335" s="567"/>
      <c r="B335" s="567"/>
      <c r="C335" s="567"/>
      <c r="D335" s="567"/>
      <c r="E335" s="567"/>
      <c r="F335" s="567" t="s">
        <v>1565</v>
      </c>
      <c r="G335" s="567" t="s">
        <v>2313</v>
      </c>
      <c r="H335" s="568" t="s">
        <v>1527</v>
      </c>
      <c r="I335" s="710"/>
      <c r="J335" s="294" t="str">
        <f>IF(ISBLANK(HLOOKUP(CaseName,CaseData,MATCH($G335,cases!$G$4:$G$2458,0),FALSE)),"",HLOOKUP(CaseName,CaseData,MATCH($G335,cases!$G$4:$G$2458,0),FALSE))</f>
        <v/>
      </c>
      <c r="K335" s="577">
        <f>1-L41</f>
        <v>0.39999999999999991</v>
      </c>
      <c r="L335" s="298">
        <f t="shared" si="17"/>
        <v>0.39999999999999991</v>
      </c>
      <c r="M335" s="568" t="s">
        <v>1527</v>
      </c>
      <c r="N335" s="567" t="s">
        <v>1583</v>
      </c>
      <c r="O335" s="605"/>
      <c r="P335" s="567"/>
    </row>
    <row r="336" spans="1:16" customFormat="1" ht="12.75" customHeight="1" x14ac:dyDescent="0.2">
      <c r="A336" s="567"/>
      <c r="B336" s="567"/>
      <c r="C336" s="567" t="s">
        <v>1529</v>
      </c>
      <c r="D336" s="567"/>
      <c r="E336" s="567"/>
      <c r="F336" s="567"/>
      <c r="G336" s="568" t="s">
        <v>2314</v>
      </c>
      <c r="H336" s="568" t="s">
        <v>296</v>
      </c>
      <c r="I336" s="710"/>
      <c r="J336" s="294" t="str">
        <f>IF(ISBLANK(HLOOKUP(CaseName,CaseData,MATCH($G336,cases!$G$4:$G$2458,0),FALSE)),"",HLOOKUP(CaseName,CaseData,MATCH($G336,cases!$G$4:$G$2458,0),FALSE))</f>
        <v/>
      </c>
      <c r="K336" s="577">
        <f>0.55*L338^1.55*L339^-0.125*L340^0.125</f>
        <v>5.2510265498612906E-8</v>
      </c>
      <c r="L336" s="298">
        <f t="shared" si="17"/>
        <v>5.2510265498612906E-8</v>
      </c>
      <c r="M336" s="568" t="s">
        <v>296</v>
      </c>
      <c r="N336" s="567"/>
      <c r="O336" s="605"/>
      <c r="P336" s="567" t="s">
        <v>1516</v>
      </c>
    </row>
    <row r="337" spans="1:16" customFormat="1" ht="12.75" customHeight="1" x14ac:dyDescent="0.2">
      <c r="A337" s="567"/>
      <c r="B337" s="567"/>
      <c r="C337" s="567" t="s">
        <v>1531</v>
      </c>
      <c r="D337" s="567"/>
      <c r="E337" s="567"/>
      <c r="F337" s="567"/>
      <c r="G337" s="568" t="s">
        <v>2315</v>
      </c>
      <c r="H337" s="568" t="s">
        <v>296</v>
      </c>
      <c r="I337" s="710"/>
      <c r="J337" s="294" t="str">
        <f>IF(ISBLANK(HLOOKUP(CaseName,CaseData,MATCH($G337,cases!$G$4:$G$2458,0),FALSE)),"",HLOOKUP(CaseName,CaseData,MATCH($G337,cases!$G$4:$G$2458,0),FALSE))</f>
        <v/>
      </c>
      <c r="K337" s="577">
        <f>0.22*L338^-0.24*L341^1.11*L340^0.053</f>
        <v>1.5348609894728741E-5</v>
      </c>
      <c r="L337" s="298">
        <f t="shared" si="17"/>
        <v>1.5348609894728741E-5</v>
      </c>
      <c r="M337" s="568" t="s">
        <v>296</v>
      </c>
      <c r="N337" s="567"/>
      <c r="O337" s="605"/>
      <c r="P337" s="567" t="s">
        <v>1516</v>
      </c>
    </row>
    <row r="338" spans="1:16" customFormat="1" ht="12.75" customHeight="1" x14ac:dyDescent="0.2">
      <c r="A338" s="567"/>
      <c r="B338" s="567"/>
      <c r="C338" s="567"/>
      <c r="D338" s="567" t="s">
        <v>1535</v>
      </c>
      <c r="E338" s="567"/>
      <c r="F338" s="567"/>
      <c r="G338" s="567" t="s">
        <v>2316</v>
      </c>
      <c r="H338" s="568" t="s">
        <v>1537</v>
      </c>
      <c r="I338" s="710"/>
      <c r="J338" s="294" t="str">
        <f>IF(ISBLANK(HLOOKUP(CaseName,CaseData,MATCH($G338,cases!$G$4:$G$2458,0),FALSE)),"",HLOOKUP(CaseName,CaseData,MATCH($G338,cases!$G$4:$G$2458,0),FALSE))</f>
        <v/>
      </c>
      <c r="K338" s="628">
        <f>RadS/RadFP.s</f>
        <v>3.9062500000000001E-5</v>
      </c>
      <c r="L338" s="298">
        <f t="shared" si="17"/>
        <v>3.9062500000000001E-5</v>
      </c>
      <c r="M338" s="568" t="s">
        <v>1537</v>
      </c>
      <c r="N338" s="567"/>
      <c r="O338" s="605"/>
      <c r="P338" s="567" t="s">
        <v>1516</v>
      </c>
    </row>
    <row r="339" spans="1:16" customFormat="1" ht="12.75" customHeight="1" x14ac:dyDescent="0.2">
      <c r="A339" s="567"/>
      <c r="B339" s="567"/>
      <c r="C339" s="567"/>
      <c r="D339" s="567" t="s">
        <v>1538</v>
      </c>
      <c r="E339" s="567"/>
      <c r="F339" s="567"/>
      <c r="G339" s="567" t="s">
        <v>2317</v>
      </c>
      <c r="H339" s="568" t="s">
        <v>296</v>
      </c>
      <c r="I339" s="710"/>
      <c r="J339" s="294" t="str">
        <f>IF(ISBLANK(HLOOKUP(CaseName,CaseData,MATCH($G339,cases!$G$4:$G$2458,0),FALSE)),"",HLOOKUP(CaseName,CaseData,MATCH($G339,cases!$G$4:$G$2458,0),FALSE))</f>
        <v/>
      </c>
      <c r="K339" s="628">
        <f>(L330*2*RadFP.s)/(DiffS.wC)</f>
        <v>55.295939834256309</v>
      </c>
      <c r="L339" s="298">
        <f t="shared" si="17"/>
        <v>55.295939834256309</v>
      </c>
      <c r="M339" s="568" t="s">
        <v>296</v>
      </c>
      <c r="N339" s="567"/>
      <c r="O339" s="605"/>
      <c r="P339" s="567" t="s">
        <v>1516</v>
      </c>
    </row>
    <row r="340" spans="1:16" customFormat="1" ht="12.75" customHeight="1" x14ac:dyDescent="0.2">
      <c r="A340" s="567"/>
      <c r="B340" s="567"/>
      <c r="C340" s="567"/>
      <c r="D340" s="567" t="s">
        <v>1533</v>
      </c>
      <c r="E340" s="567"/>
      <c r="F340" s="567"/>
      <c r="G340" s="567" t="s">
        <v>2318</v>
      </c>
      <c r="H340" s="568" t="s">
        <v>296</v>
      </c>
      <c r="I340" s="710"/>
      <c r="J340" s="294" t="str">
        <f>IF(ISBLANK(HLOOKUP(CaseName,CaseData,MATCH($G340,cases!$G$4:$G$2458,0),FALSE)),"",HLOOKUP(CaseName,CaseData,MATCH($G340,cases!$G$4:$G$2458,0),FALSE))</f>
        <v/>
      </c>
      <c r="K340" s="628">
        <f>AHamakerSP.w/(kboltz*TEMP.C)</f>
        <v>1.7535615368506079</v>
      </c>
      <c r="L340" s="298">
        <f t="shared" si="17"/>
        <v>1.7535615368506079</v>
      </c>
      <c r="M340" s="568" t="s">
        <v>296</v>
      </c>
      <c r="N340" s="567"/>
      <c r="O340" s="605"/>
      <c r="P340" s="567" t="s">
        <v>1516</v>
      </c>
    </row>
    <row r="341" spans="1:16" customFormat="1" ht="12.75" customHeight="1" x14ac:dyDescent="0.2">
      <c r="A341" s="567"/>
      <c r="B341" s="567"/>
      <c r="C341" s="567"/>
      <c r="D341" s="567" t="s">
        <v>1540</v>
      </c>
      <c r="E341" s="567"/>
      <c r="F341" s="567"/>
      <c r="G341" s="568" t="s">
        <v>2319</v>
      </c>
      <c r="H341" s="568" t="s">
        <v>296</v>
      </c>
      <c r="I341" s="710"/>
      <c r="J341" s="294" t="str">
        <f>IF(ISBLANK(HLOOKUP(CaseName,CaseData,MATCH($G341,cases!$G$4:$G$2458,0),FALSE)),"",HLOOKUP(CaseName,CaseData,MATCH($G341,cases!$G$4:$G$2458,0),FALSE))</f>
        <v/>
      </c>
      <c r="K341" s="628">
        <f>(2*RadS^2*(ABS(RhoS-Rho.w))*9.81)/(9*DYNVISC.w*L330)</f>
        <v>1.9532490574406746E-5</v>
      </c>
      <c r="L341" s="298">
        <f t="shared" si="17"/>
        <v>1.9532490574406746E-5</v>
      </c>
      <c r="M341" s="568" t="s">
        <v>296</v>
      </c>
      <c r="N341" s="567"/>
      <c r="O341" s="605"/>
      <c r="P341" s="567" t="s">
        <v>1516</v>
      </c>
    </row>
    <row r="342" spans="1:16" customFormat="1" ht="12.75" customHeight="1" x14ac:dyDescent="0.2">
      <c r="A342" s="567" t="s">
        <v>1590</v>
      </c>
      <c r="B342" s="567"/>
      <c r="C342" s="567"/>
      <c r="D342" s="567"/>
      <c r="E342" s="567"/>
      <c r="F342" s="567"/>
      <c r="G342" s="568" t="s">
        <v>2320</v>
      </c>
      <c r="H342" s="568" t="s">
        <v>340</v>
      </c>
      <c r="I342" s="710"/>
      <c r="J342" s="294" t="str">
        <f>IF(ISBLANK(HLOOKUP(CaseName,CaseData,MATCH($G342,cases!$G$4:$G$2458,0),FALSE)),"",HLOOKUP(CaseName,CaseData,MATCH($G342,cases!$G$4:$G$2458,0),FALSE))</f>
        <v/>
      </c>
      <c r="K342" s="577">
        <f>L343*L344*L345*AtefSP.s3</f>
        <v>2.8525040501634097E-2</v>
      </c>
      <c r="L342" s="298">
        <f t="shared" si="17"/>
        <v>2.8525040501634097E-2</v>
      </c>
      <c r="M342" s="568" t="s">
        <v>340</v>
      </c>
      <c r="N342" s="567"/>
      <c r="O342" s="605"/>
      <c r="P342" s="567"/>
    </row>
    <row r="343" spans="1:16" customFormat="1" ht="12.75" customHeight="1" x14ac:dyDescent="0.2">
      <c r="A343" s="567"/>
      <c r="B343" s="567" t="s">
        <v>1556</v>
      </c>
      <c r="C343" s="567"/>
      <c r="D343" s="567"/>
      <c r="E343" s="567"/>
      <c r="F343" s="567"/>
      <c r="G343" s="568" t="s">
        <v>2321</v>
      </c>
      <c r="H343" s="568" t="s">
        <v>1513</v>
      </c>
      <c r="I343" s="710"/>
      <c r="J343" s="294" t="str">
        <f>IF(ISBLANK(HLOOKUP(CaseName,CaseData,MATCH($G343,cases!$G$4:$G$2458,0),FALSE)),"",HLOOKUP(CaseName,CaseData,MATCH($G343,cases!$G$4:$G$2458,0),FALSE))</f>
        <v/>
      </c>
      <c r="K343" s="577">
        <f>(3/2)*(1-L349)/(2*RadFP.s*L349)</f>
        <v>8789.0625000000036</v>
      </c>
      <c r="L343" s="298">
        <f t="shared" si="17"/>
        <v>8789.0625000000036</v>
      </c>
      <c r="M343" s="568" t="s">
        <v>1513</v>
      </c>
      <c r="N343" s="567"/>
      <c r="O343" s="605"/>
      <c r="P343" s="567"/>
    </row>
    <row r="344" spans="1:16" customFormat="1" ht="12.75" customHeight="1" x14ac:dyDescent="0.2">
      <c r="A344" s="567"/>
      <c r="B344" s="567" t="s">
        <v>1558</v>
      </c>
      <c r="C344" s="567"/>
      <c r="D344" s="567"/>
      <c r="E344" s="567"/>
      <c r="F344" s="567"/>
      <c r="G344" s="567" t="s">
        <v>2322</v>
      </c>
      <c r="H344" s="568" t="s">
        <v>873</v>
      </c>
      <c r="I344" s="710"/>
      <c r="J344" s="294" t="str">
        <f>IF(ISBLANK(HLOOKUP(CaseName,CaseData,MATCH($G344,cases!$G$4:$G$2458,0),FALSE)),"",HLOOKUP(CaseName,CaseData,MATCH($G344,cases!$G$4:$G$2458,0),FALSE))</f>
        <v/>
      </c>
      <c r="K344" s="628">
        <f>9*10^-6</f>
        <v>9.0000000000000002E-6</v>
      </c>
      <c r="L344" s="298">
        <f t="shared" si="17"/>
        <v>9.0000000000000002E-6</v>
      </c>
      <c r="M344" s="568" t="s">
        <v>873</v>
      </c>
      <c r="N344" s="567"/>
      <c r="O344" s="605"/>
      <c r="P344" s="567" t="s">
        <v>1516</v>
      </c>
    </row>
    <row r="345" spans="1:16" customFormat="1" ht="12.75" customHeight="1" x14ac:dyDescent="0.2">
      <c r="A345" s="567"/>
      <c r="B345" s="567" t="s">
        <v>1517</v>
      </c>
      <c r="C345" s="567"/>
      <c r="D345" s="567"/>
      <c r="E345" s="567"/>
      <c r="F345" s="567"/>
      <c r="G345" s="568" t="s">
        <v>2323</v>
      </c>
      <c r="H345" s="568" t="s">
        <v>296</v>
      </c>
      <c r="I345" s="710"/>
      <c r="J345" s="294" t="str">
        <f>IF(ISBLANK(HLOOKUP(CaseName,CaseData,MATCH($G345,cases!$G$4:$G$2458,0),FALSE)),"",HLOOKUP(CaseName,CaseData,MATCH($G345,cases!$G$4:$G$2458,0),FALSE))</f>
        <v/>
      </c>
      <c r="K345" s="577">
        <f>L346+L350+L351</f>
        <v>1.0732525526775902</v>
      </c>
      <c r="L345" s="298">
        <f t="shared" si="17"/>
        <v>1.0732525526775902</v>
      </c>
      <c r="M345" s="568" t="s">
        <v>296</v>
      </c>
      <c r="N345" s="567"/>
      <c r="O345" s="605"/>
      <c r="P345" s="567" t="s">
        <v>1516</v>
      </c>
    </row>
    <row r="346" spans="1:16" customFormat="1" ht="12.75" customHeight="1" x14ac:dyDescent="0.2">
      <c r="A346" s="567"/>
      <c r="B346" s="567"/>
      <c r="C346" s="567" t="s">
        <v>1519</v>
      </c>
      <c r="D346" s="567"/>
      <c r="E346" s="567"/>
      <c r="F346" s="567"/>
      <c r="G346" s="568" t="s">
        <v>2324</v>
      </c>
      <c r="H346" s="568" t="s">
        <v>296</v>
      </c>
      <c r="I346" s="710"/>
      <c r="J346" s="294" t="str">
        <f>IF(ISBLANK(HLOOKUP(CaseName,CaseData,MATCH($G346,cases!$G$4:$G$2458,0),FALSE)),"",HLOOKUP(CaseName,CaseData,MATCH($G346,cases!$G$4:$G$2458,0),FALSE))</f>
        <v/>
      </c>
      <c r="K346" s="577">
        <f>2.4*L347^(1/3)*L352^(-0.081)*L353^-0.715*L354^0.053</f>
        <v>1.0732371515574299</v>
      </c>
      <c r="L346" s="298">
        <f t="shared" si="17"/>
        <v>1.0732371515574299</v>
      </c>
      <c r="M346" s="568" t="s">
        <v>296</v>
      </c>
      <c r="N346" s="567"/>
      <c r="O346" s="605"/>
      <c r="P346" s="567" t="s">
        <v>1516</v>
      </c>
    </row>
    <row r="347" spans="1:16" customFormat="1" ht="12.75" customHeight="1" x14ac:dyDescent="0.2">
      <c r="A347" s="567"/>
      <c r="B347" s="567"/>
      <c r="C347" s="567"/>
      <c r="D347" s="567" t="s">
        <v>1521</v>
      </c>
      <c r="E347" s="567"/>
      <c r="F347" s="567"/>
      <c r="G347" s="567" t="s">
        <v>2325</v>
      </c>
      <c r="H347" s="568" t="s">
        <v>296</v>
      </c>
      <c r="I347" s="710"/>
      <c r="J347" s="294" t="str">
        <f>IF(ISBLANK(HLOOKUP(CaseName,CaseData,MATCH($G347,cases!$G$4:$G$2458,0),FALSE)),"",HLOOKUP(CaseName,CaseData,MATCH($G347,cases!$G$4:$G$2458,0),FALSE))</f>
        <v/>
      </c>
      <c r="K347" s="628">
        <f>(2*(1-L348^5))/(2-3*L348+3*L348^5-2*L348^6)</f>
        <v>37.979096123930859</v>
      </c>
      <c r="L347" s="298">
        <f t="shared" si="17"/>
        <v>37.979096123930859</v>
      </c>
      <c r="M347" s="568" t="s">
        <v>296</v>
      </c>
      <c r="N347" s="567"/>
      <c r="O347" s="605"/>
      <c r="P347" s="567" t="s">
        <v>1516</v>
      </c>
    </row>
    <row r="348" spans="1:16" customFormat="1" ht="12.75" customHeight="1" x14ac:dyDescent="0.2">
      <c r="A348" s="567"/>
      <c r="B348" s="567"/>
      <c r="C348" s="567"/>
      <c r="D348" s="567"/>
      <c r="E348" s="567" t="s">
        <v>1563</v>
      </c>
      <c r="F348" s="567"/>
      <c r="G348" s="567" t="s">
        <v>2326</v>
      </c>
      <c r="H348" s="568" t="s">
        <v>296</v>
      </c>
      <c r="I348" s="710"/>
      <c r="J348" s="294" t="str">
        <f>IF(ISBLANK(HLOOKUP(CaseName,CaseData,MATCH($G348,cases!$G$4:$G$2458,0),FALSE)),"",HLOOKUP(CaseName,CaseData,MATCH($G348,cases!$G$4:$G$2458,0),FALSE))</f>
        <v/>
      </c>
      <c r="K348" s="628">
        <f>(1-L349)^(1/3)</f>
        <v>0.84343266530174932</v>
      </c>
      <c r="L348" s="298">
        <f t="shared" si="17"/>
        <v>0.84343266530174932</v>
      </c>
      <c r="M348" s="568" t="s">
        <v>296</v>
      </c>
      <c r="N348" s="567"/>
      <c r="O348" s="605"/>
      <c r="P348" s="567" t="s">
        <v>1516</v>
      </c>
    </row>
    <row r="349" spans="1:16" customFormat="1" ht="12.75" customHeight="1" x14ac:dyDescent="0.2">
      <c r="A349" s="567"/>
      <c r="B349" s="567"/>
      <c r="C349" s="567"/>
      <c r="D349" s="567"/>
      <c r="E349" s="567"/>
      <c r="F349" s="567" t="s">
        <v>1565</v>
      </c>
      <c r="G349" s="567" t="s">
        <v>2327</v>
      </c>
      <c r="H349" s="568" t="s">
        <v>1527</v>
      </c>
      <c r="I349" s="710"/>
      <c r="J349" s="294" t="str">
        <f>IF(ISBLANK(HLOOKUP(CaseName,CaseData,MATCH($G349,cases!$G$4:$G$2458,0),FALSE)),"",HLOOKUP(CaseName,CaseData,MATCH($G349,cases!$G$4:$G$2458,0),FALSE))</f>
        <v/>
      </c>
      <c r="K349" s="577">
        <f>1-L44</f>
        <v>0.39999999999999991</v>
      </c>
      <c r="L349" s="298">
        <f t="shared" si="17"/>
        <v>0.39999999999999991</v>
      </c>
      <c r="M349" s="568" t="s">
        <v>1527</v>
      </c>
      <c r="N349" s="567" t="s">
        <v>1583</v>
      </c>
      <c r="O349" s="605"/>
      <c r="P349" s="567"/>
    </row>
    <row r="350" spans="1:16" customFormat="1" ht="12.75" customHeight="1" x14ac:dyDescent="0.2">
      <c r="A350" s="567"/>
      <c r="B350" s="567"/>
      <c r="C350" s="567" t="s">
        <v>1529</v>
      </c>
      <c r="D350" s="567"/>
      <c r="E350" s="567"/>
      <c r="F350" s="567"/>
      <c r="G350" s="568" t="s">
        <v>2328</v>
      </c>
      <c r="H350" s="568" t="s">
        <v>296</v>
      </c>
      <c r="I350" s="710"/>
      <c r="J350" s="294" t="str">
        <f>IF(ISBLANK(HLOOKUP(CaseName,CaseData,MATCH($G350,cases!$G$4:$G$2458,0),FALSE)),"",HLOOKUP(CaseName,CaseData,MATCH($G350,cases!$G$4:$G$2458,0),FALSE))</f>
        <v/>
      </c>
      <c r="K350" s="577">
        <f>0.55*L352^1.55*L353^-0.125*L354^0.125</f>
        <v>5.2510265498612906E-8</v>
      </c>
      <c r="L350" s="298">
        <f t="shared" si="17"/>
        <v>5.2510265498612906E-8</v>
      </c>
      <c r="M350" s="568" t="s">
        <v>296</v>
      </c>
      <c r="N350" s="567"/>
      <c r="O350" s="605"/>
      <c r="P350" s="567" t="s">
        <v>1516</v>
      </c>
    </row>
    <row r="351" spans="1:16" customFormat="1" ht="12.75" customHeight="1" x14ac:dyDescent="0.2">
      <c r="A351" s="567"/>
      <c r="B351" s="567"/>
      <c r="C351" s="567" t="s">
        <v>1531</v>
      </c>
      <c r="D351" s="567"/>
      <c r="E351" s="567"/>
      <c r="F351" s="567"/>
      <c r="G351" s="568" t="s">
        <v>2329</v>
      </c>
      <c r="H351" s="568" t="s">
        <v>296</v>
      </c>
      <c r="I351" s="710"/>
      <c r="J351" s="294" t="str">
        <f>IF(ISBLANK(HLOOKUP(CaseName,CaseData,MATCH($G351,cases!$G$4:$G$2458,0),FALSE)),"",HLOOKUP(CaseName,CaseData,MATCH($G351,cases!$G$4:$G$2458,0),FALSE))</f>
        <v/>
      </c>
      <c r="K351" s="577">
        <f>0.22*L352^-0.24*L355^1.11*L354^0.053</f>
        <v>1.5348609894728741E-5</v>
      </c>
      <c r="L351" s="298">
        <f t="shared" si="17"/>
        <v>1.5348609894728741E-5</v>
      </c>
      <c r="M351" s="568" t="s">
        <v>296</v>
      </c>
      <c r="N351" s="567"/>
      <c r="O351" s="605"/>
      <c r="P351" s="567" t="s">
        <v>1516</v>
      </c>
    </row>
    <row r="352" spans="1:16" customFormat="1" ht="12.75" customHeight="1" x14ac:dyDescent="0.2">
      <c r="A352" s="567"/>
      <c r="B352" s="567"/>
      <c r="C352" s="567"/>
      <c r="D352" s="567" t="s">
        <v>1535</v>
      </c>
      <c r="E352" s="567"/>
      <c r="F352" s="567"/>
      <c r="G352" s="567" t="s">
        <v>2330</v>
      </c>
      <c r="H352" s="568" t="s">
        <v>1537</v>
      </c>
      <c r="I352" s="710"/>
      <c r="J352" s="294" t="str">
        <f>IF(ISBLANK(HLOOKUP(CaseName,CaseData,MATCH($G352,cases!$G$4:$G$2458,0),FALSE)),"",HLOOKUP(CaseName,CaseData,MATCH($G352,cases!$G$4:$G$2458,0),FALSE))</f>
        <v/>
      </c>
      <c r="K352" s="628">
        <f>RadS/RadFP.s</f>
        <v>3.9062500000000001E-5</v>
      </c>
      <c r="L352" s="298">
        <f t="shared" si="17"/>
        <v>3.9062500000000001E-5</v>
      </c>
      <c r="M352" s="568" t="s">
        <v>1537</v>
      </c>
      <c r="N352" s="567"/>
      <c r="O352" s="605"/>
      <c r="P352" s="567" t="s">
        <v>1516</v>
      </c>
    </row>
    <row r="353" spans="1:16" customFormat="1" ht="12.75" customHeight="1" x14ac:dyDescent="0.2">
      <c r="A353" s="567"/>
      <c r="B353" s="567"/>
      <c r="C353" s="567"/>
      <c r="D353" s="567" t="s">
        <v>1538</v>
      </c>
      <c r="E353" s="567"/>
      <c r="F353" s="567"/>
      <c r="G353" s="567" t="s">
        <v>2331</v>
      </c>
      <c r="H353" s="568" t="s">
        <v>296</v>
      </c>
      <c r="I353" s="710"/>
      <c r="J353" s="294" t="str">
        <f>IF(ISBLANK(HLOOKUP(CaseName,CaseData,MATCH($G353,cases!$G$4:$G$2458,0),FALSE)),"",HLOOKUP(CaseName,CaseData,MATCH($G353,cases!$G$4:$G$2458,0),FALSE))</f>
        <v/>
      </c>
      <c r="K353" s="628">
        <f>(L344*2*RadFP.s)/(DiffS.wC)</f>
        <v>55.295939834256309</v>
      </c>
      <c r="L353" s="298">
        <f t="shared" si="17"/>
        <v>55.295939834256309</v>
      </c>
      <c r="M353" s="568" t="s">
        <v>296</v>
      </c>
      <c r="N353" s="567"/>
      <c r="O353" s="605"/>
      <c r="P353" s="567" t="s">
        <v>1516</v>
      </c>
    </row>
    <row r="354" spans="1:16" customFormat="1" ht="12.75" customHeight="1" x14ac:dyDescent="0.2">
      <c r="A354" s="567"/>
      <c r="B354" s="567"/>
      <c r="C354" s="567"/>
      <c r="D354" s="567" t="s">
        <v>1533</v>
      </c>
      <c r="E354" s="567"/>
      <c r="F354" s="567"/>
      <c r="G354" s="567" t="s">
        <v>2332</v>
      </c>
      <c r="H354" s="568" t="s">
        <v>296</v>
      </c>
      <c r="I354" s="710"/>
      <c r="J354" s="294" t="str">
        <f>IF(ISBLANK(HLOOKUP(CaseName,CaseData,MATCH($G354,cases!$G$4:$G$2458,0),FALSE)),"",HLOOKUP(CaseName,CaseData,MATCH($G354,cases!$G$4:$G$2458,0),FALSE))</f>
        <v/>
      </c>
      <c r="K354" s="628">
        <f>AHamakerSP.w/(kboltz*TEMP.C)</f>
        <v>1.7535615368506079</v>
      </c>
      <c r="L354" s="298">
        <f t="shared" si="17"/>
        <v>1.7535615368506079</v>
      </c>
      <c r="M354" s="568" t="s">
        <v>296</v>
      </c>
      <c r="N354" s="567"/>
      <c r="O354" s="605"/>
      <c r="P354" s="567" t="s">
        <v>1516</v>
      </c>
    </row>
    <row r="355" spans="1:16" customFormat="1" ht="12.75" customHeight="1" x14ac:dyDescent="0.2">
      <c r="A355" s="567"/>
      <c r="B355" s="567"/>
      <c r="C355" s="567"/>
      <c r="D355" s="567" t="s">
        <v>1540</v>
      </c>
      <c r="E355" s="567"/>
      <c r="F355" s="567"/>
      <c r="G355" s="568" t="s">
        <v>2333</v>
      </c>
      <c r="H355" s="568" t="s">
        <v>296</v>
      </c>
      <c r="I355" s="710"/>
      <c r="J355" s="294" t="str">
        <f>IF(ISBLANK(HLOOKUP(CaseName,CaseData,MATCH($G355,cases!$G$4:$G$2458,0),FALSE)),"",HLOOKUP(CaseName,CaseData,MATCH($G355,cases!$G$4:$G$2458,0),FALSE))</f>
        <v/>
      </c>
      <c r="K355" s="628">
        <f>(2*RadS^2*(ABS(RhoS-Rho.w))*9.81)/(9*DYNVISC.w*L344)</f>
        <v>1.9532490574406746E-5</v>
      </c>
      <c r="L355" s="298">
        <f t="shared" si="17"/>
        <v>1.9532490574406746E-5</v>
      </c>
      <c r="M355" s="568" t="s">
        <v>296</v>
      </c>
      <c r="N355" s="567"/>
      <c r="O355" s="605"/>
      <c r="P355" s="567" t="s">
        <v>1516</v>
      </c>
    </row>
    <row r="356" spans="1:16" customFormat="1" ht="12.75" customHeight="1" x14ac:dyDescent="0.2">
      <c r="G356" s="172"/>
      <c r="H356" s="172"/>
      <c r="J356" s="273"/>
      <c r="K356" s="335"/>
      <c r="L356" s="332"/>
      <c r="O356" s="176"/>
    </row>
    <row r="357" spans="1:16" s="634" customFormat="1" ht="12.75" customHeight="1" x14ac:dyDescent="0.2">
      <c r="A357" s="633" t="s">
        <v>1605</v>
      </c>
      <c r="G357" s="633" t="s">
        <v>263</v>
      </c>
      <c r="H357" s="633" t="s">
        <v>279</v>
      </c>
      <c r="I357" s="634" t="s">
        <v>264</v>
      </c>
      <c r="J357" s="673" t="s">
        <v>280</v>
      </c>
      <c r="K357" s="661" t="s">
        <v>265</v>
      </c>
      <c r="L357" s="180" t="s">
        <v>266</v>
      </c>
      <c r="N357" s="633" t="s">
        <v>267</v>
      </c>
      <c r="O357" s="395" t="s">
        <v>1390</v>
      </c>
      <c r="P357" s="634" t="s">
        <v>1391</v>
      </c>
    </row>
    <row r="358" spans="1:16" s="413" customFormat="1" ht="12.75" customHeight="1" x14ac:dyDescent="0.2">
      <c r="A358" s="413" t="s">
        <v>1606</v>
      </c>
      <c r="G358" s="631"/>
      <c r="H358" s="631"/>
      <c r="J358" s="698"/>
      <c r="K358" s="648"/>
      <c r="L358" s="696"/>
      <c r="O358" s="209"/>
    </row>
    <row r="359" spans="1:16" customFormat="1" ht="12.75" customHeight="1" x14ac:dyDescent="0.2">
      <c r="A359" s="567"/>
      <c r="B359" s="567" t="s">
        <v>1607</v>
      </c>
      <c r="C359" s="567"/>
      <c r="D359" s="567"/>
      <c r="E359" s="567"/>
      <c r="F359" s="567"/>
      <c r="G359" s="568" t="s">
        <v>2334</v>
      </c>
      <c r="H359" s="568" t="s">
        <v>820</v>
      </c>
      <c r="I359" s="678"/>
      <c r="J359" s="294" t="str">
        <f>IF(ISBLANK(HLOOKUP(CaseName,CaseData,MATCH($G359,cases!$G$4:$G$2458,0),FALSE)),"",HLOOKUP(CaseName,CaseData,MATCH($G359,cases!$G$4:$G$2458,0),FALSE))</f>
        <v/>
      </c>
      <c r="K359" s="577">
        <f>((7*10^-4)*(60*6*10^4*L361)^0.25)/2</f>
        <v>1.8608721138940219E-4</v>
      </c>
      <c r="L359" s="551">
        <f t="shared" ref="L359:L365" si="18">IF(ISBLANK(I359),IF(ISNUMBER(J359)=FALSE,K359,J359),I359)</f>
        <v>1.8608721138940219E-4</v>
      </c>
      <c r="M359" s="568" t="s">
        <v>820</v>
      </c>
      <c r="N359" s="567"/>
      <c r="O359" s="605"/>
      <c r="P359" s="567" t="s">
        <v>1609</v>
      </c>
    </row>
    <row r="360" spans="1:16" customFormat="1" ht="12.75" customHeight="1" x14ac:dyDescent="0.2">
      <c r="A360" s="567"/>
      <c r="B360" s="567" t="s">
        <v>1610</v>
      </c>
      <c r="C360" s="567"/>
      <c r="D360" s="567"/>
      <c r="E360" s="567"/>
      <c r="F360" s="567"/>
      <c r="G360" s="568" t="s">
        <v>2335</v>
      </c>
      <c r="H360" s="568" t="s">
        <v>296</v>
      </c>
      <c r="I360" s="678"/>
      <c r="J360" s="294" t="str">
        <f>IF(ISBLANK(HLOOKUP(CaseName,CaseData,MATCH($G360,cases!$G$4:$G$2458,0),FALSE)),"",HLOOKUP(CaseName,CaseData,MATCH($G360,cases!$G$4:$G$2458,0),FALSE))</f>
        <v/>
      </c>
      <c r="K360" s="577">
        <v>1</v>
      </c>
      <c r="L360" s="551">
        <f t="shared" si="18"/>
        <v>1</v>
      </c>
      <c r="M360" s="568" t="s">
        <v>296</v>
      </c>
      <c r="N360" s="567"/>
      <c r="O360" s="605"/>
      <c r="P360" s="567"/>
    </row>
    <row r="361" spans="1:16" customFormat="1" ht="12.75" customHeight="1" x14ac:dyDescent="0.2">
      <c r="A361" s="567"/>
      <c r="B361" s="567" t="s">
        <v>1613</v>
      </c>
      <c r="C361" s="567"/>
      <c r="D361" s="567"/>
      <c r="E361" s="567"/>
      <c r="F361" s="567"/>
      <c r="G361" s="568" t="s">
        <v>2336</v>
      </c>
      <c r="H361" s="568" t="s">
        <v>873</v>
      </c>
      <c r="I361" s="678"/>
      <c r="J361" s="294" t="str">
        <f>IF(ISBLANK(HLOOKUP(CaseName,CaseData,MATCH($G361,cases!$G$4:$G$2458,0),FALSE)),"",HLOOKUP(CaseName,CaseData,MATCH($G361,cases!$G$4:$G$2458,0),FALSE))</f>
        <v/>
      </c>
      <c r="K361" s="577">
        <f>RAINrate.C/L360</f>
        <v>2.219685438863521E-8</v>
      </c>
      <c r="L361" s="551">
        <f t="shared" si="18"/>
        <v>2.219685438863521E-8</v>
      </c>
      <c r="M361" s="568" t="s">
        <v>873</v>
      </c>
      <c r="N361" s="567"/>
      <c r="O361" s="605"/>
      <c r="P361" s="567"/>
    </row>
    <row r="362" spans="1:16" customFormat="1" ht="12.75" customHeight="1" x14ac:dyDescent="0.2">
      <c r="A362" s="567"/>
      <c r="B362" s="567" t="s">
        <v>1617</v>
      </c>
      <c r="C362" s="567"/>
      <c r="D362" s="567"/>
      <c r="E362" s="567"/>
      <c r="F362" s="567"/>
      <c r="G362" s="568" t="s">
        <v>2337</v>
      </c>
      <c r="H362" s="568" t="s">
        <v>873</v>
      </c>
      <c r="I362" s="678"/>
      <c r="J362" s="294" t="str">
        <f>IF(ISBLANK(HLOOKUP(CaseName,CaseData,MATCH($G362,cases!$G$4:$G$2458,0),FALSE)),"",HLOOKUP(CaseName,CaseData,MATCH($G362,cases!$G$4:$G$2458,0),FALSE))</f>
        <v/>
      </c>
      <c r="K362" s="577">
        <f>((2*L359)^2*(Rho.w-Rho.a)*g*L363)/(18*DYNVISC.a)</f>
        <v>4.1572688513602243</v>
      </c>
      <c r="L362" s="551">
        <f t="shared" si="18"/>
        <v>4.1572688513602243</v>
      </c>
      <c r="M362" s="568" t="s">
        <v>873</v>
      </c>
      <c r="N362" s="567"/>
      <c r="O362" s="605"/>
      <c r="P362" s="567"/>
    </row>
    <row r="363" spans="1:16" customFormat="1" ht="12.75" customHeight="1" x14ac:dyDescent="0.2">
      <c r="A363" s="567"/>
      <c r="B363" s="567" t="s">
        <v>1619</v>
      </c>
      <c r="C363" s="567"/>
      <c r="D363" s="567"/>
      <c r="E363" s="567"/>
      <c r="F363" s="567"/>
      <c r="G363" s="568" t="s">
        <v>2338</v>
      </c>
      <c r="H363" s="568" t="s">
        <v>296</v>
      </c>
      <c r="I363" s="678"/>
      <c r="J363" s="294" t="str">
        <f>IF(ISBLANK(HLOOKUP(CaseName,CaseData,MATCH($G363,cases!$G$4:$G$2458,0),FALSE)),"",HLOOKUP(CaseName,CaseData,MATCH($G363,cases!$G$4:$G$2458,0),FALSE))</f>
        <v/>
      </c>
      <c r="K363" s="577">
        <v>1</v>
      </c>
      <c r="L363" s="551">
        <f t="shared" si="18"/>
        <v>1</v>
      </c>
      <c r="M363" s="568" t="s">
        <v>296</v>
      </c>
      <c r="N363" s="567"/>
      <c r="O363" s="605"/>
      <c r="P363" s="567"/>
    </row>
    <row r="364" spans="1:16" customFormat="1" ht="12.75" customHeight="1" x14ac:dyDescent="0.2">
      <c r="A364" s="567"/>
      <c r="B364" s="567" t="s">
        <v>1621</v>
      </c>
      <c r="C364" s="567"/>
      <c r="D364" s="567"/>
      <c r="E364" s="567"/>
      <c r="F364" s="567"/>
      <c r="G364" s="568" t="s">
        <v>2339</v>
      </c>
      <c r="H364" s="568" t="s">
        <v>296</v>
      </c>
      <c r="I364" s="678"/>
      <c r="J364" s="294" t="str">
        <f>IF(ISBLANK(HLOOKUP(CaseName,CaseData,MATCH($G364,cases!$G$4:$G$2458,0),FALSE)),"",HLOOKUP(CaseName,CaseData,MATCH($G364,cases!$G$4:$G$2458,0),FALSE))</f>
        <v/>
      </c>
      <c r="K364" s="577">
        <f>((1.2+(1/12)*LN(1+L365))/(1+LN(L365)))</f>
        <v>0.30887187901809332</v>
      </c>
      <c r="L364" s="551">
        <f t="shared" si="18"/>
        <v>0.30887187901809332</v>
      </c>
      <c r="M364" s="568" t="s">
        <v>296</v>
      </c>
      <c r="N364" s="567"/>
      <c r="O364" s="605"/>
      <c r="P364" s="567"/>
    </row>
    <row r="365" spans="1:16" customFormat="1" ht="12.75" customHeight="1" x14ac:dyDescent="0.2">
      <c r="A365" s="567"/>
      <c r="B365" s="567" t="s">
        <v>1623</v>
      </c>
      <c r="C365" s="567"/>
      <c r="D365" s="567"/>
      <c r="E365" s="567"/>
      <c r="F365" s="567"/>
      <c r="G365" s="568" t="s">
        <v>2340</v>
      </c>
      <c r="H365" s="568" t="s">
        <v>296</v>
      </c>
      <c r="I365" s="678"/>
      <c r="J365" s="294" t="str">
        <f>IF(ISBLANK(HLOOKUP(CaseName,CaseData,MATCH($G365,cases!$G$4:$G$2458,0),FALSE)),"",HLOOKUP(CaseName,CaseData,MATCH($G365,cases!$G$4:$G$2458,0),FALSE))</f>
        <v/>
      </c>
      <c r="K365" s="627">
        <f>((2*L359)*L362*Rho.a)/(2*DYNVISC.a)</f>
        <v>52.357892002398778</v>
      </c>
      <c r="L365" s="707">
        <f t="shared" si="18"/>
        <v>52.357892002398778</v>
      </c>
      <c r="M365" s="568" t="s">
        <v>2341</v>
      </c>
      <c r="N365" s="567"/>
      <c r="O365" s="605"/>
      <c r="P365" s="567"/>
    </row>
    <row r="366" spans="1:16" s="413" customFormat="1" ht="12.75" customHeight="1" x14ac:dyDescent="0.2">
      <c r="A366" s="413" t="s">
        <v>2342</v>
      </c>
      <c r="K366" s="648"/>
      <c r="L366" s="696"/>
      <c r="O366" s="209"/>
    </row>
    <row r="367" spans="1:16" customFormat="1" ht="12.75" customHeight="1" x14ac:dyDescent="0.2">
      <c r="A367" s="567"/>
      <c r="B367" s="567" t="s">
        <v>1626</v>
      </c>
      <c r="C367" s="567"/>
      <c r="D367" s="567"/>
      <c r="E367" s="567"/>
      <c r="F367" s="567"/>
      <c r="G367" s="567" t="s">
        <v>2343</v>
      </c>
      <c r="H367" s="567" t="s">
        <v>820</v>
      </c>
      <c r="I367" s="678"/>
      <c r="J367" s="294" t="str">
        <f>IF(ISBLANK(HLOOKUP(CaseName,CaseData,MATCH($G367,cases!$G$4:$G$2458,0),FALSE)),"",HLOOKUP(CaseName,CaseData,MATCH($G367,cases!$G$4:$G$2458,0),FALSE))</f>
        <v/>
      </c>
      <c r="K367" s="621">
        <f>(L369/((4/3)*PI()))^(1/3)</f>
        <v>4.5372667230498981E-8</v>
      </c>
      <c r="L367" s="551">
        <f t="shared" ref="L367:L398" si="19">IF(ISBLANK(I367),IF(ISNUMBER(J367)=FALSE,K367,J367),I367)</f>
        <v>4.5372667230498981E-8</v>
      </c>
      <c r="M367" s="567" t="s">
        <v>820</v>
      </c>
      <c r="N367" s="567"/>
      <c r="O367" s="605"/>
      <c r="P367" s="567"/>
    </row>
    <row r="368" spans="1:16" customFormat="1" ht="12.75" customHeight="1" x14ac:dyDescent="0.2">
      <c r="A368" s="567"/>
      <c r="B368" s="567" t="s">
        <v>1628</v>
      </c>
      <c r="C368" s="567"/>
      <c r="D368" s="567"/>
      <c r="E368" s="567"/>
      <c r="F368" s="567"/>
      <c r="G368" s="567" t="s">
        <v>2344</v>
      </c>
      <c r="H368" s="567" t="s">
        <v>287</v>
      </c>
      <c r="I368" s="678"/>
      <c r="J368" s="294" t="str">
        <f>IF(ISBLANK(HLOOKUP(CaseName,CaseData,MATCH($G368,cases!$G$4:$G$2458,0),FALSE)),"",HLOOKUP(CaseName,CaseData,MATCH($G368,cases!$G$4:$G$2458,0),FALSE))</f>
        <v/>
      </c>
      <c r="K368" s="621">
        <f>(L370)/L369</f>
        <v>1999.052936069301</v>
      </c>
      <c r="L368" s="551">
        <f t="shared" si="19"/>
        <v>1999.052936069301</v>
      </c>
      <c r="M368" s="567" t="s">
        <v>287</v>
      </c>
      <c r="N368" s="567"/>
      <c r="O368" s="605"/>
      <c r="P368" s="567"/>
    </row>
    <row r="369" spans="1:16" customFormat="1" ht="12.75" customHeight="1" x14ac:dyDescent="0.2">
      <c r="A369" s="567"/>
      <c r="B369" s="567"/>
      <c r="C369" s="567" t="s">
        <v>1630</v>
      </c>
      <c r="D369" s="567"/>
      <c r="E369" s="567"/>
      <c r="F369" s="567"/>
      <c r="G369" s="567" t="s">
        <v>2345</v>
      </c>
      <c r="H369" s="567" t="s">
        <v>864</v>
      </c>
      <c r="I369" s="678"/>
      <c r="J369" s="294" t="str">
        <f>IF(ISBLANK(HLOOKUP(CaseName,CaseData,MATCH($G369,cases!$G$4:$G$2458,0),FALSE)),"",HLOOKUP(CaseName,CaseData,MATCH($G369,cases!$G$4:$G$2458,0),FALSE))</f>
        <v/>
      </c>
      <c r="K369" s="621">
        <f>((input!L305*(SingleVolS+(((4/3)*PI()*(RadNuc)^3))))+(input!L306*(SingleVolS+(((4/3)*PI()*(RadAcc)^3)))))/(input!L305+input!L306)</f>
        <v>3.9126548541830902E-22</v>
      </c>
      <c r="L369" s="551">
        <f t="shared" si="19"/>
        <v>3.9126548541830902E-22</v>
      </c>
      <c r="M369" s="567" t="s">
        <v>864</v>
      </c>
      <c r="N369" s="567"/>
      <c r="O369" s="605"/>
      <c r="P369" s="567"/>
    </row>
    <row r="370" spans="1:16" customFormat="1" ht="12.75" customHeight="1" x14ac:dyDescent="0.2">
      <c r="A370" s="567"/>
      <c r="B370" s="567"/>
      <c r="C370" s="567" t="s">
        <v>1632</v>
      </c>
      <c r="D370" s="567"/>
      <c r="E370" s="567"/>
      <c r="F370" s="567"/>
      <c r="G370" s="567" t="s">
        <v>2346</v>
      </c>
      <c r="H370" s="567" t="s">
        <v>895</v>
      </c>
      <c r="I370" s="678"/>
      <c r="J370" s="294" t="str">
        <f>IF(ISBLANK(HLOOKUP(CaseName,CaseData,MATCH($G370,cases!$G$4:$G$2458,0),FALSE)),"",HLOOKUP(CaseName,CaseData,MATCH($G370,cases!$G$4:$G$2458,0),FALSE))</f>
        <v/>
      </c>
      <c r="K370" s="621">
        <f>((input!L305*(RhoNuc*(4/3*PI()*(RadNuc)^3)+RhoS*SingleVolS))+(input!L306*(RhoAcc*(4/3*PI()*(RadAcc)^3)+RhoS*SingleVolS)))/(input!L305+input!L306)</f>
        <v>7.8216041740805096E-19</v>
      </c>
      <c r="L370" s="551">
        <f t="shared" si="19"/>
        <v>7.8216041740805096E-19</v>
      </c>
      <c r="M370" s="567" t="s">
        <v>895</v>
      </c>
      <c r="N370" s="567"/>
      <c r="O370" s="605"/>
      <c r="P370" s="567"/>
    </row>
    <row r="371" spans="1:16" s="634" customFormat="1" ht="12.75" customHeight="1" x14ac:dyDescent="0.2">
      <c r="A371" s="583" t="s">
        <v>1635</v>
      </c>
      <c r="B371" s="583"/>
      <c r="C371" s="583"/>
      <c r="D371" s="583"/>
      <c r="E371" s="583"/>
      <c r="F371" s="583"/>
      <c r="G371" s="582" t="s">
        <v>2347</v>
      </c>
      <c r="H371" s="582" t="s">
        <v>340</v>
      </c>
      <c r="I371" s="709"/>
      <c r="J371" s="294" t="str">
        <f>IF(ISBLANK(HLOOKUP(CaseName,CaseData,MATCH($G371,cases!$G$4:$G$2458,0),FALSE)),"",HLOOKUP(CaseName,CaseData,MATCH($G371,cases!$G$4:$G$2458,0),FALSE))</f>
        <v/>
      </c>
      <c r="K371" s="623">
        <f>(3/2)*(L379*L361)/(2*L359)</f>
        <v>9.6991320673020219E-7</v>
      </c>
      <c r="L371" s="708">
        <f t="shared" si="19"/>
        <v>9.6991320673020219E-7</v>
      </c>
      <c r="M371" s="582" t="s">
        <v>340</v>
      </c>
      <c r="N371" s="583"/>
      <c r="O371" s="664" t="s">
        <v>2348</v>
      </c>
      <c r="P371" s="583" t="s">
        <v>1637</v>
      </c>
    </row>
    <row r="372" spans="1:16" customFormat="1" ht="12.75" customHeight="1" x14ac:dyDescent="0.2">
      <c r="A372" s="567"/>
      <c r="B372" s="567" t="s">
        <v>1638</v>
      </c>
      <c r="C372" s="567"/>
      <c r="D372" s="567"/>
      <c r="E372" s="567"/>
      <c r="F372" s="567"/>
      <c r="G372" s="568" t="s">
        <v>2349</v>
      </c>
      <c r="H372" s="568" t="s">
        <v>1640</v>
      </c>
      <c r="I372" s="678"/>
      <c r="J372" s="294" t="str">
        <f>IF(ISBLANK(HLOOKUP(CaseName,CaseData,MATCH($G372,cases!$G$4:$G$2458,0),FALSE)),"",HLOOKUP(CaseName,CaseData,MATCH($G372,cases!$G$4:$G$2458,0),FALSE))</f>
        <v/>
      </c>
      <c r="K372" s="621">
        <f>((RhoS-Rho.a)*(2*RadS)^2*CunninghamS)/(18*DYNVISC.a)</f>
        <v>2.9727496338664685E-8</v>
      </c>
      <c r="L372" s="551">
        <f t="shared" si="19"/>
        <v>2.9727496338664685E-8</v>
      </c>
      <c r="M372" s="568" t="s">
        <v>1640</v>
      </c>
      <c r="N372" s="567"/>
      <c r="O372" s="605"/>
      <c r="P372" s="567"/>
    </row>
    <row r="373" spans="1:16" customFormat="1" ht="12.75" customHeight="1" x14ac:dyDescent="0.2">
      <c r="A373" s="567"/>
      <c r="B373" s="567" t="s">
        <v>1641</v>
      </c>
      <c r="C373" s="567"/>
      <c r="D373" s="567"/>
      <c r="E373" s="567"/>
      <c r="F373" s="567"/>
      <c r="G373" s="568" t="s">
        <v>2350</v>
      </c>
      <c r="H373" s="568" t="s">
        <v>296</v>
      </c>
      <c r="I373" s="678"/>
      <c r="J373" s="294" t="str">
        <f>IF(ISBLANK(HLOOKUP(CaseName,CaseData,MATCH($G373,cases!$G$4:$G$2458,0),FALSE)),"",HLOOKUP(CaseName,CaseData,MATCH($G373,cases!$G$4:$G$2458,0),FALSE))</f>
        <v/>
      </c>
      <c r="K373" s="621">
        <f>(2*L372*(L362-L374))/(2*L359)</f>
        <v>6.6412508933626419E-4</v>
      </c>
      <c r="L373" s="551">
        <f t="shared" si="19"/>
        <v>6.6412508933626419E-4</v>
      </c>
      <c r="M373" s="568" t="s">
        <v>296</v>
      </c>
      <c r="N373" s="567"/>
      <c r="O373" s="605" t="s">
        <v>1643</v>
      </c>
      <c r="P373" s="567"/>
    </row>
    <row r="374" spans="1:16" customFormat="1" ht="12.75" customHeight="1" x14ac:dyDescent="0.2">
      <c r="A374" s="567"/>
      <c r="B374" s="567" t="s">
        <v>1644</v>
      </c>
      <c r="C374" s="567"/>
      <c r="D374" s="567"/>
      <c r="E374" s="567"/>
      <c r="F374" s="567"/>
      <c r="G374" s="568" t="s">
        <v>2351</v>
      </c>
      <c r="H374" s="568" t="s">
        <v>873</v>
      </c>
      <c r="I374" s="678"/>
      <c r="J374" s="294" t="str">
        <f>IF(ISBLANK(HLOOKUP(CaseName,CaseData,MATCH($G374,cases!$G$4:$G$2458,0),FALSE)),"",HLOOKUP(CaseName,CaseData,MATCH($G374,cases!$G$4:$G$2458,0),FALSE))</f>
        <v/>
      </c>
      <c r="K374" s="621">
        <f>((2*RadS)^2*(RhoS-Rho.a)*9.81*CunninghamS)/(18*DYNVISC.a)</f>
        <v>2.9162673908230058E-7</v>
      </c>
      <c r="L374" s="551">
        <f t="shared" si="19"/>
        <v>2.9162673908230058E-7</v>
      </c>
      <c r="M374" s="568" t="s">
        <v>873</v>
      </c>
      <c r="N374" s="567"/>
      <c r="O374" s="605"/>
      <c r="P374" s="567"/>
    </row>
    <row r="375" spans="1:16" customFormat="1" ht="12.75" customHeight="1" x14ac:dyDescent="0.2">
      <c r="A375" s="567"/>
      <c r="B375" s="567" t="s">
        <v>1646</v>
      </c>
      <c r="C375" s="567"/>
      <c r="D375" s="567"/>
      <c r="E375" s="567"/>
      <c r="F375" s="567"/>
      <c r="G375" s="568" t="s">
        <v>2352</v>
      </c>
      <c r="H375" s="568" t="s">
        <v>296</v>
      </c>
      <c r="I375" s="678"/>
      <c r="J375" s="294" t="str">
        <f>IF(ISBLANK(HLOOKUP(CaseName,CaseData,MATCH($G375,cases!$G$4:$G$2458,0),FALSE)),"",HLOOKUP(CaseName,CaseData,MATCH($G375,cases!$G$4:$G$2458,0),FALSE))</f>
        <v/>
      </c>
      <c r="K375" s="621">
        <f>DYNVISC.a/(Rho.a*DiffS.aC)</f>
        <v>279.68506291363371</v>
      </c>
      <c r="L375" s="551">
        <f t="shared" si="19"/>
        <v>279.68506291363371</v>
      </c>
      <c r="M375" s="568" t="s">
        <v>296</v>
      </c>
      <c r="N375" s="567"/>
      <c r="O375" s="605"/>
      <c r="P375" s="567"/>
    </row>
    <row r="376" spans="1:16" customFormat="1" ht="12.75" customHeight="1" x14ac:dyDescent="0.2">
      <c r="A376" s="567"/>
      <c r="B376" s="567"/>
      <c r="C376" s="567" t="s">
        <v>1648</v>
      </c>
      <c r="D376" s="567"/>
      <c r="E376" s="567"/>
      <c r="F376" s="567"/>
      <c r="G376" s="568" t="s">
        <v>2353</v>
      </c>
      <c r="H376" s="568" t="s">
        <v>296</v>
      </c>
      <c r="I376" s="678"/>
      <c r="J376" s="294" t="str">
        <f>IF(ISBLANK(HLOOKUP(CaseName,CaseData,MATCH($G376,cases!$G$4:$G$2458,0),FALSE)),"",HLOOKUP(CaseName,CaseData,MATCH($G376,cases!$G$4:$G$2458,0),FALSE))</f>
        <v/>
      </c>
      <c r="K376" s="621">
        <f>(4/(L365*L375))*(1+0.4*(L365^0.5*L375^(1/3))+0.16*(L365^0.5*L375^0.5))</f>
        <v>1.0732223264878138E-2</v>
      </c>
      <c r="L376" s="551">
        <f t="shared" si="19"/>
        <v>1.0732223264878138E-2</v>
      </c>
      <c r="M376" s="568" t="s">
        <v>296</v>
      </c>
      <c r="N376" s="567"/>
      <c r="O376" s="605"/>
      <c r="P376" s="567"/>
    </row>
    <row r="377" spans="1:16" customFormat="1" ht="12.75" customHeight="1" x14ac:dyDescent="0.2">
      <c r="A377" s="567"/>
      <c r="B377" s="567"/>
      <c r="C377" s="567" t="s">
        <v>1650</v>
      </c>
      <c r="D377" s="567"/>
      <c r="E377" s="567"/>
      <c r="F377" s="567"/>
      <c r="G377" s="568" t="s">
        <v>2354</v>
      </c>
      <c r="H377" s="568" t="s">
        <v>296</v>
      </c>
      <c r="I377" s="678"/>
      <c r="J377" s="294" t="str">
        <f>IF(ISBLANK(HLOOKUP(CaseName,CaseData,MATCH($G377,cases!$G$4:$G$2458,0),FALSE)),"",HLOOKUP(CaseName,CaseData,MATCH($G377,cases!$G$4:$G$2458,0),FALSE))</f>
        <v/>
      </c>
      <c r="K377" s="621">
        <f>4*(RadS/L359)*((DYNVISC.a/DYNVISC.w)+(1+2*L365^0.5*(RadS/L359)))</f>
        <v>1.0945972137335627E-4</v>
      </c>
      <c r="L377" s="551">
        <f t="shared" si="19"/>
        <v>1.0945972137335627E-4</v>
      </c>
      <c r="M377" s="568" t="s">
        <v>296</v>
      </c>
      <c r="N377" s="567"/>
      <c r="O377" s="605"/>
      <c r="P377" s="567"/>
    </row>
    <row r="378" spans="1:16" customFormat="1" ht="12.75" customHeight="1" x14ac:dyDescent="0.2">
      <c r="A378" s="567"/>
      <c r="B378" s="567"/>
      <c r="C378" s="567" t="s">
        <v>1652</v>
      </c>
      <c r="D378" s="567"/>
      <c r="E378" s="567"/>
      <c r="F378" s="567"/>
      <c r="G378" s="568" t="s">
        <v>2355</v>
      </c>
      <c r="H378" s="568" t="s">
        <v>296</v>
      </c>
      <c r="I378" s="678"/>
      <c r="J378" s="294" t="str">
        <f>IF(ISBLANK(HLOOKUP(CaseName,CaseData,MATCH($G378,cases!$G$4:$G$2458,0),FALSE)),"",HLOOKUP(CaseName,CaseData,MATCH($G378,cases!$G$4:$G$2458,0),FALSE))</f>
        <v/>
      </c>
      <c r="K378" s="621">
        <f>IF(L373&gt;L364,((L373-L364)/(L373-L364+2/3))^(3/2),0)</f>
        <v>0</v>
      </c>
      <c r="L378" s="551">
        <f t="shared" si="19"/>
        <v>0</v>
      </c>
      <c r="M378" s="568" t="s">
        <v>296</v>
      </c>
      <c r="N378" s="567"/>
      <c r="O378" s="605"/>
      <c r="P378" s="567"/>
    </row>
    <row r="379" spans="1:16" customFormat="1" ht="12.75" customHeight="1" x14ac:dyDescent="0.2">
      <c r="A379" s="567"/>
      <c r="B379" s="567"/>
      <c r="C379" s="567" t="s">
        <v>1654</v>
      </c>
      <c r="D379" s="567"/>
      <c r="E379" s="567"/>
      <c r="F379" s="567"/>
      <c r="G379" s="568" t="s">
        <v>2356</v>
      </c>
      <c r="H379" s="568" t="s">
        <v>296</v>
      </c>
      <c r="I379" s="678"/>
      <c r="J379" s="294" t="str">
        <f>IF(ISBLANK(HLOOKUP(CaseName,CaseData,MATCH($G379,cases!$G$4:$G$2458,0),FALSE)),"",HLOOKUP(CaseName,CaseData,MATCH($G379,cases!$G$4:$G$2458,0),FALSE))</f>
        <v/>
      </c>
      <c r="K379" s="621">
        <f>L376+L377+L378</f>
        <v>1.0841682986251494E-2</v>
      </c>
      <c r="L379" s="551">
        <f t="shared" si="19"/>
        <v>1.0841682986251494E-2</v>
      </c>
      <c r="M379" s="568" t="s">
        <v>296</v>
      </c>
      <c r="N379" s="567"/>
      <c r="O379" s="605"/>
      <c r="P379" s="567"/>
    </row>
    <row r="380" spans="1:16" customFormat="1" ht="12.75" customHeight="1" x14ac:dyDescent="0.2">
      <c r="A380" s="567" t="s">
        <v>1656</v>
      </c>
      <c r="B380" s="567"/>
      <c r="C380" s="567"/>
      <c r="D380" s="567"/>
      <c r="E380" s="567"/>
      <c r="F380" s="567"/>
      <c r="G380" s="568" t="s">
        <v>2357</v>
      </c>
      <c r="H380" s="568" t="s">
        <v>340</v>
      </c>
      <c r="I380" s="678"/>
      <c r="J380" s="294" t="str">
        <f>IF(ISBLANK(HLOOKUP(CaseName,CaseData,MATCH($G380,cases!$G$4:$G$2458,0),FALSE)),"",HLOOKUP(CaseName,CaseData,MATCH($G380,cases!$G$4:$G$2458,0),FALSE))</f>
        <v/>
      </c>
      <c r="K380" s="697">
        <f>((3/2)*(L390*L361)/(2*L359))</f>
        <v>1.7484098176372422E-7</v>
      </c>
      <c r="L380" s="551">
        <f t="shared" si="19"/>
        <v>1.7484098176372422E-7</v>
      </c>
      <c r="M380" s="568" t="s">
        <v>340</v>
      </c>
      <c r="N380" s="567"/>
      <c r="O380" s="605"/>
      <c r="P380" s="567"/>
    </row>
    <row r="381" spans="1:16" customFormat="1" ht="12.75" customHeight="1" x14ac:dyDescent="0.2">
      <c r="A381" s="567"/>
      <c r="B381" s="567" t="s">
        <v>1658</v>
      </c>
      <c r="C381" s="567"/>
      <c r="D381" s="567"/>
      <c r="E381" s="567"/>
      <c r="F381" s="567"/>
      <c r="G381" s="568" t="s">
        <v>2358</v>
      </c>
      <c r="H381" s="568" t="s">
        <v>296</v>
      </c>
      <c r="I381" s="678"/>
      <c r="J381" s="294" t="str">
        <f>IF(ISBLANK(HLOOKUP(CaseName,CaseData,MATCH($G381,cases!$G$4:$G$2458,0),FALSE)),"",HLOOKUP(CaseName,CaseData,MATCH($G381,cases!$G$4:$G$2458,0),FALSE))</f>
        <v/>
      </c>
      <c r="K381" s="621">
        <f>1+(66*10^-9/L367)*(1.142+0.558*EXP(-0.999/(66*10^-9/L367)))</f>
        <v>3.0696088001070425</v>
      </c>
      <c r="L381" s="551">
        <f t="shared" si="19"/>
        <v>3.0696088001070425</v>
      </c>
      <c r="M381" s="568" t="s">
        <v>296</v>
      </c>
      <c r="N381" s="567"/>
      <c r="O381" s="605"/>
      <c r="P381" s="567"/>
    </row>
    <row r="382" spans="1:16" customFormat="1" ht="12.75" customHeight="1" x14ac:dyDescent="0.2">
      <c r="A382" s="567"/>
      <c r="B382" s="567" t="s">
        <v>1660</v>
      </c>
      <c r="C382" s="567"/>
      <c r="D382" s="567"/>
      <c r="E382" s="567"/>
      <c r="F382" s="567"/>
      <c r="G382" s="568" t="s">
        <v>2359</v>
      </c>
      <c r="H382" s="568"/>
      <c r="I382" s="678"/>
      <c r="J382" s="294" t="str">
        <f>IF(ISBLANK(HLOOKUP(CaseName,CaseData,MATCH($G382,cases!$G$4:$G$2458,0),FALSE)),"",HLOOKUP(CaseName,CaseData,MATCH($G382,cases!$G$4:$G$2458,0),FALSE))</f>
        <v/>
      </c>
      <c r="K382" s="621">
        <f>(kboltz*TEMP.C*L381)/(6*PI()*DYNVISC.a*L367)</f>
        <v>7.8025597501893335E-10</v>
      </c>
      <c r="L382" s="551">
        <f t="shared" si="19"/>
        <v>7.8025597501893335E-10</v>
      </c>
      <c r="M382" s="568"/>
      <c r="N382" s="567"/>
      <c r="O382" s="605"/>
      <c r="P382" s="567"/>
    </row>
    <row r="383" spans="1:16" customFormat="1" ht="12.75" customHeight="1" x14ac:dyDescent="0.2">
      <c r="A383" s="567"/>
      <c r="B383" s="567" t="s">
        <v>1638</v>
      </c>
      <c r="C383" s="567"/>
      <c r="D383" s="567"/>
      <c r="E383" s="567"/>
      <c r="F383" s="567"/>
      <c r="G383" s="568" t="s">
        <v>2360</v>
      </c>
      <c r="H383" s="568" t="s">
        <v>1640</v>
      </c>
      <c r="I383" s="678"/>
      <c r="J383" s="294" t="str">
        <f>IF(ISBLANK(HLOOKUP(CaseName,CaseData,MATCH($G383,cases!$G$4:$G$2458,0),FALSE)),"",HLOOKUP(CaseName,CaseData,MATCH($G383,cases!$G$4:$G$2458,0),FALSE))</f>
        <v/>
      </c>
      <c r="K383" s="621">
        <f>((L368-Rho.a)*(2*L367)^2*L381)/(18*DYNVISC.a)</f>
        <v>1.5500247909018642E-7</v>
      </c>
      <c r="L383" s="551">
        <f t="shared" si="19"/>
        <v>1.5500247909018642E-7</v>
      </c>
      <c r="M383" s="568" t="s">
        <v>1640</v>
      </c>
      <c r="N383" s="567"/>
      <c r="O383" s="605"/>
      <c r="P383" s="567"/>
    </row>
    <row r="384" spans="1:16" customFormat="1" ht="12.75" customHeight="1" x14ac:dyDescent="0.2">
      <c r="A384" s="567"/>
      <c r="B384" s="567" t="s">
        <v>1663</v>
      </c>
      <c r="C384" s="567"/>
      <c r="D384" s="567"/>
      <c r="E384" s="567"/>
      <c r="F384" s="567"/>
      <c r="G384" s="568" t="s">
        <v>2361</v>
      </c>
      <c r="H384" s="568" t="s">
        <v>296</v>
      </c>
      <c r="I384" s="678"/>
      <c r="J384" s="294" t="str">
        <f>IF(ISBLANK(HLOOKUP(CaseName,CaseData,MATCH($G384,cases!$G$4:$G$2458,0),FALSE)),"",HLOOKUP(CaseName,CaseData,MATCH($G384,cases!$G$4:$G$2458,0),FALSE))</f>
        <v/>
      </c>
      <c r="K384" s="621">
        <f>(2*L383*(L362-L385))/(2*L359)</f>
        <v>3.4628212100187104E-3</v>
      </c>
      <c r="L384" s="551">
        <f t="shared" si="19"/>
        <v>3.4628212100187104E-3</v>
      </c>
      <c r="M384" s="568" t="s">
        <v>296</v>
      </c>
      <c r="N384" s="567"/>
      <c r="O384" s="605"/>
      <c r="P384" s="567"/>
    </row>
    <row r="385" spans="1:16" customFormat="1" ht="12.75" customHeight="1" x14ac:dyDescent="0.2">
      <c r="A385" s="567"/>
      <c r="B385" s="567" t="s">
        <v>1644</v>
      </c>
      <c r="C385" s="567"/>
      <c r="D385" s="567"/>
      <c r="E385" s="567"/>
      <c r="F385" s="567"/>
      <c r="G385" s="568" t="s">
        <v>2362</v>
      </c>
      <c r="H385" s="568" t="s">
        <v>873</v>
      </c>
      <c r="I385" s="678"/>
      <c r="J385" s="294" t="str">
        <f>IF(ISBLANK(HLOOKUP(CaseName,CaseData,MATCH($G385,cases!$G$4:$G$2458,0),FALSE)),"",HLOOKUP(CaseName,CaseData,MATCH($G385,cases!$G$4:$G$2458,0),FALSE))</f>
        <v/>
      </c>
      <c r="K385" s="621">
        <f>((2*L367)^2*(L368-Rho.a)*9.81*L381)/(18*DYNVISC.a)</f>
        <v>1.5205743198747288E-6</v>
      </c>
      <c r="L385" s="551">
        <f t="shared" si="19"/>
        <v>1.5205743198747288E-6</v>
      </c>
      <c r="M385" s="568" t="s">
        <v>873</v>
      </c>
      <c r="N385" s="567"/>
      <c r="O385" s="605"/>
      <c r="P385" s="567"/>
    </row>
    <row r="386" spans="1:16" customFormat="1" ht="12.75" customHeight="1" x14ac:dyDescent="0.2">
      <c r="A386" s="567"/>
      <c r="B386" s="567" t="s">
        <v>1646</v>
      </c>
      <c r="C386" s="567"/>
      <c r="D386" s="567"/>
      <c r="E386" s="567"/>
      <c r="F386" s="567"/>
      <c r="G386" s="568" t="s">
        <v>2363</v>
      </c>
      <c r="H386" s="568" t="s">
        <v>296</v>
      </c>
      <c r="I386" s="678"/>
      <c r="J386" s="294" t="str">
        <f>IF(ISBLANK(HLOOKUP(CaseName,CaseData,MATCH($G386,cases!$G$4:$G$2458,0),FALSE)),"",HLOOKUP(CaseName,CaseData,MATCH($G386,cases!$G$4:$G$2458,0),FALSE))</f>
        <v/>
      </c>
      <c r="K386" s="621">
        <f>DYNVISC.a/(Rho.a*L382)</f>
        <v>18936.747269026804</v>
      </c>
      <c r="L386" s="551">
        <f t="shared" si="19"/>
        <v>18936.747269026804</v>
      </c>
      <c r="M386" s="568" t="s">
        <v>296</v>
      </c>
      <c r="N386" s="567"/>
      <c r="O386" s="605"/>
      <c r="P386" s="567"/>
    </row>
    <row r="387" spans="1:16" customFormat="1" ht="12.75" customHeight="1" x14ac:dyDescent="0.2">
      <c r="A387" s="567"/>
      <c r="B387" s="567"/>
      <c r="C387" s="567" t="s">
        <v>1648</v>
      </c>
      <c r="D387" s="567"/>
      <c r="E387" s="567"/>
      <c r="F387" s="567"/>
      <c r="G387" s="568" t="s">
        <v>2364</v>
      </c>
      <c r="H387" s="568" t="s">
        <v>296</v>
      </c>
      <c r="I387" s="678"/>
      <c r="J387" s="294" t="str">
        <f>IF(ISBLANK(HLOOKUP(CaseName,CaseData,MATCH($G387,cases!$G$4:$G$2458,0),FALSE)),"",HLOOKUP(CaseName,CaseData,MATCH($G387,cases!$G$4:$G$2458,0),FALSE))</f>
        <v/>
      </c>
      <c r="K387" s="621">
        <f>(4/(L365*L386))*(1+0.4*(L365^0.5*L386^(1/3))+0.16*(L365^0.5*L386^0.5))</f>
        <v>9.5801318553660471E-4</v>
      </c>
      <c r="L387" s="551">
        <f t="shared" si="19"/>
        <v>9.5801318553660471E-4</v>
      </c>
      <c r="M387" s="568" t="s">
        <v>296</v>
      </c>
      <c r="N387" s="567"/>
      <c r="O387" s="605"/>
      <c r="P387" s="567"/>
    </row>
    <row r="388" spans="1:16" customFormat="1" ht="12.75" customHeight="1" x14ac:dyDescent="0.2">
      <c r="A388" s="567"/>
      <c r="B388" s="567"/>
      <c r="C388" s="567" t="s">
        <v>1650</v>
      </c>
      <c r="D388" s="567"/>
      <c r="E388" s="567"/>
      <c r="F388" s="567"/>
      <c r="G388" s="568" t="s">
        <v>2365</v>
      </c>
      <c r="H388" s="568" t="s">
        <v>296</v>
      </c>
      <c r="I388" s="678"/>
      <c r="J388" s="294" t="str">
        <f>IF(ISBLANK(HLOOKUP(CaseName,CaseData,MATCH($G388,cases!$G$4:$G$2458,0),FALSE)),"",HLOOKUP(CaseName,CaseData,MATCH($G388,cases!$G$4:$G$2458,0),FALSE))</f>
        <v/>
      </c>
      <c r="K388" s="621">
        <f>4*(L367/L359)*((DYNVISC.a/DYNVISC.w)+(1+2*L365^0.5*(L367/L359)))</f>
        <v>9.9635807586489177E-4</v>
      </c>
      <c r="L388" s="551">
        <f t="shared" si="19"/>
        <v>9.9635807586489177E-4</v>
      </c>
      <c r="M388" s="568" t="s">
        <v>296</v>
      </c>
      <c r="N388" s="567"/>
      <c r="O388" s="605"/>
      <c r="P388" s="567"/>
    </row>
    <row r="389" spans="1:16" customFormat="1" ht="12.75" customHeight="1" x14ac:dyDescent="0.2">
      <c r="A389" s="567"/>
      <c r="B389" s="567"/>
      <c r="C389" s="567" t="s">
        <v>1652</v>
      </c>
      <c r="D389" s="567"/>
      <c r="E389" s="567"/>
      <c r="F389" s="567"/>
      <c r="G389" s="568" t="s">
        <v>2366</v>
      </c>
      <c r="H389" s="568" t="s">
        <v>296</v>
      </c>
      <c r="I389" s="678"/>
      <c r="J389" s="294" t="str">
        <f>IF(ISBLANK(HLOOKUP(CaseName,CaseData,MATCH($G389,cases!$G$4:$G$2458,0),FALSE)),"",HLOOKUP(CaseName,CaseData,MATCH($G389,cases!$G$4:$G$2458,0),FALSE))</f>
        <v/>
      </c>
      <c r="K389" s="621">
        <f>IF(L384&gt;L364,((L384-L364)/(L384-L364+2/3))^(3/2),0)</f>
        <v>0</v>
      </c>
      <c r="L389" s="551">
        <f t="shared" si="19"/>
        <v>0</v>
      </c>
      <c r="M389" s="568" t="s">
        <v>296</v>
      </c>
      <c r="N389" s="567"/>
      <c r="O389" s="605"/>
      <c r="P389" s="567"/>
    </row>
    <row r="390" spans="1:16" customFormat="1" ht="12.75" customHeight="1" x14ac:dyDescent="0.2">
      <c r="A390" s="567"/>
      <c r="B390" s="567"/>
      <c r="C390" s="567" t="s">
        <v>1654</v>
      </c>
      <c r="D390" s="567"/>
      <c r="E390" s="567"/>
      <c r="F390" s="567"/>
      <c r="G390" s="568" t="s">
        <v>2367</v>
      </c>
      <c r="H390" s="568" t="s">
        <v>296</v>
      </c>
      <c r="I390" s="678"/>
      <c r="J390" s="294" t="str">
        <f>IF(ISBLANK(HLOOKUP(CaseName,CaseData,MATCH($G390,cases!$G$4:$G$2458,0),FALSE)),"",HLOOKUP(CaseName,CaseData,MATCH($G390,cases!$G$4:$G$2458,0),FALSE))</f>
        <v/>
      </c>
      <c r="K390" s="621">
        <f>L387+L388+L389</f>
        <v>1.9543712614014967E-3</v>
      </c>
      <c r="L390" s="551">
        <f t="shared" si="19"/>
        <v>1.9543712614014967E-3</v>
      </c>
      <c r="M390" s="568" t="s">
        <v>296</v>
      </c>
      <c r="N390" s="567"/>
      <c r="O390" s="605"/>
      <c r="P390" s="567"/>
    </row>
    <row r="391" spans="1:16" customFormat="1" ht="12.75" customHeight="1" x14ac:dyDescent="0.2">
      <c r="A391" s="567" t="s">
        <v>1671</v>
      </c>
      <c r="B391" s="567"/>
      <c r="C391" s="567"/>
      <c r="D391" s="567"/>
      <c r="E391" s="567"/>
      <c r="F391" s="567"/>
      <c r="G391" s="568" t="s">
        <v>2368</v>
      </c>
      <c r="H391" s="568" t="s">
        <v>340</v>
      </c>
      <c r="I391" s="678"/>
      <c r="J391" s="294" t="str">
        <f>IF(ISBLANK(HLOOKUP(CaseName,CaseData,MATCH($G391,cases!$G$4:$G$2458,0),FALSE)),"",HLOOKUP(CaseName,CaseData,MATCH($G391,cases!$G$4:$G$2458,0),FALSE))</f>
        <v/>
      </c>
      <c r="K391" s="901">
        <f>((L131+L132)/L132*RAINrate.C*L137)/L23</f>
        <v>7.3989514628784045E-5</v>
      </c>
      <c r="L391" s="551">
        <f t="shared" si="19"/>
        <v>7.3989514628784045E-5</v>
      </c>
      <c r="M391" s="567" t="s">
        <v>340</v>
      </c>
      <c r="N391" s="567" t="s">
        <v>1673</v>
      </c>
      <c r="O391" s="605"/>
      <c r="P391" s="567"/>
    </row>
    <row r="392" spans="1:16" s="634" customFormat="1" ht="12.75" customHeight="1" x14ac:dyDescent="0.2">
      <c r="A392" s="583" t="s">
        <v>1674</v>
      </c>
      <c r="B392" s="583"/>
      <c r="C392" s="583"/>
      <c r="D392" s="583"/>
      <c r="E392" s="583"/>
      <c r="F392" s="583"/>
      <c r="G392" s="582" t="s">
        <v>2369</v>
      </c>
      <c r="H392" s="582" t="s">
        <v>340</v>
      </c>
      <c r="I392" s="709"/>
      <c r="J392" s="294" t="str">
        <f>IF(ISBLANK(HLOOKUP(CaseName,CaseData,MATCH($G392,cases!$G$4:$G$2458,0),FALSE)),"",HLOOKUP(CaseName,CaseData,MATCH($G392,cases!$G$4:$G$2458,0),FALSE))</f>
        <v/>
      </c>
      <c r="K392" s="623">
        <f>(L393*L19*L16)/(L5)</f>
        <v>4.3720976657762452E-7</v>
      </c>
      <c r="L392" s="708">
        <f t="shared" si="19"/>
        <v>4.3720976657762452E-7</v>
      </c>
      <c r="M392" s="582" t="s">
        <v>340</v>
      </c>
      <c r="N392" s="583"/>
      <c r="O392" s="664"/>
      <c r="P392" s="583"/>
    </row>
    <row r="393" spans="1:16" customFormat="1" ht="12.75" customHeight="1" x14ac:dyDescent="0.2">
      <c r="A393" s="567"/>
      <c r="B393" s="567" t="s">
        <v>1676</v>
      </c>
      <c r="C393" s="567"/>
      <c r="D393" s="567"/>
      <c r="E393" s="567"/>
      <c r="F393" s="567"/>
      <c r="G393" s="568" t="s">
        <v>2370</v>
      </c>
      <c r="H393" s="568" t="s">
        <v>873</v>
      </c>
      <c r="I393" s="678"/>
      <c r="J393" s="294" t="str">
        <f>IF(ISBLANK(HLOOKUP(CaseName,CaseData,MATCH($G393,cases!$G$4:$G$2458,0),FALSE)),"",HLOOKUP(CaseName,CaseData,MATCH($G393,cases!$G$4:$G$2458,0),FALSE))</f>
        <v/>
      </c>
      <c r="K393" s="621">
        <f>1/(L394+L395)+L374</f>
        <v>3.344304138987743E-3</v>
      </c>
      <c r="L393" s="551">
        <f t="shared" si="19"/>
        <v>3.344304138987743E-3</v>
      </c>
      <c r="M393" s="568" t="s">
        <v>873</v>
      </c>
      <c r="N393" s="567"/>
      <c r="O393" s="605"/>
      <c r="P393" s="567"/>
    </row>
    <row r="394" spans="1:16" customFormat="1" ht="12.75" customHeight="1" x14ac:dyDescent="0.2">
      <c r="A394" s="567"/>
      <c r="B394" s="567" t="s">
        <v>1678</v>
      </c>
      <c r="C394" s="567"/>
      <c r="D394" s="567"/>
      <c r="E394" s="567"/>
      <c r="F394" s="567"/>
      <c r="G394" s="568" t="s">
        <v>2371</v>
      </c>
      <c r="H394" s="568" t="s">
        <v>1680</v>
      </c>
      <c r="I394" s="678"/>
      <c r="J394" s="294" t="str">
        <f>IF(ISBLANK(HLOOKUP(CaseName,CaseData,MATCH($G394,cases!$G$4:$G$2458,0),FALSE)),"",HLOOKUP(CaseName,CaseData,MATCH($G394,cases!$G$4:$G$2458,0),FALSE))</f>
        <v/>
      </c>
      <c r="K394" s="621">
        <v>74</v>
      </c>
      <c r="L394" s="551">
        <f t="shared" si="19"/>
        <v>74</v>
      </c>
      <c r="M394" s="568" t="s">
        <v>1680</v>
      </c>
      <c r="N394" s="567"/>
      <c r="O394" s="605" t="s">
        <v>1681</v>
      </c>
      <c r="P394" s="567" t="s">
        <v>1682</v>
      </c>
    </row>
    <row r="395" spans="1:16" customFormat="1" ht="12.75" customHeight="1" x14ac:dyDescent="0.2">
      <c r="A395" s="567"/>
      <c r="B395" s="567" t="s">
        <v>1683</v>
      </c>
      <c r="C395" s="567"/>
      <c r="D395" s="567"/>
      <c r="E395" s="567"/>
      <c r="F395" s="567"/>
      <c r="G395" s="568" t="s">
        <v>2372</v>
      </c>
      <c r="H395" s="568" t="s">
        <v>1680</v>
      </c>
      <c r="I395" s="678"/>
      <c r="J395" s="294" t="str">
        <f>IF(ISBLANK(HLOOKUP(CaseName,CaseData,MATCH($G395,cases!$G$4:$G$2458,0),FALSE)),"",HLOOKUP(CaseName,CaseData,MATCH($G395,cases!$G$4:$G$2458,0),FALSE))</f>
        <v/>
      </c>
      <c r="K395" s="621">
        <f>1/(L396*(L397+L398+L402))</f>
        <v>225.04194327537255</v>
      </c>
      <c r="L395" s="551">
        <f t="shared" si="19"/>
        <v>225.04194327537255</v>
      </c>
      <c r="M395" s="568" t="s">
        <v>1680</v>
      </c>
      <c r="N395" s="567"/>
      <c r="O395" s="605" t="s">
        <v>1685</v>
      </c>
      <c r="P395" s="567"/>
    </row>
    <row r="396" spans="1:16" customFormat="1" ht="12.75" customHeight="1" x14ac:dyDescent="0.2">
      <c r="A396" s="567"/>
      <c r="B396" s="567"/>
      <c r="C396" s="567" t="s">
        <v>1686</v>
      </c>
      <c r="D396" s="567"/>
      <c r="E396" s="567"/>
      <c r="F396" s="567"/>
      <c r="G396" s="568" t="s">
        <v>2373</v>
      </c>
      <c r="H396" s="568" t="s">
        <v>873</v>
      </c>
      <c r="I396" s="678"/>
      <c r="J396" s="294" t="str">
        <f>IF(ISBLANK(HLOOKUP(CaseName,CaseData,MATCH($G396,cases!$G$4:$G$2458,0),FALSE)),"",HLOOKUP(CaseName,CaseData,MATCH($G396,cases!$G$4:$G$2458,0),FALSE))</f>
        <v/>
      </c>
      <c r="K396" s="621">
        <v>0.19</v>
      </c>
      <c r="L396" s="551">
        <f t="shared" si="19"/>
        <v>0.19</v>
      </c>
      <c r="M396" s="568" t="s">
        <v>873</v>
      </c>
      <c r="N396" s="567"/>
      <c r="O396" s="605" t="s">
        <v>1688</v>
      </c>
      <c r="P396" s="567" t="s">
        <v>1689</v>
      </c>
    </row>
    <row r="397" spans="1:16" customFormat="1" ht="12.75" customHeight="1" x14ac:dyDescent="0.2">
      <c r="A397" s="567"/>
      <c r="B397" s="567"/>
      <c r="C397" s="567" t="s">
        <v>1648</v>
      </c>
      <c r="D397" s="567"/>
      <c r="E397" s="567"/>
      <c r="F397" s="567"/>
      <c r="G397" s="568" t="s">
        <v>2374</v>
      </c>
      <c r="H397" s="568" t="s">
        <v>296</v>
      </c>
      <c r="I397" s="678"/>
      <c r="J397" s="294" t="str">
        <f>IF(ISBLANK(HLOOKUP(CaseName,CaseData,MATCH($G397,cases!$G$4:$G$2458,0),FALSE)),"",HLOOKUP(CaseName,CaseData,MATCH($G397,cases!$G$4:$G$2458,0),FALSE))</f>
        <v/>
      </c>
      <c r="K397" s="621">
        <f>L375^(-2/3)</f>
        <v>2.338229586631968E-2</v>
      </c>
      <c r="L397" s="551">
        <f t="shared" si="19"/>
        <v>2.338229586631968E-2</v>
      </c>
      <c r="M397" s="568" t="s">
        <v>296</v>
      </c>
      <c r="N397" s="567"/>
      <c r="O397" s="605" t="s">
        <v>1685</v>
      </c>
      <c r="P397" s="567" t="s">
        <v>1691</v>
      </c>
    </row>
    <row r="398" spans="1:16" customFormat="1" ht="12.75" customHeight="1" x14ac:dyDescent="0.2">
      <c r="A398" s="567"/>
      <c r="B398" s="567"/>
      <c r="C398" s="567" t="s">
        <v>1650</v>
      </c>
      <c r="D398" s="567"/>
      <c r="E398" s="567"/>
      <c r="F398" s="567"/>
      <c r="G398" s="568" t="s">
        <v>2375</v>
      </c>
      <c r="H398" s="568" t="s">
        <v>296</v>
      </c>
      <c r="I398" s="678"/>
      <c r="J398" s="294" t="str">
        <f>IF(ISBLANK(HLOOKUP(CaseName,CaseData,MATCH($G398,cases!$G$4:$G$2458,0),FALSE)),"",HLOOKUP(CaseName,CaseData,MATCH($G398,cases!$G$4:$G$2458,0),FALSE))</f>
        <v/>
      </c>
      <c r="K398" s="621">
        <f>0.3*(L401*(RadS/(RadS+L399))+(1-L401)*(RadS/(RadS+L400)))</f>
        <v>4.4692206751095909E-6</v>
      </c>
      <c r="L398" s="551">
        <f t="shared" si="19"/>
        <v>4.4692206751095909E-6</v>
      </c>
      <c r="M398" s="568" t="s">
        <v>296</v>
      </c>
      <c r="N398" s="567"/>
      <c r="O398" s="605" t="s">
        <v>1685</v>
      </c>
      <c r="P398" s="567" t="s">
        <v>1691</v>
      </c>
    </row>
    <row r="399" spans="1:16" customFormat="1" ht="12.75" customHeight="1" x14ac:dyDescent="0.2">
      <c r="A399" s="567"/>
      <c r="B399" s="567"/>
      <c r="C399" s="567"/>
      <c r="D399" s="567" t="s">
        <v>1693</v>
      </c>
      <c r="E399" s="567"/>
      <c r="F399" s="567"/>
      <c r="G399" s="568" t="s">
        <v>2376</v>
      </c>
      <c r="H399" s="568" t="s">
        <v>820</v>
      </c>
      <c r="I399" s="678"/>
      <c r="J399" s="294" t="str">
        <f>IF(ISBLANK(HLOOKUP(CaseName,CaseData,MATCH($G399,cases!$G$4:$G$2458,0),FALSE)),"",HLOOKUP(CaseName,CaseData,MATCH($G399,cases!$G$4:$G$2458,0),FALSE))</f>
        <v/>
      </c>
      <c r="K399" s="621">
        <f>1*10^-5</f>
        <v>1.0000000000000001E-5</v>
      </c>
      <c r="L399" s="551">
        <f t="shared" ref="L399:L430" si="20">IF(ISBLANK(I399),IF(ISNUMBER(J399)=FALSE,K399,J399),I399)</f>
        <v>1.0000000000000001E-5</v>
      </c>
      <c r="M399" s="568" t="s">
        <v>820</v>
      </c>
      <c r="N399" s="567"/>
      <c r="O399" s="605" t="s">
        <v>1681</v>
      </c>
      <c r="P399" s="567" t="s">
        <v>1691</v>
      </c>
    </row>
    <row r="400" spans="1:16" customFormat="1" ht="12.75" customHeight="1" x14ac:dyDescent="0.2">
      <c r="A400" s="567"/>
      <c r="B400" s="567"/>
      <c r="C400" s="567"/>
      <c r="D400" s="567" t="s">
        <v>1695</v>
      </c>
      <c r="E400" s="567"/>
      <c r="F400" s="567"/>
      <c r="G400" s="568" t="s">
        <v>2377</v>
      </c>
      <c r="H400" s="568" t="s">
        <v>820</v>
      </c>
      <c r="I400" s="678"/>
      <c r="J400" s="294" t="str">
        <f>IF(ISBLANK(HLOOKUP(CaseName,CaseData,MATCH($G400,cases!$G$4:$G$2458,0),FALSE)),"",HLOOKUP(CaseName,CaseData,MATCH($G400,cases!$G$4:$G$2458,0),FALSE))</f>
        <v/>
      </c>
      <c r="K400" s="621">
        <f>0.0005</f>
        <v>5.0000000000000001E-4</v>
      </c>
      <c r="L400" s="551">
        <f t="shared" si="20"/>
        <v>5.0000000000000001E-4</v>
      </c>
      <c r="M400" s="568" t="s">
        <v>820</v>
      </c>
      <c r="N400" s="567"/>
      <c r="O400" s="605" t="s">
        <v>1681</v>
      </c>
      <c r="P400" s="567" t="s">
        <v>1691</v>
      </c>
    </row>
    <row r="401" spans="1:16" customFormat="1" ht="12.75" customHeight="1" x14ac:dyDescent="0.2">
      <c r="A401" s="567"/>
      <c r="B401" s="567"/>
      <c r="C401" s="567"/>
      <c r="D401" s="567" t="s">
        <v>1697</v>
      </c>
      <c r="E401" s="567"/>
      <c r="F401" s="567"/>
      <c r="G401" s="568" t="s">
        <v>2378</v>
      </c>
      <c r="H401" s="568" t="s">
        <v>296</v>
      </c>
      <c r="I401" s="678"/>
      <c r="J401" s="294" t="str">
        <f>IF(ISBLANK(HLOOKUP(CaseName,CaseData,MATCH($G401,cases!$G$4:$G$2458,0),FALSE)),"",HLOOKUP(CaseName,CaseData,MATCH($G401,cases!$G$4:$G$2458,0),FALSE))</f>
        <v/>
      </c>
      <c r="K401" s="621">
        <v>0.01</v>
      </c>
      <c r="L401" s="551">
        <f t="shared" si="20"/>
        <v>0.01</v>
      </c>
      <c r="M401" s="568" t="s">
        <v>296</v>
      </c>
      <c r="N401" s="567"/>
      <c r="O401" s="605" t="s">
        <v>1681</v>
      </c>
      <c r="P401" s="567" t="s">
        <v>1699</v>
      </c>
    </row>
    <row r="402" spans="1:16" customFormat="1" ht="12.75" customHeight="1" x14ac:dyDescent="0.2">
      <c r="A402" s="567"/>
      <c r="B402" s="567"/>
      <c r="C402" s="567" t="s">
        <v>1652</v>
      </c>
      <c r="D402" s="567"/>
      <c r="E402" s="567"/>
      <c r="F402" s="567"/>
      <c r="G402" s="568" t="s">
        <v>2379</v>
      </c>
      <c r="H402" s="568" t="s">
        <v>296</v>
      </c>
      <c r="I402" s="678"/>
      <c r="J402" s="294" t="str">
        <f>IF(ISBLANK(HLOOKUP(CaseName,CaseData,MATCH($G402,cases!$G$4:$G$2458,0),FALSE)),"",HLOOKUP(CaseName,CaseData,MATCH($G402,cases!$G$4:$G$2458,0),FALSE))</f>
        <v/>
      </c>
      <c r="K402" s="621">
        <f>(L373/(L373+0.8))^2</f>
        <v>6.8801678764196249E-7</v>
      </c>
      <c r="L402" s="551">
        <f t="shared" si="20"/>
        <v>6.8801678764196249E-7</v>
      </c>
      <c r="M402" s="568" t="s">
        <v>296</v>
      </c>
      <c r="N402" s="567"/>
      <c r="O402" s="605" t="s">
        <v>1685</v>
      </c>
      <c r="P402" s="567" t="s">
        <v>1691</v>
      </c>
    </row>
    <row r="403" spans="1:16" customFormat="1" ht="12.75" customHeight="1" x14ac:dyDescent="0.2">
      <c r="A403" s="567" t="s">
        <v>1701</v>
      </c>
      <c r="B403" s="567"/>
      <c r="C403" s="567"/>
      <c r="D403" s="567"/>
      <c r="E403" s="567"/>
      <c r="F403" s="567"/>
      <c r="G403" s="568" t="s">
        <v>2380</v>
      </c>
      <c r="H403" s="568" t="s">
        <v>340</v>
      </c>
      <c r="I403" s="678"/>
      <c r="J403" s="294" t="str">
        <f>IF(ISBLANK(HLOOKUP(CaseName,CaseData,MATCH($G403,cases!$G$4:$G$2458,0),FALSE)),"",HLOOKUP(CaseName,CaseData,MATCH($G403,cases!$G$4:$G$2458,0),FALSE))</f>
        <v/>
      </c>
      <c r="K403" s="621">
        <f>(L404*L20*L16)/(L5)</f>
        <v>9.7157725906138779E-7</v>
      </c>
      <c r="L403" s="551">
        <f t="shared" si="20"/>
        <v>9.7157725906138779E-7</v>
      </c>
      <c r="M403" s="568" t="s">
        <v>340</v>
      </c>
      <c r="N403" s="567"/>
      <c r="O403" s="605"/>
      <c r="P403" s="567"/>
    </row>
    <row r="404" spans="1:16" customFormat="1" ht="12.75" customHeight="1" x14ac:dyDescent="0.2">
      <c r="A404" s="567"/>
      <c r="B404" s="567" t="s">
        <v>1676</v>
      </c>
      <c r="C404" s="567"/>
      <c r="D404" s="567"/>
      <c r="E404" s="567"/>
      <c r="F404" s="567"/>
      <c r="G404" s="568" t="s">
        <v>2381</v>
      </c>
      <c r="H404" s="568" t="s">
        <v>873</v>
      </c>
      <c r="I404" s="678"/>
      <c r="J404" s="294" t="str">
        <f>IF(ISBLANK(HLOOKUP(CaseName,CaseData,MATCH($G404,cases!$G$4:$G$2458,0),FALSE)),"",HLOOKUP(CaseName,CaseData,MATCH($G404,cases!$G$4:$G$2458,0),FALSE))</f>
        <v/>
      </c>
      <c r="K404" s="621">
        <f>1/(L405+L406)+L374</f>
        <v>3.344304138987743E-3</v>
      </c>
      <c r="L404" s="551">
        <f t="shared" si="20"/>
        <v>3.344304138987743E-3</v>
      </c>
      <c r="M404" s="568" t="s">
        <v>873</v>
      </c>
      <c r="N404" s="567"/>
      <c r="O404" s="605"/>
      <c r="P404" s="567"/>
    </row>
    <row r="405" spans="1:16" customFormat="1" ht="12.75" customHeight="1" x14ac:dyDescent="0.2">
      <c r="A405" s="567"/>
      <c r="B405" s="567" t="s">
        <v>1678</v>
      </c>
      <c r="C405" s="567"/>
      <c r="D405" s="567"/>
      <c r="E405" s="567"/>
      <c r="F405" s="567"/>
      <c r="G405" s="568" t="s">
        <v>2382</v>
      </c>
      <c r="H405" s="568" t="s">
        <v>1680</v>
      </c>
      <c r="I405" s="678"/>
      <c r="J405" s="294" t="str">
        <f>IF(ISBLANK(HLOOKUP(CaseName,CaseData,MATCH($G405,cases!$G$4:$G$2458,0),FALSE)),"",HLOOKUP(CaseName,CaseData,MATCH($G405,cases!$G$4:$G$2458,0),FALSE))</f>
        <v/>
      </c>
      <c r="K405" s="621">
        <v>74</v>
      </c>
      <c r="L405" s="551">
        <f t="shared" si="20"/>
        <v>74</v>
      </c>
      <c r="M405" s="568" t="s">
        <v>1680</v>
      </c>
      <c r="N405" s="567"/>
      <c r="O405" s="605"/>
      <c r="P405" s="567" t="s">
        <v>1682</v>
      </c>
    </row>
    <row r="406" spans="1:16" customFormat="1" ht="12.75" customHeight="1" x14ac:dyDescent="0.2">
      <c r="A406" s="567"/>
      <c r="B406" s="567" t="s">
        <v>1683</v>
      </c>
      <c r="C406" s="567"/>
      <c r="D406" s="567"/>
      <c r="E406" s="567"/>
      <c r="F406" s="567"/>
      <c r="G406" s="568" t="s">
        <v>2383</v>
      </c>
      <c r="H406" s="568" t="s">
        <v>1680</v>
      </c>
      <c r="I406" s="678"/>
      <c r="J406" s="294" t="str">
        <f>IF(ISBLANK(HLOOKUP(CaseName,CaseData,MATCH($G406,cases!$G$4:$G$2458,0),FALSE)),"",HLOOKUP(CaseName,CaseData,MATCH($G406,cases!$G$4:$G$2458,0),FALSE))</f>
        <v/>
      </c>
      <c r="K406" s="621">
        <f>1/(L407*(L408+L409+L413))</f>
        <v>225.04194327537255</v>
      </c>
      <c r="L406" s="551">
        <f t="shared" si="20"/>
        <v>225.04194327537255</v>
      </c>
      <c r="M406" s="568" t="s">
        <v>1680</v>
      </c>
      <c r="N406" s="567"/>
      <c r="O406" s="605"/>
      <c r="P406" s="567"/>
    </row>
    <row r="407" spans="1:16" customFormat="1" ht="12.75" customHeight="1" x14ac:dyDescent="0.2">
      <c r="A407" s="567"/>
      <c r="B407" s="567"/>
      <c r="C407" s="567" t="s">
        <v>1686</v>
      </c>
      <c r="D407" s="567"/>
      <c r="E407" s="567"/>
      <c r="F407" s="567"/>
      <c r="G407" s="568" t="s">
        <v>2384</v>
      </c>
      <c r="H407" s="568" t="s">
        <v>873</v>
      </c>
      <c r="I407" s="678"/>
      <c r="J407" s="294" t="str">
        <f>IF(ISBLANK(HLOOKUP(CaseName,CaseData,MATCH($G407,cases!$G$4:$G$2458,0),FALSE)),"",HLOOKUP(CaseName,CaseData,MATCH($G407,cases!$G$4:$G$2458,0),FALSE))</f>
        <v/>
      </c>
      <c r="K407" s="621">
        <v>0.19</v>
      </c>
      <c r="L407" s="551">
        <f t="shared" si="20"/>
        <v>0.19</v>
      </c>
      <c r="M407" s="568" t="s">
        <v>873</v>
      </c>
      <c r="N407" s="567"/>
      <c r="O407" s="605"/>
      <c r="P407" s="567" t="s">
        <v>1689</v>
      </c>
    </row>
    <row r="408" spans="1:16" customFormat="1" ht="12.75" customHeight="1" x14ac:dyDescent="0.2">
      <c r="A408" s="567"/>
      <c r="B408" s="567"/>
      <c r="C408" s="567" t="s">
        <v>1648</v>
      </c>
      <c r="D408" s="567"/>
      <c r="E408" s="567"/>
      <c r="F408" s="567"/>
      <c r="G408" s="568" t="s">
        <v>2385</v>
      </c>
      <c r="H408" s="568" t="s">
        <v>296</v>
      </c>
      <c r="I408" s="678"/>
      <c r="J408" s="294" t="str">
        <f>IF(ISBLANK(HLOOKUP(CaseName,CaseData,MATCH($G408,cases!$G$4:$G$2458,0),FALSE)),"",HLOOKUP(CaseName,CaseData,MATCH($G408,cases!$G$4:$G$2458,0),FALSE))</f>
        <v/>
      </c>
      <c r="K408" s="621">
        <f>L375^(-2/3)</f>
        <v>2.338229586631968E-2</v>
      </c>
      <c r="L408" s="551">
        <f t="shared" si="20"/>
        <v>2.338229586631968E-2</v>
      </c>
      <c r="M408" s="568" t="s">
        <v>296</v>
      </c>
      <c r="N408" s="567"/>
      <c r="O408" s="605"/>
      <c r="P408" s="567" t="s">
        <v>1691</v>
      </c>
    </row>
    <row r="409" spans="1:16" customFormat="1" ht="12.75" customHeight="1" x14ac:dyDescent="0.2">
      <c r="A409" s="567"/>
      <c r="B409" s="567"/>
      <c r="C409" s="567" t="s">
        <v>1650</v>
      </c>
      <c r="D409" s="567"/>
      <c r="E409" s="567"/>
      <c r="F409" s="567"/>
      <c r="G409" s="568" t="s">
        <v>2386</v>
      </c>
      <c r="H409" s="568" t="s">
        <v>296</v>
      </c>
      <c r="I409" s="678"/>
      <c r="J409" s="294" t="str">
        <f>IF(ISBLANK(HLOOKUP(CaseName,CaseData,MATCH($G409,cases!$G$4:$G$2458,0),FALSE)),"",HLOOKUP(CaseName,CaseData,MATCH($G409,cases!$G$4:$G$2458,0),FALSE))</f>
        <v/>
      </c>
      <c r="K409" s="621">
        <f>0.3*(L412*(RadS/(RadS+L410))+(1-L412)*(RadS/(RadS+L411)))</f>
        <v>4.4692206751095909E-6</v>
      </c>
      <c r="L409" s="551">
        <f t="shared" si="20"/>
        <v>4.4692206751095909E-6</v>
      </c>
      <c r="M409" s="568" t="s">
        <v>296</v>
      </c>
      <c r="N409" s="567"/>
      <c r="O409" s="605"/>
      <c r="P409" s="567" t="s">
        <v>1691</v>
      </c>
    </row>
    <row r="410" spans="1:16" customFormat="1" ht="12.75" customHeight="1" x14ac:dyDescent="0.2">
      <c r="A410" s="567"/>
      <c r="B410" s="567"/>
      <c r="C410" s="567"/>
      <c r="D410" s="567" t="s">
        <v>1693</v>
      </c>
      <c r="E410" s="567"/>
      <c r="F410" s="567"/>
      <c r="G410" s="568" t="s">
        <v>2387</v>
      </c>
      <c r="H410" s="568" t="s">
        <v>820</v>
      </c>
      <c r="I410" s="678"/>
      <c r="J410" s="294" t="str">
        <f>IF(ISBLANK(HLOOKUP(CaseName,CaseData,MATCH($G410,cases!$G$4:$G$2458,0),FALSE)),"",HLOOKUP(CaseName,CaseData,MATCH($G410,cases!$G$4:$G$2458,0),FALSE))</f>
        <v/>
      </c>
      <c r="K410" s="621">
        <f>1*10^-5</f>
        <v>1.0000000000000001E-5</v>
      </c>
      <c r="L410" s="551">
        <f t="shared" si="20"/>
        <v>1.0000000000000001E-5</v>
      </c>
      <c r="M410" s="568" t="s">
        <v>820</v>
      </c>
      <c r="N410" s="567"/>
      <c r="O410" s="605"/>
      <c r="P410" s="567" t="s">
        <v>1691</v>
      </c>
    </row>
    <row r="411" spans="1:16" customFormat="1" ht="12.75" customHeight="1" x14ac:dyDescent="0.2">
      <c r="A411" s="567"/>
      <c r="B411" s="567"/>
      <c r="C411" s="567"/>
      <c r="D411" s="567" t="s">
        <v>1695</v>
      </c>
      <c r="E411" s="567"/>
      <c r="F411" s="567"/>
      <c r="G411" s="568" t="s">
        <v>2388</v>
      </c>
      <c r="H411" s="568" t="s">
        <v>820</v>
      </c>
      <c r="I411" s="678"/>
      <c r="J411" s="294" t="str">
        <f>IF(ISBLANK(HLOOKUP(CaseName,CaseData,MATCH($G411,cases!$G$4:$G$2458,0),FALSE)),"",HLOOKUP(CaseName,CaseData,MATCH($G411,cases!$G$4:$G$2458,0),FALSE))</f>
        <v/>
      </c>
      <c r="K411" s="621">
        <f>0.0005</f>
        <v>5.0000000000000001E-4</v>
      </c>
      <c r="L411" s="551">
        <f t="shared" si="20"/>
        <v>5.0000000000000001E-4</v>
      </c>
      <c r="M411" s="568" t="s">
        <v>820</v>
      </c>
      <c r="N411" s="567"/>
      <c r="O411" s="605"/>
      <c r="P411" s="567" t="s">
        <v>1691</v>
      </c>
    </row>
    <row r="412" spans="1:16" customFormat="1" ht="12.75" customHeight="1" x14ac:dyDescent="0.2">
      <c r="A412" s="567"/>
      <c r="B412" s="567"/>
      <c r="C412" s="567"/>
      <c r="D412" s="567" t="s">
        <v>1697</v>
      </c>
      <c r="E412" s="567"/>
      <c r="F412" s="567"/>
      <c r="G412" s="568" t="s">
        <v>2389</v>
      </c>
      <c r="H412" s="568" t="s">
        <v>296</v>
      </c>
      <c r="I412" s="678"/>
      <c r="J412" s="294" t="str">
        <f>IF(ISBLANK(HLOOKUP(CaseName,CaseData,MATCH($G412,cases!$G$4:$G$2458,0),FALSE)),"",HLOOKUP(CaseName,CaseData,MATCH($G412,cases!$G$4:$G$2458,0),FALSE))</f>
        <v/>
      </c>
      <c r="K412" s="621">
        <v>0.01</v>
      </c>
      <c r="L412" s="551">
        <f t="shared" si="20"/>
        <v>0.01</v>
      </c>
      <c r="M412" s="568" t="s">
        <v>296</v>
      </c>
      <c r="N412" s="567"/>
      <c r="O412" s="605"/>
      <c r="P412" s="567" t="s">
        <v>1691</v>
      </c>
    </row>
    <row r="413" spans="1:16" customFormat="1" ht="12.75" customHeight="1" x14ac:dyDescent="0.2">
      <c r="A413" s="567"/>
      <c r="B413" s="567"/>
      <c r="C413" s="567" t="s">
        <v>1652</v>
      </c>
      <c r="D413" s="567"/>
      <c r="E413" s="567"/>
      <c r="F413" s="567"/>
      <c r="G413" s="568" t="s">
        <v>2390</v>
      </c>
      <c r="H413" s="568" t="s">
        <v>296</v>
      </c>
      <c r="I413" s="678"/>
      <c r="J413" s="294" t="str">
        <f>IF(ISBLANK(HLOOKUP(CaseName,CaseData,MATCH($G413,cases!$G$4:$G$2458,0),FALSE)),"",HLOOKUP(CaseName,CaseData,MATCH($G413,cases!$G$4:$G$2458,0),FALSE))</f>
        <v/>
      </c>
      <c r="K413" s="621">
        <f>(L373/(L373+0.8))^2</f>
        <v>6.8801678764196249E-7</v>
      </c>
      <c r="L413" s="551">
        <f t="shared" si="20"/>
        <v>6.8801678764196249E-7</v>
      </c>
      <c r="M413" s="568" t="s">
        <v>296</v>
      </c>
      <c r="N413" s="567"/>
      <c r="O413" s="605"/>
      <c r="P413" s="567" t="s">
        <v>1691</v>
      </c>
    </row>
    <row r="414" spans="1:16" customFormat="1" ht="12.75" customHeight="1" x14ac:dyDescent="0.2">
      <c r="A414" s="567" t="s">
        <v>1713</v>
      </c>
      <c r="B414" s="567"/>
      <c r="C414" s="567"/>
      <c r="D414" s="567"/>
      <c r="E414" s="567"/>
      <c r="F414" s="567"/>
      <c r="G414" s="568" t="s">
        <v>2391</v>
      </c>
      <c r="H414" s="568" t="s">
        <v>340</v>
      </c>
      <c r="I414" s="678"/>
      <c r="J414" s="294" t="str">
        <f>IF(ISBLANK(HLOOKUP(CaseName,CaseData,MATCH($G414,cases!$G$4:$G$2458,0),FALSE)),"",HLOOKUP(CaseName,CaseData,MATCH($G414,cases!$G$4:$G$2458,0),FALSE))</f>
        <v/>
      </c>
      <c r="K414" s="621">
        <f>(L415*L21*L16)/(L5)</f>
        <v>1.6192954317689794E-7</v>
      </c>
      <c r="L414" s="551">
        <f t="shared" si="20"/>
        <v>1.6192954317689794E-7</v>
      </c>
      <c r="M414" s="568" t="s">
        <v>340</v>
      </c>
      <c r="N414" s="567"/>
      <c r="O414" s="605"/>
      <c r="P414" s="567"/>
    </row>
    <row r="415" spans="1:16" customFormat="1" ht="12.75" customHeight="1" x14ac:dyDescent="0.2">
      <c r="A415" s="567"/>
      <c r="B415" s="567" t="s">
        <v>1676</v>
      </c>
      <c r="C415" s="567"/>
      <c r="D415" s="567"/>
      <c r="E415" s="567"/>
      <c r="F415" s="567"/>
      <c r="G415" s="568" t="s">
        <v>2392</v>
      </c>
      <c r="H415" s="568" t="s">
        <v>873</v>
      </c>
      <c r="I415" s="678"/>
      <c r="J415" s="294" t="str">
        <f>IF(ISBLANK(HLOOKUP(CaseName,CaseData,MATCH($G415,cases!$G$4:$G$2458,0),FALSE)),"",HLOOKUP(CaseName,CaseData,MATCH($G415,cases!$G$4:$G$2458,0),FALSE))</f>
        <v/>
      </c>
      <c r="K415" s="621">
        <f>1/(L416+L417)+L374</f>
        <v>3.344304138987743E-3</v>
      </c>
      <c r="L415" s="551">
        <f t="shared" si="20"/>
        <v>3.344304138987743E-3</v>
      </c>
      <c r="M415" s="568" t="s">
        <v>873</v>
      </c>
      <c r="N415" s="567"/>
      <c r="O415" s="605"/>
      <c r="P415" s="567"/>
    </row>
    <row r="416" spans="1:16" customFormat="1" ht="12.75" customHeight="1" x14ac:dyDescent="0.2">
      <c r="A416" s="567"/>
      <c r="B416" s="567" t="s">
        <v>1678</v>
      </c>
      <c r="C416" s="567"/>
      <c r="D416" s="567"/>
      <c r="E416" s="567"/>
      <c r="F416" s="567"/>
      <c r="G416" s="568" t="s">
        <v>2393</v>
      </c>
      <c r="H416" s="568" t="s">
        <v>1680</v>
      </c>
      <c r="I416" s="678"/>
      <c r="J416" s="294" t="str">
        <f>IF(ISBLANK(HLOOKUP(CaseName,CaseData,MATCH($G416,cases!$G$4:$G$2458,0),FALSE)),"",HLOOKUP(CaseName,CaseData,MATCH($G416,cases!$G$4:$G$2458,0),FALSE))</f>
        <v/>
      </c>
      <c r="K416" s="621">
        <v>74</v>
      </c>
      <c r="L416" s="551">
        <f t="shared" si="20"/>
        <v>74</v>
      </c>
      <c r="M416" s="568" t="s">
        <v>1680</v>
      </c>
      <c r="N416" s="567"/>
      <c r="O416" s="605"/>
      <c r="P416" s="567" t="s">
        <v>1689</v>
      </c>
    </row>
    <row r="417" spans="1:16" customFormat="1" ht="12.75" customHeight="1" x14ac:dyDescent="0.2">
      <c r="A417" s="567"/>
      <c r="B417" s="567" t="s">
        <v>1683</v>
      </c>
      <c r="C417" s="567"/>
      <c r="D417" s="567"/>
      <c r="E417" s="567"/>
      <c r="F417" s="567"/>
      <c r="G417" s="568" t="s">
        <v>2394</v>
      </c>
      <c r="H417" s="568" t="s">
        <v>1680</v>
      </c>
      <c r="I417" s="678"/>
      <c r="J417" s="294" t="str">
        <f>IF(ISBLANK(HLOOKUP(CaseName,CaseData,MATCH($G417,cases!$G$4:$G$2458,0),FALSE)),"",HLOOKUP(CaseName,CaseData,MATCH($G417,cases!$G$4:$G$2458,0),FALSE))</f>
        <v/>
      </c>
      <c r="K417" s="621">
        <f>1/(L418*(L419+L420+L424))</f>
        <v>225.04194327537255</v>
      </c>
      <c r="L417" s="551">
        <f t="shared" si="20"/>
        <v>225.04194327537255</v>
      </c>
      <c r="M417" s="568" t="s">
        <v>1680</v>
      </c>
      <c r="N417" s="567"/>
      <c r="O417" s="605"/>
      <c r="P417" s="567"/>
    </row>
    <row r="418" spans="1:16" customFormat="1" ht="12.75" customHeight="1" x14ac:dyDescent="0.2">
      <c r="A418" s="567"/>
      <c r="B418" s="567"/>
      <c r="C418" s="567" t="s">
        <v>1686</v>
      </c>
      <c r="D418" s="567"/>
      <c r="E418" s="567"/>
      <c r="F418" s="567"/>
      <c r="G418" s="568" t="s">
        <v>2395</v>
      </c>
      <c r="H418" s="568" t="s">
        <v>873</v>
      </c>
      <c r="I418" s="678"/>
      <c r="J418" s="294" t="str">
        <f>IF(ISBLANK(HLOOKUP(CaseName,CaseData,MATCH($G418,cases!$G$4:$G$2458,0),FALSE)),"",HLOOKUP(CaseName,CaseData,MATCH($G418,cases!$G$4:$G$2458,0),FALSE))</f>
        <v/>
      </c>
      <c r="K418" s="621">
        <v>0.19</v>
      </c>
      <c r="L418" s="551">
        <f t="shared" si="20"/>
        <v>0.19</v>
      </c>
      <c r="M418" s="568" t="s">
        <v>873</v>
      </c>
      <c r="N418" s="567"/>
      <c r="O418" s="605"/>
      <c r="P418" s="567" t="s">
        <v>1689</v>
      </c>
    </row>
    <row r="419" spans="1:16" customFormat="1" ht="12.75" customHeight="1" x14ac:dyDescent="0.2">
      <c r="A419" s="567"/>
      <c r="B419" s="567"/>
      <c r="C419" s="567" t="s">
        <v>1648</v>
      </c>
      <c r="D419" s="567"/>
      <c r="E419" s="567"/>
      <c r="F419" s="567"/>
      <c r="G419" s="568" t="s">
        <v>2396</v>
      </c>
      <c r="H419" s="568" t="s">
        <v>296</v>
      </c>
      <c r="I419" s="678"/>
      <c r="J419" s="294" t="str">
        <f>IF(ISBLANK(HLOOKUP(CaseName,CaseData,MATCH($G419,cases!$G$4:$G$2458,0),FALSE)),"",HLOOKUP(CaseName,CaseData,MATCH($G419,cases!$G$4:$G$2458,0),FALSE))</f>
        <v/>
      </c>
      <c r="K419" s="621">
        <f>L375^(-2/3)</f>
        <v>2.338229586631968E-2</v>
      </c>
      <c r="L419" s="551">
        <f t="shared" si="20"/>
        <v>2.338229586631968E-2</v>
      </c>
      <c r="M419" s="568" t="s">
        <v>296</v>
      </c>
      <c r="N419" s="567"/>
      <c r="O419" s="605"/>
      <c r="P419" s="567" t="s">
        <v>1691</v>
      </c>
    </row>
    <row r="420" spans="1:16" customFormat="1" ht="12.75" customHeight="1" x14ac:dyDescent="0.2">
      <c r="A420" s="567"/>
      <c r="B420" s="567"/>
      <c r="C420" s="567" t="s">
        <v>1650</v>
      </c>
      <c r="D420" s="567"/>
      <c r="E420" s="567"/>
      <c r="F420" s="567"/>
      <c r="G420" s="568" t="s">
        <v>2397</v>
      </c>
      <c r="H420" s="568" t="s">
        <v>296</v>
      </c>
      <c r="I420" s="678"/>
      <c r="J420" s="294" t="str">
        <f>IF(ISBLANK(HLOOKUP(CaseName,CaseData,MATCH($G420,cases!$G$4:$G$2458,0),FALSE)),"",HLOOKUP(CaseName,CaseData,MATCH($G420,cases!$G$4:$G$2458,0),FALSE))</f>
        <v/>
      </c>
      <c r="K420" s="621">
        <f>0.3*(L423*(RadS/(RadS+L421))+(1-L423)*(RadS/(RadS+L422)))</f>
        <v>4.4692206751095909E-6</v>
      </c>
      <c r="L420" s="551">
        <f t="shared" si="20"/>
        <v>4.4692206751095909E-6</v>
      </c>
      <c r="M420" s="568" t="s">
        <v>296</v>
      </c>
      <c r="N420" s="567"/>
      <c r="O420" s="605"/>
      <c r="P420" s="567" t="s">
        <v>1691</v>
      </c>
    </row>
    <row r="421" spans="1:16" customFormat="1" ht="12.75" customHeight="1" x14ac:dyDescent="0.2">
      <c r="A421" s="567"/>
      <c r="B421" s="567"/>
      <c r="C421" s="567"/>
      <c r="D421" s="567" t="s">
        <v>1693</v>
      </c>
      <c r="E421" s="567"/>
      <c r="F421" s="567"/>
      <c r="G421" s="568" t="s">
        <v>2398</v>
      </c>
      <c r="H421" s="568" t="s">
        <v>820</v>
      </c>
      <c r="I421" s="678"/>
      <c r="J421" s="294" t="str">
        <f>IF(ISBLANK(HLOOKUP(CaseName,CaseData,MATCH($G421,cases!$G$4:$G$2458,0),FALSE)),"",HLOOKUP(CaseName,CaseData,MATCH($G421,cases!$G$4:$G$2458,0),FALSE))</f>
        <v/>
      </c>
      <c r="K421" s="621">
        <f>1*10^-5</f>
        <v>1.0000000000000001E-5</v>
      </c>
      <c r="L421" s="551">
        <f t="shared" si="20"/>
        <v>1.0000000000000001E-5</v>
      </c>
      <c r="M421" s="568" t="s">
        <v>820</v>
      </c>
      <c r="N421" s="567"/>
      <c r="O421" s="605"/>
      <c r="P421" s="567" t="s">
        <v>1691</v>
      </c>
    </row>
    <row r="422" spans="1:16" customFormat="1" ht="12.75" customHeight="1" x14ac:dyDescent="0.2">
      <c r="A422" s="567"/>
      <c r="B422" s="567"/>
      <c r="C422" s="567"/>
      <c r="D422" s="567" t="s">
        <v>1695</v>
      </c>
      <c r="E422" s="567"/>
      <c r="F422" s="567"/>
      <c r="G422" s="568" t="s">
        <v>2399</v>
      </c>
      <c r="H422" s="568" t="s">
        <v>820</v>
      </c>
      <c r="I422" s="678"/>
      <c r="J422" s="294" t="str">
        <f>IF(ISBLANK(HLOOKUP(CaseName,CaseData,MATCH($G422,cases!$G$4:$G$2458,0),FALSE)),"",HLOOKUP(CaseName,CaseData,MATCH($G422,cases!$G$4:$G$2458,0),FALSE))</f>
        <v/>
      </c>
      <c r="K422" s="621">
        <f>0.0005</f>
        <v>5.0000000000000001E-4</v>
      </c>
      <c r="L422" s="551">
        <f t="shared" si="20"/>
        <v>5.0000000000000001E-4</v>
      </c>
      <c r="M422" s="568" t="s">
        <v>820</v>
      </c>
      <c r="N422" s="567"/>
      <c r="O422" s="605"/>
      <c r="P422" s="567" t="s">
        <v>1691</v>
      </c>
    </row>
    <row r="423" spans="1:16" customFormat="1" ht="12.75" customHeight="1" x14ac:dyDescent="0.2">
      <c r="A423" s="567"/>
      <c r="B423" s="567"/>
      <c r="C423" s="567"/>
      <c r="D423" s="567" t="s">
        <v>1697</v>
      </c>
      <c r="E423" s="567"/>
      <c r="F423" s="567"/>
      <c r="G423" s="568" t="s">
        <v>2400</v>
      </c>
      <c r="H423" s="568" t="s">
        <v>296</v>
      </c>
      <c r="I423" s="678"/>
      <c r="J423" s="294" t="str">
        <f>IF(ISBLANK(HLOOKUP(CaseName,CaseData,MATCH($G423,cases!$G$4:$G$2458,0),FALSE)),"",HLOOKUP(CaseName,CaseData,MATCH($G423,cases!$G$4:$G$2458,0),FALSE))</f>
        <v/>
      </c>
      <c r="K423" s="621">
        <v>0.01</v>
      </c>
      <c r="L423" s="551">
        <f t="shared" si="20"/>
        <v>0.01</v>
      </c>
      <c r="M423" s="568" t="s">
        <v>296</v>
      </c>
      <c r="N423" s="567"/>
      <c r="O423" s="605"/>
      <c r="P423" s="567" t="s">
        <v>1691</v>
      </c>
    </row>
    <row r="424" spans="1:16" customFormat="1" ht="12.75" customHeight="1" x14ac:dyDescent="0.2">
      <c r="A424" s="567"/>
      <c r="B424" s="567"/>
      <c r="C424" s="567" t="s">
        <v>1652</v>
      </c>
      <c r="D424" s="567"/>
      <c r="E424" s="567"/>
      <c r="F424" s="567"/>
      <c r="G424" s="568" t="s">
        <v>2401</v>
      </c>
      <c r="H424" s="568" t="s">
        <v>296</v>
      </c>
      <c r="I424" s="678"/>
      <c r="J424" s="294" t="str">
        <f>IF(ISBLANK(HLOOKUP(CaseName,CaseData,MATCH($G424,cases!$G$4:$G$2458,0),FALSE)),"",HLOOKUP(CaseName,CaseData,MATCH($G424,cases!$G$4:$G$2458,0),FALSE))</f>
        <v/>
      </c>
      <c r="K424" s="621">
        <f>(L373/(L373+0.8))^2</f>
        <v>6.8801678764196249E-7</v>
      </c>
      <c r="L424" s="551">
        <f t="shared" si="20"/>
        <v>6.8801678764196249E-7</v>
      </c>
      <c r="M424" s="568" t="s">
        <v>296</v>
      </c>
      <c r="N424" s="567"/>
      <c r="O424" s="605"/>
      <c r="P424" s="567" t="s">
        <v>1691</v>
      </c>
    </row>
    <row r="425" spans="1:16" customFormat="1" ht="12.75" customHeight="1" x14ac:dyDescent="0.2">
      <c r="A425" s="567" t="s">
        <v>1725</v>
      </c>
      <c r="B425" s="567"/>
      <c r="C425" s="567"/>
      <c r="D425" s="567"/>
      <c r="E425" s="567"/>
      <c r="F425" s="567"/>
      <c r="G425" s="568" t="s">
        <v>2402</v>
      </c>
      <c r="H425" s="568" t="s">
        <v>340</v>
      </c>
      <c r="I425" s="678"/>
      <c r="J425" s="294" t="str">
        <f>IF(ISBLANK(HLOOKUP(CaseName,CaseData,MATCH($G425,cases!$G$4:$G$2458,0),FALSE)),"",HLOOKUP(CaseName,CaseData,MATCH($G425,cases!$G$4:$G$2458,0),FALSE))</f>
        <v/>
      </c>
      <c r="K425" s="621">
        <f>(L426*L19*L16)/(L5)</f>
        <v>3.5892478762201666E-8</v>
      </c>
      <c r="L425" s="551">
        <f t="shared" si="20"/>
        <v>3.5892478762201666E-8</v>
      </c>
      <c r="M425" s="568" t="s">
        <v>340</v>
      </c>
      <c r="N425" s="567"/>
      <c r="O425" s="605"/>
      <c r="P425" s="567"/>
    </row>
    <row r="426" spans="1:16" customFormat="1" ht="12.75" customHeight="1" x14ac:dyDescent="0.2">
      <c r="A426" s="567"/>
      <c r="B426" s="567" t="s">
        <v>1676</v>
      </c>
      <c r="C426" s="567"/>
      <c r="D426" s="567"/>
      <c r="E426" s="567"/>
      <c r="F426" s="567"/>
      <c r="G426" s="568" t="s">
        <v>2403</v>
      </c>
      <c r="H426" s="568" t="s">
        <v>873</v>
      </c>
      <c r="I426" s="678"/>
      <c r="J426" s="294" t="str">
        <f>IF(ISBLANK(HLOOKUP(CaseName,CaseData,MATCH($G426,cases!$G$4:$G$2458,0),FALSE)),"",HLOOKUP(CaseName,CaseData,MATCH($G426,cases!$G$4:$G$2458,0),FALSE))</f>
        <v/>
      </c>
      <c r="K426" s="621">
        <f>1/(L394+L427)+L385</f>
        <v>2.7454868225513206E-4</v>
      </c>
      <c r="L426" s="551">
        <f t="shared" si="20"/>
        <v>2.7454868225513206E-4</v>
      </c>
      <c r="M426" s="568" t="s">
        <v>873</v>
      </c>
      <c r="N426" s="567"/>
      <c r="O426" s="605"/>
      <c r="P426" s="567"/>
    </row>
    <row r="427" spans="1:16" customFormat="1" ht="12.75" customHeight="1" x14ac:dyDescent="0.2">
      <c r="A427" s="567"/>
      <c r="B427" s="567" t="s">
        <v>1683</v>
      </c>
      <c r="C427" s="567"/>
      <c r="D427" s="567"/>
      <c r="E427" s="567"/>
      <c r="F427" s="567"/>
      <c r="G427" s="568" t="s">
        <v>2404</v>
      </c>
      <c r="H427" s="568" t="s">
        <v>1680</v>
      </c>
      <c r="I427" s="678"/>
      <c r="J427" s="294" t="str">
        <f>IF(ISBLANK(HLOOKUP(CaseName,CaseData,MATCH($G427,cases!$G$4:$G$2458,0),FALSE)),"",HLOOKUP(CaseName,CaseData,MATCH($G427,cases!$G$4:$G$2458,0),FALSE))</f>
        <v/>
      </c>
      <c r="K427" s="621">
        <f>1/(L396*(L428+L429+L430))</f>
        <v>3588.62656091485</v>
      </c>
      <c r="L427" s="551">
        <f t="shared" si="20"/>
        <v>3588.62656091485</v>
      </c>
      <c r="M427" s="568" t="s">
        <v>1680</v>
      </c>
      <c r="N427" s="567"/>
      <c r="O427" s="605"/>
      <c r="P427" s="567"/>
    </row>
    <row r="428" spans="1:16" customFormat="1" ht="12.75" customHeight="1" x14ac:dyDescent="0.2">
      <c r="A428" s="567"/>
      <c r="B428" s="567"/>
      <c r="C428" s="567" t="s">
        <v>1648</v>
      </c>
      <c r="D428" s="567"/>
      <c r="E428" s="567"/>
      <c r="F428" s="567"/>
      <c r="G428" s="568" t="s">
        <v>2405</v>
      </c>
      <c r="H428" s="568" t="s">
        <v>296</v>
      </c>
      <c r="I428" s="678"/>
      <c r="J428" s="294" t="str">
        <f>IF(ISBLANK(HLOOKUP(CaseName,CaseData,MATCH($G428,cases!$G$4:$G$2458,0),FALSE)),"",HLOOKUP(CaseName,CaseData,MATCH($G428,cases!$G$4:$G$2458,0),FALSE))</f>
        <v/>
      </c>
      <c r="K428" s="621">
        <f>L386^(-2/3)</f>
        <v>1.4075475589468128E-3</v>
      </c>
      <c r="L428" s="551">
        <f t="shared" si="20"/>
        <v>1.4075475589468128E-3</v>
      </c>
      <c r="M428" s="568" t="s">
        <v>296</v>
      </c>
      <c r="N428" s="567"/>
      <c r="O428" s="605"/>
      <c r="P428" s="567" t="s">
        <v>1691</v>
      </c>
    </row>
    <row r="429" spans="1:16" customFormat="1" ht="12.75" customHeight="1" x14ac:dyDescent="0.2">
      <c r="A429" s="567"/>
      <c r="B429" s="567"/>
      <c r="C429" s="567" t="s">
        <v>1650</v>
      </c>
      <c r="D429" s="567"/>
      <c r="E429" s="567"/>
      <c r="F429" s="567"/>
      <c r="G429" s="568" t="s">
        <v>2406</v>
      </c>
      <c r="H429" s="568" t="s">
        <v>296</v>
      </c>
      <c r="I429" s="678"/>
      <c r="J429" s="294" t="str">
        <f>IF(ISBLANK(HLOOKUP(CaseName,CaseData,MATCH($G429,cases!$G$4:$G$2458,0),FALSE)),"",HLOOKUP(CaseName,CaseData,MATCH($G429,cases!$G$4:$G$2458,0),FALSE))</f>
        <v/>
      </c>
      <c r="K429" s="621">
        <f>0.3*(L401*(L367/(L367+L399))+(1-L401)*(L367/(L367+L400)))</f>
        <v>4.0499237605021189E-5</v>
      </c>
      <c r="L429" s="551">
        <f t="shared" si="20"/>
        <v>4.0499237605021189E-5</v>
      </c>
      <c r="M429" s="568" t="s">
        <v>296</v>
      </c>
      <c r="N429" s="567"/>
      <c r="O429" s="605"/>
      <c r="P429" s="567" t="s">
        <v>1691</v>
      </c>
    </row>
    <row r="430" spans="1:16" customFormat="1" ht="12.75" customHeight="1" x14ac:dyDescent="0.2">
      <c r="A430" s="567"/>
      <c r="B430" s="567"/>
      <c r="C430" s="567" t="s">
        <v>1652</v>
      </c>
      <c r="D430" s="567"/>
      <c r="E430" s="567"/>
      <c r="F430" s="567"/>
      <c r="G430" s="568" t="s">
        <v>2407</v>
      </c>
      <c r="H430" s="568" t="s">
        <v>296</v>
      </c>
      <c r="I430" s="678"/>
      <c r="J430" s="294" t="str">
        <f>IF(ISBLANK(HLOOKUP(CaseName,CaseData,MATCH($G430,cases!$G$4:$G$2458,0),FALSE)),"",HLOOKUP(CaseName,CaseData,MATCH($G430,cases!$G$4:$G$2458,0),FALSE))</f>
        <v/>
      </c>
      <c r="K430" s="621">
        <f>(L384/(L384+0.8))^2</f>
        <v>1.8574989080578862E-5</v>
      </c>
      <c r="L430" s="551">
        <f t="shared" si="20"/>
        <v>1.8574989080578862E-5</v>
      </c>
      <c r="M430" s="568" t="s">
        <v>296</v>
      </c>
      <c r="N430" s="567"/>
      <c r="O430" s="605"/>
      <c r="P430" s="567" t="s">
        <v>1691</v>
      </c>
    </row>
    <row r="431" spans="1:16" customFormat="1" ht="12.75" customHeight="1" x14ac:dyDescent="0.2">
      <c r="A431" s="567" t="s">
        <v>1732</v>
      </c>
      <c r="B431" s="567"/>
      <c r="C431" s="567"/>
      <c r="D431" s="567"/>
      <c r="E431" s="567"/>
      <c r="F431" s="567"/>
      <c r="G431" s="568" t="s">
        <v>2408</v>
      </c>
      <c r="H431" s="568" t="s">
        <v>340</v>
      </c>
      <c r="I431" s="678"/>
      <c r="J431" s="294" t="str">
        <f>IF(ISBLANK(HLOOKUP(CaseName,CaseData,MATCH($G431,cases!$G$4:$G$2458,0),FALSE)),"",HLOOKUP(CaseName,CaseData,MATCH($G431,cases!$G$4:$G$2458,0),FALSE))</f>
        <v/>
      </c>
      <c r="K431" s="621">
        <f>(L432*L20*L16)/(L5)</f>
        <v>7.9761063916003689E-8</v>
      </c>
      <c r="L431" s="551">
        <f t="shared" ref="L431:L462" si="21">IF(ISBLANK(I431),IF(ISNUMBER(J431)=FALSE,K431,J431),I431)</f>
        <v>7.9761063916003689E-8</v>
      </c>
      <c r="M431" s="568" t="s">
        <v>340</v>
      </c>
      <c r="N431" s="567"/>
      <c r="O431" s="605"/>
      <c r="P431" s="567"/>
    </row>
    <row r="432" spans="1:16" customFormat="1" ht="12.75" customHeight="1" x14ac:dyDescent="0.2">
      <c r="A432" s="567"/>
      <c r="B432" s="567" t="s">
        <v>1676</v>
      </c>
      <c r="C432" s="567"/>
      <c r="D432" s="567"/>
      <c r="E432" s="567"/>
      <c r="F432" s="567"/>
      <c r="G432" s="568" t="s">
        <v>2409</v>
      </c>
      <c r="H432" s="568" t="s">
        <v>873</v>
      </c>
      <c r="I432" s="678"/>
      <c r="J432" s="294" t="str">
        <f>IF(ISBLANK(HLOOKUP(CaseName,CaseData,MATCH($G432,cases!$G$4:$G$2458,0),FALSE)),"",HLOOKUP(CaseName,CaseData,MATCH($G432,cases!$G$4:$G$2458,0),FALSE))</f>
        <v/>
      </c>
      <c r="K432" s="621">
        <f>1/(L405+L433)+L385</f>
        <v>2.7454868225513206E-4</v>
      </c>
      <c r="L432" s="551">
        <f t="shared" si="21"/>
        <v>2.7454868225513206E-4</v>
      </c>
      <c r="M432" s="568" t="s">
        <v>873</v>
      </c>
      <c r="N432" s="567"/>
      <c r="O432" s="605"/>
      <c r="P432" s="567"/>
    </row>
    <row r="433" spans="1:16" customFormat="1" ht="12.75" customHeight="1" x14ac:dyDescent="0.2">
      <c r="A433" s="567"/>
      <c r="B433" s="567" t="s">
        <v>1683</v>
      </c>
      <c r="C433" s="567"/>
      <c r="D433" s="567"/>
      <c r="E433" s="567"/>
      <c r="F433" s="567"/>
      <c r="G433" s="568" t="s">
        <v>2410</v>
      </c>
      <c r="H433" s="568" t="s">
        <v>1680</v>
      </c>
      <c r="I433" s="678"/>
      <c r="J433" s="294" t="str">
        <f>IF(ISBLANK(HLOOKUP(CaseName,CaseData,MATCH($G433,cases!$G$4:$G$2458,0),FALSE)),"",HLOOKUP(CaseName,CaseData,MATCH($G433,cases!$G$4:$G$2458,0),FALSE))</f>
        <v/>
      </c>
      <c r="K433" s="621">
        <f>1/(L407*(L434+L435+L436))</f>
        <v>3588.62656091485</v>
      </c>
      <c r="L433" s="551">
        <f t="shared" si="21"/>
        <v>3588.62656091485</v>
      </c>
      <c r="M433" s="568" t="s">
        <v>1680</v>
      </c>
      <c r="N433" s="567"/>
      <c r="O433" s="605"/>
      <c r="P433" s="567"/>
    </row>
    <row r="434" spans="1:16" customFormat="1" ht="12.75" customHeight="1" x14ac:dyDescent="0.2">
      <c r="A434" s="567"/>
      <c r="B434" s="567"/>
      <c r="C434" s="567" t="s">
        <v>1648</v>
      </c>
      <c r="D434" s="567"/>
      <c r="E434" s="567"/>
      <c r="F434" s="567"/>
      <c r="G434" s="568" t="s">
        <v>2411</v>
      </c>
      <c r="H434" s="568" t="s">
        <v>296</v>
      </c>
      <c r="I434" s="678"/>
      <c r="J434" s="294" t="str">
        <f>IF(ISBLANK(HLOOKUP(CaseName,CaseData,MATCH($G434,cases!$G$4:$G$2458,0),FALSE)),"",HLOOKUP(CaseName,CaseData,MATCH($G434,cases!$G$4:$G$2458,0),FALSE))</f>
        <v/>
      </c>
      <c r="K434" s="621">
        <f>L386^(-2/3)</f>
        <v>1.4075475589468128E-3</v>
      </c>
      <c r="L434" s="551">
        <f t="shared" si="21"/>
        <v>1.4075475589468128E-3</v>
      </c>
      <c r="M434" s="568" t="s">
        <v>296</v>
      </c>
      <c r="N434" s="567"/>
      <c r="O434" s="605"/>
      <c r="P434" s="567" t="s">
        <v>1691</v>
      </c>
    </row>
    <row r="435" spans="1:16" customFormat="1" ht="12.75" customHeight="1" x14ac:dyDescent="0.2">
      <c r="A435" s="567"/>
      <c r="B435" s="567"/>
      <c r="C435" s="567" t="s">
        <v>1650</v>
      </c>
      <c r="D435" s="567"/>
      <c r="E435" s="567"/>
      <c r="F435" s="567"/>
      <c r="G435" s="568" t="s">
        <v>2412</v>
      </c>
      <c r="H435" s="568" t="s">
        <v>296</v>
      </c>
      <c r="I435" s="678"/>
      <c r="J435" s="294" t="str">
        <f>IF(ISBLANK(HLOOKUP(CaseName,CaseData,MATCH($G435,cases!$G$4:$G$2458,0),FALSE)),"",HLOOKUP(CaseName,CaseData,MATCH($G435,cases!$G$4:$G$2458,0),FALSE))</f>
        <v/>
      </c>
      <c r="K435" s="621">
        <f>0.3*(L412*(L367/(L367+L410))+(1-L412)*(L367/(L367+L411)))</f>
        <v>4.0499237605021189E-5</v>
      </c>
      <c r="L435" s="551">
        <f t="shared" si="21"/>
        <v>4.0499237605021189E-5</v>
      </c>
      <c r="M435" s="568" t="s">
        <v>296</v>
      </c>
      <c r="N435" s="567"/>
      <c r="O435" s="605"/>
      <c r="P435" s="567" t="s">
        <v>1691</v>
      </c>
    </row>
    <row r="436" spans="1:16" customFormat="1" ht="12.75" customHeight="1" x14ac:dyDescent="0.2">
      <c r="A436" s="567"/>
      <c r="B436" s="567"/>
      <c r="C436" s="567" t="s">
        <v>1652</v>
      </c>
      <c r="D436" s="567"/>
      <c r="E436" s="567"/>
      <c r="F436" s="567"/>
      <c r="G436" s="568" t="s">
        <v>2413</v>
      </c>
      <c r="H436" s="568" t="s">
        <v>296</v>
      </c>
      <c r="I436" s="678"/>
      <c r="J436" s="294" t="str">
        <f>IF(ISBLANK(HLOOKUP(CaseName,CaseData,MATCH($G436,cases!$G$4:$G$2458,0),FALSE)),"",HLOOKUP(CaseName,CaseData,MATCH($G436,cases!$G$4:$G$2458,0),FALSE))</f>
        <v/>
      </c>
      <c r="K436" s="621">
        <f>(L384/(L384+0.8))^2</f>
        <v>1.8574989080578862E-5</v>
      </c>
      <c r="L436" s="551">
        <f t="shared" si="21"/>
        <v>1.8574989080578862E-5</v>
      </c>
      <c r="M436" s="568" t="s">
        <v>296</v>
      </c>
      <c r="N436" s="567"/>
      <c r="O436" s="605"/>
      <c r="P436" s="567" t="s">
        <v>1691</v>
      </c>
    </row>
    <row r="437" spans="1:16" customFormat="1" ht="12.75" customHeight="1" x14ac:dyDescent="0.2">
      <c r="A437" s="567" t="s">
        <v>1739</v>
      </c>
      <c r="B437" s="567"/>
      <c r="C437" s="567"/>
      <c r="D437" s="567"/>
      <c r="E437" s="567"/>
      <c r="F437" s="567"/>
      <c r="G437" s="568" t="s">
        <v>2414</v>
      </c>
      <c r="H437" s="568" t="s">
        <v>340</v>
      </c>
      <c r="I437" s="678"/>
      <c r="J437" s="294" t="str">
        <f>IF(ISBLANK(HLOOKUP(CaseName,CaseData,MATCH($G437,cases!$G$4:$G$2458,0),FALSE)),"",HLOOKUP(CaseName,CaseData,MATCH($G437,cases!$G$4:$G$2458,0),FALSE))</f>
        <v/>
      </c>
      <c r="K437" s="621">
        <f>(L438*L21*L16)/(L5)</f>
        <v>1.3293510652667279E-8</v>
      </c>
      <c r="L437" s="551">
        <f t="shared" si="21"/>
        <v>1.3293510652667279E-8</v>
      </c>
      <c r="M437" s="568" t="s">
        <v>340</v>
      </c>
      <c r="N437" s="567"/>
      <c r="O437" s="605"/>
      <c r="P437" s="567"/>
    </row>
    <row r="438" spans="1:16" customFormat="1" ht="12.75" customHeight="1" x14ac:dyDescent="0.2">
      <c r="A438" s="567"/>
      <c r="B438" s="567" t="s">
        <v>1676</v>
      </c>
      <c r="C438" s="567"/>
      <c r="D438" s="567"/>
      <c r="E438" s="567"/>
      <c r="F438" s="567"/>
      <c r="G438" s="568" t="s">
        <v>2415</v>
      </c>
      <c r="H438" s="568" t="s">
        <v>873</v>
      </c>
      <c r="I438" s="678"/>
      <c r="J438" s="294" t="str">
        <f>IF(ISBLANK(HLOOKUP(CaseName,CaseData,MATCH($G438,cases!$G$4:$G$2458,0),FALSE)),"",HLOOKUP(CaseName,CaseData,MATCH($G438,cases!$G$4:$G$2458,0),FALSE))</f>
        <v/>
      </c>
      <c r="K438" s="621">
        <f>1/(L416+L439)+L385</f>
        <v>2.7454868225513206E-4</v>
      </c>
      <c r="L438" s="551">
        <f t="shared" si="21"/>
        <v>2.7454868225513206E-4</v>
      </c>
      <c r="M438" s="568" t="s">
        <v>873</v>
      </c>
      <c r="N438" s="567"/>
      <c r="O438" s="605"/>
      <c r="P438" s="567"/>
    </row>
    <row r="439" spans="1:16" customFormat="1" ht="12.75" customHeight="1" x14ac:dyDescent="0.2">
      <c r="A439" s="567"/>
      <c r="B439" s="567" t="s">
        <v>1683</v>
      </c>
      <c r="C439" s="567"/>
      <c r="D439" s="567"/>
      <c r="E439" s="567"/>
      <c r="F439" s="567"/>
      <c r="G439" s="568" t="s">
        <v>2416</v>
      </c>
      <c r="H439" s="568" t="s">
        <v>1680</v>
      </c>
      <c r="I439" s="678"/>
      <c r="J439" s="294" t="str">
        <f>IF(ISBLANK(HLOOKUP(CaseName,CaseData,MATCH($G439,cases!$G$4:$G$2458,0),FALSE)),"",HLOOKUP(CaseName,CaseData,MATCH($G439,cases!$G$4:$G$2458,0),FALSE))</f>
        <v/>
      </c>
      <c r="K439" s="621">
        <f>1/(L418*(L440+L441+L442))</f>
        <v>3588.62656091485</v>
      </c>
      <c r="L439" s="551">
        <f t="shared" si="21"/>
        <v>3588.62656091485</v>
      </c>
      <c r="M439" s="568" t="s">
        <v>1680</v>
      </c>
      <c r="N439" s="567"/>
      <c r="O439" s="605"/>
      <c r="P439" s="567"/>
    </row>
    <row r="440" spans="1:16" customFormat="1" ht="12.75" customHeight="1" x14ac:dyDescent="0.2">
      <c r="A440" s="567"/>
      <c r="B440" s="567"/>
      <c r="C440" s="567" t="s">
        <v>1648</v>
      </c>
      <c r="D440" s="567"/>
      <c r="E440" s="567"/>
      <c r="F440" s="567"/>
      <c r="G440" s="568" t="s">
        <v>2417</v>
      </c>
      <c r="H440" s="568" t="s">
        <v>296</v>
      </c>
      <c r="I440" s="678"/>
      <c r="J440" s="294" t="str">
        <f>IF(ISBLANK(HLOOKUP(CaseName,CaseData,MATCH($G440,cases!$G$4:$G$2458,0),FALSE)),"",HLOOKUP(CaseName,CaseData,MATCH($G440,cases!$G$4:$G$2458,0),FALSE))</f>
        <v/>
      </c>
      <c r="K440" s="621">
        <f>L386^(-2/3)</f>
        <v>1.4075475589468128E-3</v>
      </c>
      <c r="L440" s="551">
        <f t="shared" si="21"/>
        <v>1.4075475589468128E-3</v>
      </c>
      <c r="M440" s="568" t="s">
        <v>296</v>
      </c>
      <c r="N440" s="567"/>
      <c r="O440" s="605"/>
      <c r="P440" s="567" t="s">
        <v>1691</v>
      </c>
    </row>
    <row r="441" spans="1:16" customFormat="1" ht="12.75" customHeight="1" x14ac:dyDescent="0.2">
      <c r="A441" s="567"/>
      <c r="B441" s="567"/>
      <c r="C441" s="567" t="s">
        <v>1650</v>
      </c>
      <c r="D441" s="567"/>
      <c r="E441" s="567"/>
      <c r="F441" s="567"/>
      <c r="G441" s="568" t="s">
        <v>2418</v>
      </c>
      <c r="H441" s="568" t="s">
        <v>296</v>
      </c>
      <c r="I441" s="678"/>
      <c r="J441" s="294" t="str">
        <f>IF(ISBLANK(HLOOKUP(CaseName,CaseData,MATCH($G441,cases!$G$4:$G$2458,0),FALSE)),"",HLOOKUP(CaseName,CaseData,MATCH($G441,cases!$G$4:$G$2458,0),FALSE))</f>
        <v/>
      </c>
      <c r="K441" s="621">
        <f>0.3*(L423*(L367/(L367+L421))+(1-L423)*(L367/(L367+L422)))</f>
        <v>4.0499237605021189E-5</v>
      </c>
      <c r="L441" s="551">
        <f t="shared" si="21"/>
        <v>4.0499237605021189E-5</v>
      </c>
      <c r="M441" s="568" t="s">
        <v>296</v>
      </c>
      <c r="N441" s="567"/>
      <c r="O441" s="605"/>
      <c r="P441" s="567" t="s">
        <v>1691</v>
      </c>
    </row>
    <row r="442" spans="1:16" customFormat="1" ht="12.75" customHeight="1" x14ac:dyDescent="0.2">
      <c r="A442" s="567"/>
      <c r="B442" s="567"/>
      <c r="C442" s="567" t="s">
        <v>1652</v>
      </c>
      <c r="D442" s="567"/>
      <c r="E442" s="567"/>
      <c r="F442" s="567"/>
      <c r="G442" s="568" t="s">
        <v>2419</v>
      </c>
      <c r="H442" s="568" t="s">
        <v>296</v>
      </c>
      <c r="I442" s="678"/>
      <c r="J442" s="294" t="str">
        <f>IF(ISBLANK(HLOOKUP(CaseName,CaseData,MATCH($G442,cases!$G$4:$G$2458,0),FALSE)),"",HLOOKUP(CaseName,CaseData,MATCH($G442,cases!$G$4:$G$2458,0),FALSE))</f>
        <v/>
      </c>
      <c r="K442" s="621">
        <f>(L384/(L384+0.8))^2</f>
        <v>1.8574989080578862E-5</v>
      </c>
      <c r="L442" s="551">
        <f t="shared" si="21"/>
        <v>1.8574989080578862E-5</v>
      </c>
      <c r="M442" s="568" t="s">
        <v>296</v>
      </c>
      <c r="N442" s="567"/>
      <c r="O442" s="605"/>
      <c r="P442" s="567" t="s">
        <v>1691</v>
      </c>
    </row>
    <row r="443" spans="1:16" customFormat="1" ht="12.75" customHeight="1" x14ac:dyDescent="0.2">
      <c r="A443" s="567" t="s">
        <v>1746</v>
      </c>
      <c r="B443" s="567"/>
      <c r="C443" s="567"/>
      <c r="D443" s="567"/>
      <c r="E443" s="567"/>
      <c r="F443" s="567"/>
      <c r="G443" s="568" t="s">
        <v>2420</v>
      </c>
      <c r="H443" s="568" t="s">
        <v>340</v>
      </c>
      <c r="I443" s="678"/>
      <c r="J443" s="294" t="str">
        <f>IF(ISBLANK(HLOOKUP(CaseName,CaseData,MATCH($G443,cases!$G$4:$G$2458,0),FALSE)),"",HLOOKUP(CaseName,CaseData,MATCH($G443,cases!$G$4:$G$2458,0),FALSE))</f>
        <v/>
      </c>
      <c r="K443" s="621">
        <f>(L136*L19*L16)/(L5)</f>
        <v>1.3073265720083687E-7</v>
      </c>
      <c r="L443" s="551">
        <f t="shared" si="21"/>
        <v>1.3073265720083687E-7</v>
      </c>
      <c r="M443" s="568" t="s">
        <v>340</v>
      </c>
      <c r="N443" s="567" t="s">
        <v>2421</v>
      </c>
      <c r="O443" s="605"/>
      <c r="P443" s="567"/>
    </row>
    <row r="444" spans="1:16" customFormat="1" ht="12.75" customHeight="1" x14ac:dyDescent="0.2">
      <c r="A444" s="567" t="s">
        <v>1749</v>
      </c>
      <c r="B444" s="567"/>
      <c r="C444" s="567"/>
      <c r="D444" s="567"/>
      <c r="E444" s="567"/>
      <c r="F444" s="567"/>
      <c r="G444" s="568" t="s">
        <v>2422</v>
      </c>
      <c r="H444" s="568" t="s">
        <v>340</v>
      </c>
      <c r="I444" s="678"/>
      <c r="J444" s="294" t="str">
        <f>IF(ISBLANK(HLOOKUP(CaseName,CaseData,MATCH($G444,cases!$G$4:$G$2458,0),FALSE)),"",HLOOKUP(CaseName,CaseData,MATCH($G444,cases!$G$4:$G$2458,0),FALSE))</f>
        <v/>
      </c>
      <c r="K444" s="621">
        <f>(L136*L20*L16)/(L5)</f>
        <v>2.9051701600185967E-7</v>
      </c>
      <c r="L444" s="551">
        <f t="shared" si="21"/>
        <v>2.9051701600185967E-7</v>
      </c>
      <c r="M444" s="568" t="s">
        <v>340</v>
      </c>
      <c r="N444" s="567" t="s">
        <v>2421</v>
      </c>
      <c r="O444" s="605"/>
      <c r="P444" s="567"/>
    </row>
    <row r="445" spans="1:16" customFormat="1" ht="12.75" customHeight="1" x14ac:dyDescent="0.2">
      <c r="A445" s="567" t="s">
        <v>1751</v>
      </c>
      <c r="B445" s="567"/>
      <c r="C445" s="567"/>
      <c r="D445" s="567"/>
      <c r="E445" s="567"/>
      <c r="F445" s="567"/>
      <c r="G445" s="568" t="s">
        <v>2423</v>
      </c>
      <c r="H445" s="568" t="s">
        <v>340</v>
      </c>
      <c r="I445" s="678"/>
      <c r="J445" s="294" t="str">
        <f>IF(ISBLANK(HLOOKUP(CaseName,CaseData,MATCH($G445,cases!$G$4:$G$2458,0),FALSE)),"",HLOOKUP(CaseName,CaseData,MATCH($G445,cases!$G$4:$G$2458,0),FALSE))</f>
        <v/>
      </c>
      <c r="K445" s="621">
        <f>(L136*L21*L16)/(L5)</f>
        <v>4.8419502666976612E-8</v>
      </c>
      <c r="L445" s="551">
        <f t="shared" si="21"/>
        <v>4.8419502666976612E-8</v>
      </c>
      <c r="M445" s="568" t="s">
        <v>340</v>
      </c>
      <c r="N445" s="567" t="s">
        <v>2421</v>
      </c>
      <c r="O445" s="605"/>
      <c r="P445" s="567"/>
    </row>
    <row r="446" spans="1:16" customFormat="1" ht="12.75" customHeight="1" x14ac:dyDescent="0.2">
      <c r="A446" s="567" t="s">
        <v>1753</v>
      </c>
      <c r="B446" s="567"/>
      <c r="C446" s="567"/>
      <c r="D446" s="567"/>
      <c r="E446" s="567"/>
      <c r="F446" s="567"/>
      <c r="G446" s="568" t="s">
        <v>2424</v>
      </c>
      <c r="H446" s="568" t="s">
        <v>340</v>
      </c>
      <c r="I446" s="678"/>
      <c r="J446" s="294" t="str">
        <f>IF(ISBLANK(HLOOKUP(CaseName,CaseData,MATCH($G446,cases!$G$4:$G$2458,0),FALSE)),"",HLOOKUP(CaseName,CaseData,MATCH($G446,cases!$G$4:$G$2458,0),FALSE))</f>
        <v/>
      </c>
      <c r="K446" s="621">
        <f>(L447*L17*L16)/(L5)</f>
        <v>7.4715791837793808E-9</v>
      </c>
      <c r="L446" s="551">
        <f t="shared" si="21"/>
        <v>7.4715791837793808E-9</v>
      </c>
      <c r="M446" s="568" t="s">
        <v>340</v>
      </c>
      <c r="N446" s="567"/>
      <c r="O446" s="605"/>
      <c r="P446" s="567"/>
    </row>
    <row r="447" spans="1:16" customFormat="1" ht="12.75" customHeight="1" x14ac:dyDescent="0.2">
      <c r="A447" s="567"/>
      <c r="B447" s="567" t="s">
        <v>1676</v>
      </c>
      <c r="C447" s="567"/>
      <c r="D447" s="567"/>
      <c r="E447" s="567"/>
      <c r="F447" s="567"/>
      <c r="G447" s="568" t="s">
        <v>2425</v>
      </c>
      <c r="H447" s="568" t="s">
        <v>873</v>
      </c>
      <c r="I447" s="678"/>
      <c r="J447" s="294" t="str">
        <f>IF(ISBLANK(HLOOKUP(CaseName,CaseData,MATCH($G447,cases!$G$4:$G$2458,0),FALSE)),"",HLOOKUP(CaseName,CaseData,MATCH($G447,cases!$G$4:$G$2458,0),FALSE))</f>
        <v/>
      </c>
      <c r="K447" s="621">
        <f>1/(L448+L449)+L374</f>
        <v>6.1723716868122194E-3</v>
      </c>
      <c r="L447" s="551">
        <f t="shared" si="21"/>
        <v>6.1723716868122194E-3</v>
      </c>
      <c r="M447" s="568" t="s">
        <v>873</v>
      </c>
      <c r="N447" s="567"/>
      <c r="O447" s="605"/>
      <c r="P447" s="567"/>
    </row>
    <row r="448" spans="1:16" customFormat="1" ht="12.75" customHeight="1" x14ac:dyDescent="0.2">
      <c r="A448" s="567"/>
      <c r="B448" s="567"/>
      <c r="C448" s="567" t="s">
        <v>1756</v>
      </c>
      <c r="D448" s="567"/>
      <c r="E448" s="567"/>
      <c r="F448" s="567"/>
      <c r="G448" s="567" t="s">
        <v>2426</v>
      </c>
      <c r="H448" s="568" t="s">
        <v>1680</v>
      </c>
      <c r="I448" s="678"/>
      <c r="J448" s="294" t="str">
        <f>IF(ISBLANK(HLOOKUP(CaseName,CaseData,MATCH($G448,cases!$G$4:$G$2458,0),FALSE)),"",HLOOKUP(CaseName,CaseData,MATCH($G448,cases!$G$4:$G$2458,0),FALSE))</f>
        <v/>
      </c>
      <c r="K448" s="621">
        <v>74</v>
      </c>
      <c r="L448" s="551">
        <f t="shared" si="21"/>
        <v>74</v>
      </c>
      <c r="M448" s="568" t="s">
        <v>1680</v>
      </c>
      <c r="N448" s="567"/>
      <c r="O448" s="605"/>
      <c r="P448" s="567" t="s">
        <v>1682</v>
      </c>
    </row>
    <row r="449" spans="1:16" customFormat="1" ht="12.75" customHeight="1" x14ac:dyDescent="0.2">
      <c r="A449" s="567"/>
      <c r="B449" s="567"/>
      <c r="C449" s="567" t="s">
        <v>1758</v>
      </c>
      <c r="D449" s="567"/>
      <c r="E449" s="567"/>
      <c r="F449" s="567"/>
      <c r="G449" s="568" t="s">
        <v>2427</v>
      </c>
      <c r="H449" s="568" t="s">
        <v>1680</v>
      </c>
      <c r="I449" s="678"/>
      <c r="J449" s="294" t="str">
        <f>IF(ISBLANK(HLOOKUP(CaseName,CaseData,MATCH($G449,cases!$G$4:$G$2458,0),FALSE)),"",HLOOKUP(CaseName,CaseData,MATCH($G449,cases!$G$4:$G$2458,0),FALSE))</f>
        <v/>
      </c>
      <c r="K449" s="621">
        <f>1/(L450*(L451+L452))</f>
        <v>88.019933355846689</v>
      </c>
      <c r="L449" s="551">
        <f t="shared" si="21"/>
        <v>88.019933355846689</v>
      </c>
      <c r="M449" s="568" t="s">
        <v>1680</v>
      </c>
      <c r="N449" s="567"/>
      <c r="O449" s="605"/>
      <c r="P449" s="567"/>
    </row>
    <row r="450" spans="1:16" customFormat="1" ht="12.75" customHeight="1" x14ac:dyDescent="0.2">
      <c r="A450" s="567"/>
      <c r="B450" s="567"/>
      <c r="C450" s="567" t="s">
        <v>1760</v>
      </c>
      <c r="D450" s="567"/>
      <c r="E450" s="567"/>
      <c r="F450" s="567"/>
      <c r="G450" s="568" t="s">
        <v>2428</v>
      </c>
      <c r="H450" s="568" t="s">
        <v>873</v>
      </c>
      <c r="I450" s="678"/>
      <c r="J450" s="294" t="str">
        <f>IF(ISBLANK(HLOOKUP(CaseName,CaseData,MATCH($G450,cases!$G$4:$G$2458,0),FALSE)),"",HLOOKUP(CaseName,CaseData,MATCH($G450,cases!$G$4:$G$2458,0),FALSE))</f>
        <v/>
      </c>
      <c r="K450" s="621">
        <v>0.19</v>
      </c>
      <c r="L450" s="551">
        <f t="shared" si="21"/>
        <v>0.19</v>
      </c>
      <c r="M450" s="568" t="s">
        <v>873</v>
      </c>
      <c r="N450" s="567"/>
      <c r="O450" s="605" t="s">
        <v>1688</v>
      </c>
      <c r="P450" s="567" t="s">
        <v>1689</v>
      </c>
    </row>
    <row r="451" spans="1:16" customFormat="1" ht="12.75" customHeight="1" x14ac:dyDescent="0.2">
      <c r="A451" s="567"/>
      <c r="B451" s="567"/>
      <c r="C451" s="567"/>
      <c r="D451" s="567" t="s">
        <v>1648</v>
      </c>
      <c r="E451" s="567"/>
      <c r="F451" s="567"/>
      <c r="G451" s="568" t="s">
        <v>2429</v>
      </c>
      <c r="H451" s="568" t="s">
        <v>296</v>
      </c>
      <c r="I451" s="678"/>
      <c r="J451" s="294" t="str">
        <f>IF(ISBLANK(HLOOKUP(CaseName,CaseData,MATCH($G451,cases!$G$4:$G$2458,0),FALSE)),"",HLOOKUP(CaseName,CaseData,MATCH($G451,cases!$G$4:$G$2458,0),FALSE))</f>
        <v/>
      </c>
      <c r="K451" s="621">
        <f>L375^-(1/2)</f>
        <v>5.9795067936020407E-2</v>
      </c>
      <c r="L451" s="551">
        <f t="shared" si="21"/>
        <v>5.9795067936020407E-2</v>
      </c>
      <c r="M451" s="568" t="s">
        <v>296</v>
      </c>
      <c r="N451" s="567"/>
      <c r="O451" s="605"/>
      <c r="P451" s="567"/>
    </row>
    <row r="452" spans="1:16" customFormat="1" ht="12.75" customHeight="1" x14ac:dyDescent="0.2">
      <c r="A452" s="567"/>
      <c r="B452" s="567"/>
      <c r="C452" s="567"/>
      <c r="D452" s="567" t="s">
        <v>1652</v>
      </c>
      <c r="E452" s="567"/>
      <c r="F452" s="567"/>
      <c r="G452" s="568" t="s">
        <v>2430</v>
      </c>
      <c r="H452" s="568" t="s">
        <v>296</v>
      </c>
      <c r="I452" s="678"/>
      <c r="J452" s="294" t="str">
        <f>IF(ISBLANK(HLOOKUP(CaseName,CaseData,MATCH($G452,cases!$G$4:$G$2458,0),FALSE)),"",HLOOKUP(CaseName,CaseData,MATCH($G452,cases!$G$4:$G$2458,0),FALSE))</f>
        <v/>
      </c>
      <c r="K452" s="621">
        <f>10^(-3/L373)</f>
        <v>0</v>
      </c>
      <c r="L452" s="551">
        <f t="shared" si="21"/>
        <v>0</v>
      </c>
      <c r="M452" s="568" t="s">
        <v>296</v>
      </c>
      <c r="N452" s="567"/>
      <c r="O452" s="605"/>
      <c r="P452" s="567"/>
    </row>
    <row r="453" spans="1:16" customFormat="1" ht="12.75" customHeight="1" x14ac:dyDescent="0.2">
      <c r="A453" s="567" t="s">
        <v>1764</v>
      </c>
      <c r="B453" s="567"/>
      <c r="C453" s="567"/>
      <c r="D453" s="567"/>
      <c r="E453" s="567"/>
      <c r="F453" s="567"/>
      <c r="G453" s="568" t="s">
        <v>2431</v>
      </c>
      <c r="H453" s="568" t="s">
        <v>340</v>
      </c>
      <c r="I453" s="678"/>
      <c r="J453" s="294" t="str">
        <f>IF(ISBLANK(HLOOKUP(CaseName,CaseData,MATCH($G453,cases!$G$4:$G$2458,0),FALSE)),"",HLOOKUP(CaseName,CaseData,MATCH($G453,cases!$G$4:$G$2458,0),FALSE))</f>
        <v/>
      </c>
      <c r="K453" s="621">
        <f>(L454*L18*L16)/(L5)</f>
        <v>8.2187371021573177E-8</v>
      </c>
      <c r="L453" s="551">
        <f t="shared" si="21"/>
        <v>8.2187371021573177E-8</v>
      </c>
      <c r="M453" s="568" t="s">
        <v>340</v>
      </c>
      <c r="N453" s="567"/>
      <c r="O453" s="605"/>
      <c r="P453" s="567"/>
    </row>
    <row r="454" spans="1:16" customFormat="1" ht="12.75" customHeight="1" x14ac:dyDescent="0.2">
      <c r="A454" s="567"/>
      <c r="B454" s="567" t="s">
        <v>1676</v>
      </c>
      <c r="C454" s="567"/>
      <c r="D454" s="567"/>
      <c r="E454" s="567"/>
      <c r="F454" s="567"/>
      <c r="G454" s="568" t="s">
        <v>2432</v>
      </c>
      <c r="H454" s="568" t="s">
        <v>873</v>
      </c>
      <c r="I454" s="678"/>
      <c r="J454" s="294" t="str">
        <f>IF(ISBLANK(HLOOKUP(CaseName,CaseData,MATCH($G454,cases!$G$4:$G$2458,0),FALSE)),"",HLOOKUP(CaseName,CaseData,MATCH($G454,cases!$G$4:$G$2458,0),FALSE))</f>
        <v/>
      </c>
      <c r="K454" s="621">
        <f>1/(L455+L449)+L374</f>
        <v>6.1723716868122194E-3</v>
      </c>
      <c r="L454" s="551">
        <f t="shared" si="21"/>
        <v>6.1723716868122194E-3</v>
      </c>
      <c r="M454" s="568" t="s">
        <v>873</v>
      </c>
      <c r="N454" s="567"/>
      <c r="O454" s="605"/>
      <c r="P454" s="567"/>
    </row>
    <row r="455" spans="1:16" customFormat="1" ht="12.75" customHeight="1" x14ac:dyDescent="0.2">
      <c r="A455" s="567"/>
      <c r="B455" s="567"/>
      <c r="C455" s="567" t="s">
        <v>1767</v>
      </c>
      <c r="D455" s="567"/>
      <c r="E455" s="567"/>
      <c r="F455" s="567"/>
      <c r="G455" s="567" t="s">
        <v>2433</v>
      </c>
      <c r="H455" s="568" t="s">
        <v>1680</v>
      </c>
      <c r="I455" s="678"/>
      <c r="J455" s="294" t="str">
        <f>IF(ISBLANK(HLOOKUP(CaseName,CaseData,MATCH($G455,cases!$G$4:$G$2458,0),FALSE)),"",HLOOKUP(CaseName,CaseData,MATCH($G455,cases!$G$4:$G$2458,0),FALSE))</f>
        <v/>
      </c>
      <c r="K455" s="621">
        <v>74</v>
      </c>
      <c r="L455" s="551">
        <f t="shared" si="21"/>
        <v>74</v>
      </c>
      <c r="M455" s="568" t="s">
        <v>1680</v>
      </c>
      <c r="N455" s="567"/>
      <c r="O455" s="605" t="s">
        <v>1681</v>
      </c>
      <c r="P455" s="567" t="s">
        <v>1682</v>
      </c>
    </row>
    <row r="456" spans="1:16" customFormat="1" ht="12.75" customHeight="1" x14ac:dyDescent="0.2">
      <c r="A456" s="567" t="s">
        <v>1769</v>
      </c>
      <c r="B456" s="567"/>
      <c r="C456" s="567"/>
      <c r="D456" s="567"/>
      <c r="E456" s="567"/>
      <c r="F456" s="567"/>
      <c r="G456" s="568" t="s">
        <v>2434</v>
      </c>
      <c r="H456" s="568" t="s">
        <v>340</v>
      </c>
      <c r="I456" s="678"/>
      <c r="J456" s="294" t="str">
        <f>IF(ISBLANK(HLOOKUP(CaseName,CaseData,MATCH($G456,cases!$G$4:$G$2458,0),FALSE)),"",HLOOKUP(CaseName,CaseData,MATCH($G456,cases!$G$4:$G$2458,0),FALSE))</f>
        <v/>
      </c>
      <c r="K456" s="621">
        <f>(L457*L22*L16)/(L5)</f>
        <v>2.3129718174011259E-6</v>
      </c>
      <c r="L456" s="551">
        <f t="shared" si="21"/>
        <v>2.3129718174011259E-6</v>
      </c>
      <c r="M456" s="568" t="s">
        <v>340</v>
      </c>
      <c r="N456" s="567"/>
      <c r="O456" s="605"/>
      <c r="P456" s="567"/>
    </row>
    <row r="457" spans="1:16" customFormat="1" ht="12.75" customHeight="1" x14ac:dyDescent="0.2">
      <c r="A457" s="567"/>
      <c r="B457" s="567" t="s">
        <v>1676</v>
      </c>
      <c r="C457" s="567"/>
      <c r="D457" s="567"/>
      <c r="E457" s="567"/>
      <c r="F457" s="567"/>
      <c r="G457" s="568" t="s">
        <v>2435</v>
      </c>
      <c r="H457" s="568" t="s">
        <v>873</v>
      </c>
      <c r="I457" s="678"/>
      <c r="J457" s="294" t="str">
        <f>IF(ISBLANK(HLOOKUP(CaseName,CaseData,MATCH($G457,cases!$G$4:$G$2458,0),FALSE)),"",HLOOKUP(CaseName,CaseData,MATCH($G457,cases!$G$4:$G$2458,0),FALSE))</f>
        <v/>
      </c>
      <c r="K457" s="621">
        <f>1/(L458+L449)+L374</f>
        <v>4.4841957556333257E-3</v>
      </c>
      <c r="L457" s="551">
        <f t="shared" si="21"/>
        <v>4.4841957556333257E-3</v>
      </c>
      <c r="M457" s="568" t="s">
        <v>873</v>
      </c>
      <c r="N457" s="567"/>
      <c r="O457" s="605"/>
      <c r="P457" s="567"/>
    </row>
    <row r="458" spans="1:16" customFormat="1" ht="12.75" customHeight="1" x14ac:dyDescent="0.2">
      <c r="A458" s="567"/>
      <c r="B458" s="567"/>
      <c r="C458" s="567" t="s">
        <v>1772</v>
      </c>
      <c r="D458" s="567"/>
      <c r="E458" s="567"/>
      <c r="F458" s="567"/>
      <c r="G458" s="567" t="s">
        <v>2436</v>
      </c>
      <c r="H458" s="568" t="s">
        <v>1680</v>
      </c>
      <c r="I458" s="678"/>
      <c r="J458" s="294" t="str">
        <f>IF(ISBLANK(HLOOKUP(CaseName,CaseData,MATCH($G458,cases!$G$4:$G$2458,0),FALSE)),"",HLOOKUP(CaseName,CaseData,MATCH($G458,cases!$G$4:$G$2458,0),FALSE))</f>
        <v/>
      </c>
      <c r="K458" s="621">
        <v>135</v>
      </c>
      <c r="L458" s="551">
        <f t="shared" si="21"/>
        <v>135</v>
      </c>
      <c r="M458" s="568" t="s">
        <v>1680</v>
      </c>
      <c r="N458" s="567"/>
      <c r="O458" s="605" t="s">
        <v>1681</v>
      </c>
      <c r="P458" s="567" t="s">
        <v>1682</v>
      </c>
    </row>
    <row r="459" spans="1:16" customFormat="1" ht="12.75" customHeight="1" x14ac:dyDescent="0.2">
      <c r="A459" s="567" t="s">
        <v>1774</v>
      </c>
      <c r="B459" s="567"/>
      <c r="C459" s="567"/>
      <c r="D459" s="567"/>
      <c r="E459" s="567"/>
      <c r="F459" s="567"/>
      <c r="G459" s="567" t="s">
        <v>2437</v>
      </c>
      <c r="H459" s="568" t="s">
        <v>340</v>
      </c>
      <c r="I459" s="678"/>
      <c r="J459" s="294" t="str">
        <f>IF(ISBLANK(HLOOKUP(CaseName,CaseData,MATCH($G459,cases!$G$4:$G$2458,0),FALSE)),"",HLOOKUP(CaseName,CaseData,MATCH($G459,cases!$G$4:$G$2458,0),FALSE))</f>
        <v/>
      </c>
      <c r="K459" s="621">
        <f>L460*L17*L16/L5</f>
        <v>1.5182337394261403E-9</v>
      </c>
      <c r="L459" s="551">
        <f t="shared" si="21"/>
        <v>1.5182337394261403E-9</v>
      </c>
      <c r="M459" s="568" t="s">
        <v>340</v>
      </c>
      <c r="N459" s="567"/>
      <c r="O459" s="605"/>
      <c r="P459" s="567"/>
    </row>
    <row r="460" spans="1:16" customFormat="1" ht="12.75" customHeight="1" x14ac:dyDescent="0.2">
      <c r="A460" s="567"/>
      <c r="B460" s="567" t="s">
        <v>1676</v>
      </c>
      <c r="C460" s="567"/>
      <c r="D460" s="567"/>
      <c r="E460" s="567"/>
      <c r="F460" s="567"/>
      <c r="G460" s="568" t="s">
        <v>2438</v>
      </c>
      <c r="H460" s="568" t="s">
        <v>873</v>
      </c>
      <c r="I460" s="678"/>
      <c r="J460" s="294" t="str">
        <f>IF(ISBLANK(HLOOKUP(CaseName,CaseData,MATCH($G460,cases!$G$4:$G$2458,0),FALSE)),"",HLOOKUP(CaseName,CaseData,MATCH($G460,cases!$G$4:$G$2458,0),FALSE))</f>
        <v/>
      </c>
      <c r="K460" s="621">
        <f>1/($L$448+L461)+$L$385</f>
        <v>1.2542332372708288E-3</v>
      </c>
      <c r="L460" s="551">
        <f t="shared" si="21"/>
        <v>1.2542332372708288E-3</v>
      </c>
      <c r="M460" s="568" t="s">
        <v>873</v>
      </c>
      <c r="N460" s="567"/>
      <c r="O460" s="605"/>
      <c r="P460" s="567"/>
    </row>
    <row r="461" spans="1:16" s="386" customFormat="1" ht="12.75" customHeight="1" x14ac:dyDescent="0.2">
      <c r="A461" s="567"/>
      <c r="B461" s="567"/>
      <c r="C461" s="567" t="s">
        <v>1758</v>
      </c>
      <c r="D461" s="567"/>
      <c r="E461" s="567"/>
      <c r="F461" s="567"/>
      <c r="G461" s="568" t="s">
        <v>2439</v>
      </c>
      <c r="H461" s="568" t="s">
        <v>1680</v>
      </c>
      <c r="I461" s="702"/>
      <c r="J461" s="294" t="str">
        <f>IF(ISBLANK(HLOOKUP(CaseName,CaseData,MATCH($G461,cases!$G$4:$G$2458,0),FALSE)),"",HLOOKUP(CaseName,CaseData,MATCH($G461,cases!$G$4:$G$2458,0),FALSE))</f>
        <v/>
      </c>
      <c r="K461" s="621">
        <f>1/(L450*(L462+L463))</f>
        <v>724.26765512559666</v>
      </c>
      <c r="L461" s="551">
        <f t="shared" si="21"/>
        <v>724.26765512559666</v>
      </c>
      <c r="M461" s="568" t="s">
        <v>1680</v>
      </c>
      <c r="N461" s="578"/>
      <c r="O461" s="578"/>
      <c r="P461" s="607"/>
    </row>
    <row r="462" spans="1:16" s="386" customFormat="1" ht="12.75" customHeight="1" x14ac:dyDescent="0.2">
      <c r="A462" s="567"/>
      <c r="B462" s="567"/>
      <c r="C462" s="567"/>
      <c r="D462" s="567" t="s">
        <v>1648</v>
      </c>
      <c r="E462" s="567"/>
      <c r="F462" s="567"/>
      <c r="G462" s="568" t="s">
        <v>2440</v>
      </c>
      <c r="H462" s="568" t="s">
        <v>296</v>
      </c>
      <c r="I462" s="702"/>
      <c r="J462" s="294" t="str">
        <f>IF(ISBLANK(HLOOKUP(CaseName,CaseData,MATCH($G462,cases!$G$4:$G$2458,0),FALSE)),"",HLOOKUP(CaseName,CaseData,MATCH($G462,cases!$G$4:$G$2458,0),FALSE))</f>
        <v/>
      </c>
      <c r="K462" s="621">
        <f>L386^-(1/2)</f>
        <v>7.2668686189281051E-3</v>
      </c>
      <c r="L462" s="551">
        <f t="shared" si="21"/>
        <v>7.2668686189281051E-3</v>
      </c>
      <c r="M462" s="568" t="s">
        <v>296</v>
      </c>
      <c r="N462" s="578"/>
      <c r="O462" s="578"/>
      <c r="P462" s="607"/>
    </row>
    <row r="463" spans="1:16" s="386" customFormat="1" ht="12.75" customHeight="1" x14ac:dyDescent="0.2">
      <c r="A463" s="567"/>
      <c r="B463" s="567"/>
      <c r="C463" s="567"/>
      <c r="D463" s="567" t="s">
        <v>1652</v>
      </c>
      <c r="E463" s="567"/>
      <c r="F463" s="567"/>
      <c r="G463" s="568" t="s">
        <v>2441</v>
      </c>
      <c r="H463" s="568" t="s">
        <v>296</v>
      </c>
      <c r="I463" s="702"/>
      <c r="J463" s="294" t="str">
        <f>IF(ISBLANK(HLOOKUP(CaseName,CaseData,MATCH($G463,cases!$G$4:$G$2458,0),FALSE)),"",HLOOKUP(CaseName,CaseData,MATCH($G463,cases!$G$4:$G$2458,0),FALSE))</f>
        <v/>
      </c>
      <c r="K463" s="621">
        <f>10^(-3/L384)</f>
        <v>0</v>
      </c>
      <c r="L463" s="551">
        <f t="shared" ref="L463:L494" si="22">IF(ISBLANK(I463),IF(ISNUMBER(J463)=FALSE,K463,J463),I463)</f>
        <v>0</v>
      </c>
      <c r="M463" s="568" t="s">
        <v>296</v>
      </c>
      <c r="N463" s="578"/>
      <c r="O463" s="578"/>
      <c r="P463" s="607"/>
    </row>
    <row r="464" spans="1:16" customFormat="1" ht="12.75" customHeight="1" x14ac:dyDescent="0.2">
      <c r="A464" s="567" t="s">
        <v>1781</v>
      </c>
      <c r="B464" s="567"/>
      <c r="C464" s="567"/>
      <c r="D464" s="567"/>
      <c r="E464" s="567"/>
      <c r="F464" s="567"/>
      <c r="G464" s="567" t="s">
        <v>2442</v>
      </c>
      <c r="H464" s="568" t="s">
        <v>340</v>
      </c>
      <c r="I464" s="678"/>
      <c r="J464" s="294" t="str">
        <f>IF(ISBLANK(HLOOKUP(CaseName,CaseData,MATCH($G464,cases!$G$4:$G$2458,0),FALSE)),"",HLOOKUP(CaseName,CaseData,MATCH($G464,cases!$G$4:$G$2458,0),FALSE))</f>
        <v/>
      </c>
      <c r="K464" s="621">
        <f>L465*L18*L16/L5</f>
        <v>1.6700571133687542E-8</v>
      </c>
      <c r="L464" s="551">
        <f t="shared" si="22"/>
        <v>1.6700571133687542E-8</v>
      </c>
      <c r="M464" s="568" t="s">
        <v>340</v>
      </c>
      <c r="N464" s="567"/>
      <c r="O464" s="605"/>
      <c r="P464" s="567"/>
    </row>
    <row r="465" spans="1:16" customFormat="1" ht="12.75" customHeight="1" x14ac:dyDescent="0.2">
      <c r="A465" s="567"/>
      <c r="B465" s="567" t="s">
        <v>1676</v>
      </c>
      <c r="C465" s="567"/>
      <c r="D465" s="567"/>
      <c r="E465" s="567"/>
      <c r="F465" s="567"/>
      <c r="G465" s="568" t="s">
        <v>2443</v>
      </c>
      <c r="H465" s="568" t="s">
        <v>873</v>
      </c>
      <c r="I465" s="678"/>
      <c r="J465" s="294" t="str">
        <f>IF(ISBLANK(HLOOKUP(CaseName,CaseData,MATCH($G465,cases!$G$4:$G$2458,0),FALSE)),"",HLOOKUP(CaseName,CaseData,MATCH($G465,cases!$G$4:$G$2458,0),FALSE))</f>
        <v/>
      </c>
      <c r="K465" s="621">
        <f>1/(L455+L461)+L385</f>
        <v>1.2542332372708288E-3</v>
      </c>
      <c r="L465" s="551">
        <f t="shared" si="22"/>
        <v>1.2542332372708288E-3</v>
      </c>
      <c r="M465" s="568" t="s">
        <v>873</v>
      </c>
      <c r="N465" s="567"/>
      <c r="O465" s="605"/>
      <c r="P465" s="567"/>
    </row>
    <row r="466" spans="1:16" customFormat="1" ht="12.75" customHeight="1" x14ac:dyDescent="0.2">
      <c r="A466" s="567" t="s">
        <v>1784</v>
      </c>
      <c r="B466" s="567"/>
      <c r="C466" s="567"/>
      <c r="D466" s="567"/>
      <c r="E466" s="567"/>
      <c r="F466" s="567"/>
      <c r="G466" s="567" t="s">
        <v>2444</v>
      </c>
      <c r="H466" s="568" t="s">
        <v>340</v>
      </c>
      <c r="I466" s="678"/>
      <c r="J466" s="294" t="str">
        <f>IF(ISBLANK(HLOOKUP(CaseName,CaseData,MATCH($G466,cases!$G$4:$G$2458,0),FALSE)),"",HLOOKUP(CaseName,CaseData,MATCH($G466,cases!$G$4:$G$2458,0),FALSE))</f>
        <v/>
      </c>
      <c r="K466" s="621">
        <f>L467*L22*L16/L5</f>
        <v>6.0106907466361124E-7</v>
      </c>
      <c r="L466" s="551">
        <f t="shared" si="22"/>
        <v>6.0106907466361124E-7</v>
      </c>
      <c r="M466" s="568" t="s">
        <v>340</v>
      </c>
      <c r="N466" s="567"/>
      <c r="O466" s="605"/>
      <c r="P466" s="567"/>
    </row>
    <row r="467" spans="1:16" customFormat="1" ht="12.75" customHeight="1" x14ac:dyDescent="0.2">
      <c r="A467" s="567"/>
      <c r="B467" s="567" t="s">
        <v>1676</v>
      </c>
      <c r="C467" s="567"/>
      <c r="D467" s="567"/>
      <c r="E467" s="567"/>
      <c r="F467" s="567"/>
      <c r="G467" s="568" t="s">
        <v>2445</v>
      </c>
      <c r="H467" s="568" t="s">
        <v>873</v>
      </c>
      <c r="I467" s="678"/>
      <c r="J467" s="294" t="str">
        <f>IF(ISBLANK(HLOOKUP(CaseName,CaseData,MATCH($G467,cases!$G$4:$G$2458,0),FALSE)),"",HLOOKUP(CaseName,CaseData,MATCH($G467,cases!$G$4:$G$2458,0),FALSE))</f>
        <v/>
      </c>
      <c r="K467" s="621">
        <f>1/(L458+L461)+L385</f>
        <v>1.1653023063970967E-3</v>
      </c>
      <c r="L467" s="551">
        <f t="shared" si="22"/>
        <v>1.1653023063970967E-3</v>
      </c>
      <c r="M467" s="568" t="s">
        <v>873</v>
      </c>
      <c r="N467" s="567"/>
      <c r="O467" s="605"/>
      <c r="P467" s="567"/>
    </row>
    <row r="468" spans="1:16" customFormat="1" ht="12.75" customHeight="1" x14ac:dyDescent="0.2">
      <c r="A468" s="567" t="s">
        <v>1787</v>
      </c>
      <c r="B468" s="567"/>
      <c r="C468" s="567"/>
      <c r="D468" s="567"/>
      <c r="E468" s="567"/>
      <c r="F468" s="567"/>
      <c r="G468" s="567" t="s">
        <v>2446</v>
      </c>
      <c r="H468" s="568" t="s">
        <v>340</v>
      </c>
      <c r="I468" s="678"/>
      <c r="J468" s="294" t="str">
        <f>IF(ISBLANK(HLOOKUP(CaseName,CaseData,MATCH($G468,cases!$G$4:$G$2458,0),FALSE)),"",HLOOKUP(CaseName,CaseData,MATCH($G468,cases!$G$4:$G$2458,0),FALSE))</f>
        <v/>
      </c>
      <c r="K468" s="621">
        <f>(L136*L17*L16)/L5</f>
        <v>1.2104875666744156E-9</v>
      </c>
      <c r="L468" s="551">
        <f t="shared" si="22"/>
        <v>1.2104875666744156E-9</v>
      </c>
      <c r="M468" s="568" t="s">
        <v>340</v>
      </c>
      <c r="N468" s="567"/>
      <c r="O468" s="605"/>
      <c r="P468" s="567"/>
    </row>
    <row r="469" spans="1:16" customFormat="1" ht="12.75" customHeight="1" x14ac:dyDescent="0.2">
      <c r="A469" s="567" t="s">
        <v>1789</v>
      </c>
      <c r="B469" s="567"/>
      <c r="C469" s="567"/>
      <c r="D469" s="567"/>
      <c r="E469" s="567"/>
      <c r="F469" s="567"/>
      <c r="G469" s="567" t="s">
        <v>2447</v>
      </c>
      <c r="H469" s="568" t="s">
        <v>340</v>
      </c>
      <c r="I469" s="678"/>
      <c r="J469" s="294" t="str">
        <f>IF(ISBLANK(HLOOKUP(CaseName,CaseData,MATCH($G469,cases!$G$4:$G$2458,0),FALSE)),"",HLOOKUP(CaseName,CaseData,MATCH($G469,cases!$G$4:$G$2458,0),FALSE))</f>
        <v/>
      </c>
      <c r="K469" s="621">
        <f>(L136*L18*L16)/L5</f>
        <v>1.3315363233418569E-8</v>
      </c>
      <c r="L469" s="551">
        <f t="shared" si="22"/>
        <v>1.3315363233418569E-8</v>
      </c>
      <c r="M469" s="568" t="s">
        <v>340</v>
      </c>
      <c r="N469" s="567"/>
      <c r="O469" s="605"/>
      <c r="P469" s="567"/>
    </row>
    <row r="470" spans="1:16" customFormat="1" ht="12.75" customHeight="1" x14ac:dyDescent="0.2">
      <c r="A470" s="567" t="s">
        <v>1791</v>
      </c>
      <c r="B470" s="567"/>
      <c r="C470" s="567"/>
      <c r="D470" s="567"/>
      <c r="E470" s="567"/>
      <c r="F470" s="567"/>
      <c r="G470" s="567" t="s">
        <v>2448</v>
      </c>
      <c r="H470" s="568" t="s">
        <v>340</v>
      </c>
      <c r="I470" s="678"/>
      <c r="J470" s="294" t="str">
        <f>IF(ISBLANK(HLOOKUP(CaseName,CaseData,MATCH($G470,cases!$G$4:$G$2458,0),FALSE)),"",HLOOKUP(CaseName,CaseData,MATCH($G470,cases!$G$4:$G$2458,0),FALSE))</f>
        <v/>
      </c>
      <c r="K470" s="621">
        <f>(L136*L22*L16)/L5</f>
        <v>5.1580527333032397E-7</v>
      </c>
      <c r="L470" s="551">
        <f t="shared" si="22"/>
        <v>5.1580527333032397E-7</v>
      </c>
      <c r="M470" s="568" t="s">
        <v>340</v>
      </c>
      <c r="N470" s="567"/>
      <c r="O470" s="605"/>
      <c r="P470" s="567"/>
    </row>
    <row r="471" spans="1:16" s="634" customFormat="1" ht="12.75" customHeight="1" x14ac:dyDescent="0.2">
      <c r="A471" s="583" t="s">
        <v>1793</v>
      </c>
      <c r="B471" s="583"/>
      <c r="C471" s="583"/>
      <c r="D471" s="583"/>
      <c r="E471" s="583"/>
      <c r="F471" s="583"/>
      <c r="G471" s="582" t="s">
        <v>2449</v>
      </c>
      <c r="H471" s="582" t="s">
        <v>340</v>
      </c>
      <c r="I471" s="709"/>
      <c r="J471" s="294" t="str">
        <f>IF(ISBLANK(HLOOKUP(CaseName,CaseData,MATCH($G471,cases!$G$4:$G$2458,0),FALSE)),"",HLOOKUP(CaseName,CaseData,MATCH($G471,cases!$G$4:$G$2458,0),FALSE))</f>
        <v/>
      </c>
      <c r="K471" s="623">
        <f>(RAINrate.C*L19*L16)/(L6)</f>
        <v>9.6728458524211268E-6</v>
      </c>
      <c r="L471" s="708">
        <f t="shared" si="22"/>
        <v>9.6728458524211268E-6</v>
      </c>
      <c r="M471" s="582" t="s">
        <v>340</v>
      </c>
      <c r="N471" s="583"/>
      <c r="O471" s="664"/>
      <c r="P471" s="583"/>
    </row>
    <row r="472" spans="1:16" customFormat="1" ht="12" customHeight="1" x14ac:dyDescent="0.2">
      <c r="A472" s="567" t="s">
        <v>1796</v>
      </c>
      <c r="B472" s="567"/>
      <c r="C472" s="567"/>
      <c r="D472" s="567"/>
      <c r="E472" s="567"/>
      <c r="F472" s="567"/>
      <c r="G472" s="568" t="s">
        <v>2450</v>
      </c>
      <c r="H472" s="568" t="s">
        <v>340</v>
      </c>
      <c r="I472" s="678"/>
      <c r="J472" s="294" t="str">
        <f>IF(ISBLANK(HLOOKUP(CaseName,CaseData,MATCH($G472,cases!$G$4:$G$2458,0),FALSE)),"",HLOOKUP(CaseName,CaseData,MATCH($G472,cases!$G$4:$G$2458,0),FALSE))</f>
        <v/>
      </c>
      <c r="K472" s="621">
        <f>(RAINrate.C*L20*L16)/L6</f>
        <v>2.1495213005380281E-5</v>
      </c>
      <c r="L472" s="551">
        <f t="shared" si="22"/>
        <v>2.1495213005380281E-5</v>
      </c>
      <c r="M472" s="568" t="s">
        <v>340</v>
      </c>
      <c r="N472" s="567"/>
      <c r="O472" s="605"/>
      <c r="P472" s="567"/>
    </row>
    <row r="473" spans="1:16" customFormat="1" ht="12.75" customHeight="1" x14ac:dyDescent="0.2">
      <c r="A473" s="567" t="s">
        <v>1798</v>
      </c>
      <c r="B473" s="567"/>
      <c r="C473" s="567"/>
      <c r="D473" s="567"/>
      <c r="E473" s="567"/>
      <c r="F473" s="567"/>
      <c r="G473" s="568" t="s">
        <v>2451</v>
      </c>
      <c r="H473" s="568" t="s">
        <v>340</v>
      </c>
      <c r="I473" s="678"/>
      <c r="J473" s="294" t="str">
        <f>IF(ISBLANK(HLOOKUP(CaseName,CaseData,MATCH($G473,cases!$G$4:$G$2458,0),FALSE)),"",HLOOKUP(CaseName,CaseData,MATCH($G473,cases!$G$4:$G$2458,0),FALSE))</f>
        <v/>
      </c>
      <c r="K473" s="621">
        <f>(RAINrate.C*L21*L16)/(L6)</f>
        <v>3.5825355008967127E-6</v>
      </c>
      <c r="L473" s="551">
        <f t="shared" si="22"/>
        <v>3.5825355008967127E-6</v>
      </c>
      <c r="M473" s="568" t="s">
        <v>340</v>
      </c>
      <c r="N473" s="567"/>
      <c r="O473" s="605"/>
      <c r="P473" s="567"/>
    </row>
    <row r="474" spans="1:16" customFormat="1" ht="12.75" customHeight="1" x14ac:dyDescent="0.2">
      <c r="A474" s="567" t="s">
        <v>1800</v>
      </c>
      <c r="B474" s="567"/>
      <c r="C474" s="567"/>
      <c r="D474" s="567"/>
      <c r="E474" s="567"/>
      <c r="F474" s="567"/>
      <c r="G474" s="568" t="s">
        <v>2452</v>
      </c>
      <c r="H474" s="568" t="s">
        <v>340</v>
      </c>
      <c r="I474" s="678"/>
      <c r="J474" s="294" t="str">
        <f>IF(ISBLANK(HLOOKUP(CaseName,CaseData,MATCH($G474,cases!$G$4:$G$2458,0),FALSE)),"",HLOOKUP(CaseName,CaseData,MATCH($G474,cases!$G$4:$G$2458,0),FALSE))</f>
        <v/>
      </c>
      <c r="K474" s="621">
        <f>(RAINrate.C*L19*L16)/(L6)</f>
        <v>9.6728458524211268E-6</v>
      </c>
      <c r="L474" s="551">
        <f t="shared" si="22"/>
        <v>9.6728458524211268E-6</v>
      </c>
      <c r="M474" s="568" t="s">
        <v>340</v>
      </c>
      <c r="N474" s="567"/>
      <c r="O474" s="605"/>
      <c r="P474" s="567"/>
    </row>
    <row r="475" spans="1:16" customFormat="1" ht="12.75" customHeight="1" x14ac:dyDescent="0.2">
      <c r="A475" s="567" t="s">
        <v>1802</v>
      </c>
      <c r="B475" s="567"/>
      <c r="C475" s="567"/>
      <c r="D475" s="567"/>
      <c r="E475" s="567"/>
      <c r="F475" s="567"/>
      <c r="G475" s="568" t="s">
        <v>2453</v>
      </c>
      <c r="H475" s="568" t="s">
        <v>340</v>
      </c>
      <c r="I475" s="678"/>
      <c r="J475" s="294" t="str">
        <f>IF(ISBLANK(HLOOKUP(CaseName,CaseData,MATCH($G475,cases!$G$4:$G$2458,0),FALSE)),"",HLOOKUP(CaseName,CaseData,MATCH($G475,cases!$G$4:$G$2458,0),FALSE))</f>
        <v/>
      </c>
      <c r="K475" s="621">
        <f>(RAINrate.C*L20*L16)/L6</f>
        <v>2.1495213005380281E-5</v>
      </c>
      <c r="L475" s="551">
        <f t="shared" si="22"/>
        <v>2.1495213005380281E-5</v>
      </c>
      <c r="M475" s="568" t="s">
        <v>340</v>
      </c>
      <c r="N475" s="567"/>
      <c r="O475" s="605"/>
      <c r="P475" s="567"/>
    </row>
    <row r="476" spans="1:16" customFormat="1" ht="12.75" customHeight="1" x14ac:dyDescent="0.2">
      <c r="A476" s="567" t="s">
        <v>1804</v>
      </c>
      <c r="B476" s="567"/>
      <c r="C476" s="567"/>
      <c r="D476" s="567"/>
      <c r="E476" s="567"/>
      <c r="F476" s="567"/>
      <c r="G476" s="568" t="s">
        <v>2454</v>
      </c>
      <c r="H476" s="568" t="s">
        <v>340</v>
      </c>
      <c r="I476" s="678"/>
      <c r="J476" s="294" t="str">
        <f>IF(ISBLANK(HLOOKUP(CaseName,CaseData,MATCH($G476,cases!$G$4:$G$2458,0),FALSE)),"",HLOOKUP(CaseName,CaseData,MATCH($G476,cases!$G$4:$G$2458,0),FALSE))</f>
        <v/>
      </c>
      <c r="K476" s="621">
        <f>(RAINrate.C*L21*L16)/(L6)</f>
        <v>3.5825355008967127E-6</v>
      </c>
      <c r="L476" s="551">
        <f t="shared" si="22"/>
        <v>3.5825355008967127E-6</v>
      </c>
      <c r="M476" s="568" t="s">
        <v>340</v>
      </c>
      <c r="N476" s="567"/>
      <c r="O476" s="605"/>
      <c r="P476" s="567"/>
    </row>
    <row r="477" spans="1:16" customFormat="1" ht="12.75" customHeight="1" x14ac:dyDescent="0.2">
      <c r="A477" s="567" t="s">
        <v>1806</v>
      </c>
      <c r="B477" s="567"/>
      <c r="C477" s="567"/>
      <c r="D477" s="567"/>
      <c r="E477" s="567"/>
      <c r="F477" s="567"/>
      <c r="G477" s="568" t="s">
        <v>2455</v>
      </c>
      <c r="H477" s="568" t="s">
        <v>340</v>
      </c>
      <c r="I477" s="678"/>
      <c r="J477" s="294" t="str">
        <f>IF(ISBLANK(HLOOKUP(CaseName,CaseData,MATCH($G477,cases!$G$4:$G$2458,0),FALSE)),"",HLOOKUP(CaseName,CaseData,MATCH($G477,cases!$G$4:$G$2458,0),FALSE))</f>
        <v/>
      </c>
      <c r="K477" s="621">
        <f>(RAINrate.C*L19*L16)/(L6)</f>
        <v>9.6728458524211268E-6</v>
      </c>
      <c r="L477" s="551">
        <f t="shared" si="22"/>
        <v>9.6728458524211268E-6</v>
      </c>
      <c r="M477" s="568" t="s">
        <v>340</v>
      </c>
      <c r="N477" s="567"/>
      <c r="O477" s="605"/>
      <c r="P477" s="567"/>
    </row>
    <row r="478" spans="1:16" customFormat="1" ht="12.75" customHeight="1" x14ac:dyDescent="0.2">
      <c r="A478" s="567" t="s">
        <v>1808</v>
      </c>
      <c r="B478" s="567"/>
      <c r="C478" s="567"/>
      <c r="D478" s="567"/>
      <c r="E478" s="567"/>
      <c r="F478" s="567"/>
      <c r="G478" s="568" t="s">
        <v>2456</v>
      </c>
      <c r="H478" s="568" t="s">
        <v>340</v>
      </c>
      <c r="I478" s="678"/>
      <c r="J478" s="294" t="str">
        <f>IF(ISBLANK(HLOOKUP(CaseName,CaseData,MATCH($G478,cases!$G$4:$G$2458,0),FALSE)),"",HLOOKUP(CaseName,CaseData,MATCH($G478,cases!$G$4:$G$2458,0),FALSE))</f>
        <v/>
      </c>
      <c r="K478" s="621">
        <f>(RAINrate.C*L20*L16)/(L6)</f>
        <v>2.1495213005380281E-5</v>
      </c>
      <c r="L478" s="551">
        <f t="shared" si="22"/>
        <v>2.1495213005380281E-5</v>
      </c>
      <c r="M478" s="568" t="s">
        <v>340</v>
      </c>
      <c r="N478" s="567"/>
      <c r="O478" s="605"/>
      <c r="P478" s="567"/>
    </row>
    <row r="479" spans="1:16" customFormat="1" ht="12.75" customHeight="1" x14ac:dyDescent="0.2">
      <c r="A479" s="567" t="s">
        <v>1810</v>
      </c>
      <c r="B479" s="567"/>
      <c r="C479" s="567"/>
      <c r="D479" s="567"/>
      <c r="E479" s="567"/>
      <c r="F479" s="567"/>
      <c r="G479" s="568" t="s">
        <v>2457</v>
      </c>
      <c r="H479" s="568" t="s">
        <v>340</v>
      </c>
      <c r="I479" s="678"/>
      <c r="J479" s="294" t="str">
        <f>IF(ISBLANK(HLOOKUP(CaseName,CaseData,MATCH($G479,cases!$G$4:$G$2458,0),FALSE)),"",HLOOKUP(CaseName,CaseData,MATCH($G479,cases!$G$4:$G$2458,0),FALSE))</f>
        <v/>
      </c>
      <c r="K479" s="621">
        <f>(RAINrate.C*L21*L16)/L6</f>
        <v>3.5825355008967127E-6</v>
      </c>
      <c r="L479" s="551">
        <f t="shared" si="22"/>
        <v>3.5825355008967127E-6</v>
      </c>
      <c r="M479" s="568" t="s">
        <v>340</v>
      </c>
      <c r="N479" s="567"/>
      <c r="O479" s="605"/>
      <c r="P479" s="567"/>
    </row>
    <row r="480" spans="1:16" customFormat="1" ht="12.75" customHeight="1" x14ac:dyDescent="0.2">
      <c r="A480" s="567" t="s">
        <v>1812</v>
      </c>
      <c r="B480" s="567"/>
      <c r="C480" s="567"/>
      <c r="D480" s="567"/>
      <c r="E480" s="567"/>
      <c r="F480" s="567"/>
      <c r="G480" s="568" t="s">
        <v>2458</v>
      </c>
      <c r="H480" s="568" t="s">
        <v>340</v>
      </c>
      <c r="I480" s="678"/>
      <c r="J480" s="294" t="str">
        <f>IF(ISBLANK(HLOOKUP(CaseName,CaseData,MATCH($G480,cases!$G$4:$G$2458,0),FALSE)),"",HLOOKUP(CaseName,CaseData,MATCH($G480,cases!$G$4:$G$2458,0),FALSE))</f>
        <v/>
      </c>
      <c r="K480" s="621">
        <f>(RAINrate.C*L17*L16)/(L6)</f>
        <v>8.9563387522417847E-8</v>
      </c>
      <c r="L480" s="551">
        <f t="shared" si="22"/>
        <v>8.9563387522417847E-8</v>
      </c>
      <c r="M480" s="568" t="s">
        <v>340</v>
      </c>
      <c r="N480" s="567"/>
      <c r="O480" s="605"/>
      <c r="P480" s="567"/>
    </row>
    <row r="481" spans="1:21" customFormat="1" ht="12.75" customHeight="1" x14ac:dyDescent="0.2">
      <c r="A481" s="567" t="s">
        <v>1814</v>
      </c>
      <c r="B481" s="567"/>
      <c r="C481" s="567"/>
      <c r="D481" s="567"/>
      <c r="E481" s="567"/>
      <c r="F481" s="567"/>
      <c r="G481" s="568" t="s">
        <v>2459</v>
      </c>
      <c r="H481" s="568" t="s">
        <v>340</v>
      </c>
      <c r="I481" s="678"/>
      <c r="J481" s="294" t="str">
        <f>IF(ISBLANK(HLOOKUP(CaseName,CaseData,MATCH($G481,cases!$G$4:$G$2458,0),FALSE)),"",HLOOKUP(CaseName,CaseData,MATCH($G481,cases!$G$4:$G$2458,0),FALSE))</f>
        <v/>
      </c>
      <c r="K481" s="621">
        <f>(RAINrate.C*L18*L16)/(L6)</f>
        <v>9.8519726274659594E-7</v>
      </c>
      <c r="L481" s="551">
        <f t="shared" si="22"/>
        <v>9.8519726274659594E-7</v>
      </c>
      <c r="M481" s="568" t="s">
        <v>340</v>
      </c>
      <c r="N481" s="567"/>
      <c r="O481" s="605"/>
      <c r="P481" s="567"/>
    </row>
    <row r="482" spans="1:21" customFormat="1" ht="12.75" customHeight="1" x14ac:dyDescent="0.2">
      <c r="A482" s="567" t="s">
        <v>1816</v>
      </c>
      <c r="B482" s="567"/>
      <c r="C482" s="567"/>
      <c r="D482" s="567"/>
      <c r="E482" s="567"/>
      <c r="F482" s="567"/>
      <c r="G482" s="568" t="s">
        <v>2460</v>
      </c>
      <c r="H482" s="568" t="s">
        <v>340</v>
      </c>
      <c r="I482" s="678"/>
      <c r="J482" s="294" t="str">
        <f>IF(ISBLANK(HLOOKUP(CaseName,CaseData,MATCH($G482,cases!$G$4:$G$2458,0),FALSE)),"",HLOOKUP(CaseName,CaseData,MATCH($G482,cases!$G$4:$G$2458,0),FALSE))</f>
        <v/>
      </c>
      <c r="K482" s="621">
        <f>(RAINrate.C*L22*L16)/(L6)</f>
        <v>3.8164181816677947E-5</v>
      </c>
      <c r="L482" s="551">
        <f t="shared" si="22"/>
        <v>3.8164181816677947E-5</v>
      </c>
      <c r="M482" s="568" t="s">
        <v>340</v>
      </c>
      <c r="N482" s="567"/>
      <c r="O482" s="605"/>
      <c r="P482" s="567"/>
    </row>
    <row r="483" spans="1:21" customFormat="1" ht="12.75" customHeight="1" x14ac:dyDescent="0.2">
      <c r="A483" s="567" t="s">
        <v>1818</v>
      </c>
      <c r="B483" s="567"/>
      <c r="C483" s="567"/>
      <c r="D483" s="567"/>
      <c r="E483" s="567"/>
      <c r="F483" s="567"/>
      <c r="G483" s="568" t="s">
        <v>2461</v>
      </c>
      <c r="H483" s="568" t="s">
        <v>340</v>
      </c>
      <c r="I483" s="678"/>
      <c r="J483" s="294" t="str">
        <f>IF(ISBLANK(HLOOKUP(CaseName,CaseData,MATCH($G483,cases!$G$4:$G$2458,0),FALSE)),"",HLOOKUP(CaseName,CaseData,MATCH($G483,cases!$G$4:$G$2458,0),FALSE))</f>
        <v/>
      </c>
      <c r="K483" s="621">
        <f>(RAINrate.C*L17*L16)/(L6)</f>
        <v>8.9563387522417847E-8</v>
      </c>
      <c r="L483" s="551">
        <f t="shared" si="22"/>
        <v>8.9563387522417847E-8</v>
      </c>
      <c r="M483" s="568" t="s">
        <v>340</v>
      </c>
      <c r="N483" s="567"/>
      <c r="O483" s="605"/>
      <c r="P483" s="567"/>
    </row>
    <row r="484" spans="1:21" customFormat="1" ht="12.75" customHeight="1" x14ac:dyDescent="0.2">
      <c r="A484" s="567" t="s">
        <v>1820</v>
      </c>
      <c r="B484" s="567"/>
      <c r="C484" s="567"/>
      <c r="D484" s="567"/>
      <c r="E484" s="567"/>
      <c r="F484" s="567"/>
      <c r="G484" s="568" t="s">
        <v>2462</v>
      </c>
      <c r="H484" s="568" t="s">
        <v>340</v>
      </c>
      <c r="I484" s="678"/>
      <c r="J484" s="294" t="str">
        <f>IF(ISBLANK(HLOOKUP(CaseName,CaseData,MATCH($G484,cases!$G$4:$G$2458,0),FALSE)),"",HLOOKUP(CaseName,CaseData,MATCH($G484,cases!$G$4:$G$2458,0),FALSE))</f>
        <v/>
      </c>
      <c r="K484" s="621">
        <f>(RAINrate.C*L18*L16)/(L6)</f>
        <v>9.8519726274659594E-7</v>
      </c>
      <c r="L484" s="551">
        <f t="shared" si="22"/>
        <v>9.8519726274659594E-7</v>
      </c>
      <c r="M484" s="568" t="s">
        <v>340</v>
      </c>
      <c r="N484" s="567"/>
      <c r="O484" s="605"/>
      <c r="P484" s="567"/>
    </row>
    <row r="485" spans="1:21" customFormat="1" ht="12.75" customHeight="1" x14ac:dyDescent="0.2">
      <c r="A485" s="567" t="s">
        <v>1822</v>
      </c>
      <c r="B485" s="567"/>
      <c r="C485" s="567"/>
      <c r="D485" s="567"/>
      <c r="E485" s="567"/>
      <c r="F485" s="567"/>
      <c r="G485" s="568" t="s">
        <v>2463</v>
      </c>
      <c r="H485" s="568" t="s">
        <v>340</v>
      </c>
      <c r="I485" s="678"/>
      <c r="J485" s="294" t="str">
        <f>IF(ISBLANK(HLOOKUP(CaseName,CaseData,MATCH($G485,cases!$G$4:$G$2458,0),FALSE)),"",HLOOKUP(CaseName,CaseData,MATCH($G485,cases!$G$4:$G$2458,0),FALSE))</f>
        <v/>
      </c>
      <c r="K485" s="621">
        <f>(RAINrate.C*L22*L16)/(L6)</f>
        <v>3.8164181816677947E-5</v>
      </c>
      <c r="L485" s="551">
        <f t="shared" si="22"/>
        <v>3.8164181816677947E-5</v>
      </c>
      <c r="M485" s="568" t="s">
        <v>340</v>
      </c>
      <c r="N485" s="567"/>
      <c r="O485" s="605"/>
      <c r="P485" s="567"/>
    </row>
    <row r="486" spans="1:21" customFormat="1" ht="12.75" customHeight="1" x14ac:dyDescent="0.2">
      <c r="A486" s="567" t="s">
        <v>1824</v>
      </c>
      <c r="B486" s="567"/>
      <c r="C486" s="567"/>
      <c r="D486" s="567"/>
      <c r="E486" s="567"/>
      <c r="F486" s="567"/>
      <c r="G486" s="568" t="s">
        <v>2464</v>
      </c>
      <c r="H486" s="568" t="s">
        <v>340</v>
      </c>
      <c r="I486" s="678"/>
      <c r="J486" s="294" t="str">
        <f>IF(ISBLANK(HLOOKUP(CaseName,CaseData,MATCH($G486,cases!$G$4:$G$2458,0),FALSE)),"",HLOOKUP(CaseName,CaseData,MATCH($G486,cases!$G$4:$G$2458,0),FALSE))</f>
        <v/>
      </c>
      <c r="K486" s="621">
        <f>(RAINrate.C*L17*L16)/(L6)</f>
        <v>8.9563387522417847E-8</v>
      </c>
      <c r="L486" s="551">
        <f t="shared" si="22"/>
        <v>8.9563387522417847E-8</v>
      </c>
      <c r="M486" s="568" t="s">
        <v>340</v>
      </c>
      <c r="N486" s="567"/>
      <c r="O486" s="605"/>
      <c r="P486" s="567"/>
    </row>
    <row r="487" spans="1:21" customFormat="1" ht="12.75" customHeight="1" x14ac:dyDescent="0.2">
      <c r="A487" s="567" t="s">
        <v>1826</v>
      </c>
      <c r="B487" s="567"/>
      <c r="C487" s="567"/>
      <c r="D487" s="567"/>
      <c r="E487" s="567"/>
      <c r="F487" s="567"/>
      <c r="G487" s="568" t="s">
        <v>2465</v>
      </c>
      <c r="H487" s="568" t="s">
        <v>340</v>
      </c>
      <c r="I487" s="678"/>
      <c r="J487" s="294" t="str">
        <f>IF(ISBLANK(HLOOKUP(CaseName,CaseData,MATCH($G487,cases!$G$4:$G$2458,0),FALSE)),"",HLOOKUP(CaseName,CaseData,MATCH($G487,cases!$G$4:$G$2458,0),FALSE))</f>
        <v/>
      </c>
      <c r="K487" s="621">
        <f>(RAINrate.C*L18*L16)/(L6)</f>
        <v>9.8519726274659594E-7</v>
      </c>
      <c r="L487" s="551">
        <f t="shared" si="22"/>
        <v>9.8519726274659594E-7</v>
      </c>
      <c r="M487" s="568" t="s">
        <v>340</v>
      </c>
      <c r="N487" s="567"/>
      <c r="O487" s="605"/>
      <c r="P487" s="567"/>
    </row>
    <row r="488" spans="1:21" customFormat="1" ht="12.75" customHeight="1" x14ac:dyDescent="0.2">
      <c r="A488" s="567" t="s">
        <v>1828</v>
      </c>
      <c r="B488" s="567"/>
      <c r="C488" s="567"/>
      <c r="D488" s="567"/>
      <c r="E488" s="567"/>
      <c r="F488" s="567"/>
      <c r="G488" s="568" t="s">
        <v>2466</v>
      </c>
      <c r="H488" s="568" t="s">
        <v>340</v>
      </c>
      <c r="I488" s="678"/>
      <c r="J488" s="294" t="str">
        <f>IF(ISBLANK(HLOOKUP(CaseName,CaseData,MATCH($G488,cases!$G$4:$G$2458,0),FALSE)),"",HLOOKUP(CaseName,CaseData,MATCH($G488,cases!$G$4:$G$2458,0),FALSE))</f>
        <v/>
      </c>
      <c r="K488" s="621">
        <f>(RAINrate.C*L22*L16)/(L6)</f>
        <v>3.8164181816677947E-5</v>
      </c>
      <c r="L488" s="551">
        <f t="shared" si="22"/>
        <v>3.8164181816677947E-5</v>
      </c>
      <c r="M488" s="568" t="s">
        <v>340</v>
      </c>
      <c r="N488" s="567"/>
      <c r="O488" s="605"/>
      <c r="P488" s="567"/>
    </row>
    <row r="489" spans="1:21" s="634" customFormat="1" ht="12.75" customHeight="1" x14ac:dyDescent="0.2">
      <c r="A489" s="583" t="s">
        <v>1830</v>
      </c>
      <c r="B489" s="583"/>
      <c r="C489" s="583"/>
      <c r="D489" s="583"/>
      <c r="E489" s="583"/>
      <c r="F489" s="583"/>
      <c r="G489" s="582" t="s">
        <v>2467</v>
      </c>
      <c r="H489" s="582" t="s">
        <v>340</v>
      </c>
      <c r="I489" s="709"/>
      <c r="J489" s="294" t="str">
        <f>IF(ISBLANK(HLOOKUP(CaseName,CaseData,MATCH($G489,cases!$G$4:$G$2458,0),FALSE)),"",HLOOKUP(CaseName,CaseData,MATCH($G489,cases!$G$4:$G$2458,0),FALSE))</f>
        <v/>
      </c>
      <c r="K489" s="623">
        <f>IF((SetVelS.w*L17*L16)/(L7)&gt;0,(SetVelS.w*L17*L16)/(L7),0)</f>
        <v>1.7579241516966074E-12</v>
      </c>
      <c r="L489" s="708">
        <f t="shared" si="22"/>
        <v>1.7579241516966074E-12</v>
      </c>
      <c r="M489" s="582" t="s">
        <v>340</v>
      </c>
      <c r="N489" s="567"/>
      <c r="O489" s="801"/>
      <c r="P489" s="567"/>
      <c r="Q489"/>
      <c r="R489"/>
      <c r="S489"/>
      <c r="T489"/>
      <c r="U489"/>
    </row>
    <row r="490" spans="1:21" customFormat="1" ht="12.75" customHeight="1" x14ac:dyDescent="0.2">
      <c r="A490" s="567" t="s">
        <v>1832</v>
      </c>
      <c r="B490" s="567"/>
      <c r="C490" s="567"/>
      <c r="D490" s="567"/>
      <c r="E490" s="567"/>
      <c r="F490" s="567"/>
      <c r="G490" s="568" t="s">
        <v>2468</v>
      </c>
      <c r="H490" s="568" t="s">
        <v>340</v>
      </c>
      <c r="I490" s="678"/>
      <c r="J490" s="294" t="str">
        <f>IF(ISBLANK(HLOOKUP(CaseName,CaseData,MATCH($G490,cases!$G$4:$G$2458,0),FALSE)),"",HLOOKUP(CaseName,CaseData,MATCH($G490,cases!$G$4:$G$2458,0),FALSE))</f>
        <v/>
      </c>
      <c r="K490" s="621">
        <f>IF((SetVelS.w*L18*L16)/(L8)&gt;0,(SetVelS.w*L18*L16)/(L8),0)</f>
        <v>5.8597471723220234E-11</v>
      </c>
      <c r="L490" s="551">
        <f t="shared" si="22"/>
        <v>5.8597471723220234E-11</v>
      </c>
      <c r="M490" s="568" t="s">
        <v>340</v>
      </c>
      <c r="N490" s="567"/>
      <c r="O490" s="801"/>
      <c r="P490" s="567"/>
    </row>
    <row r="491" spans="1:21" customFormat="1" ht="12.75" customHeight="1" x14ac:dyDescent="0.2">
      <c r="A491" s="567" t="s">
        <v>1834</v>
      </c>
      <c r="B491" s="567"/>
      <c r="C491" s="567"/>
      <c r="D491" s="567"/>
      <c r="E491" s="567"/>
      <c r="F491" s="567"/>
      <c r="G491" s="568" t="s">
        <v>2469</v>
      </c>
      <c r="H491" s="568" t="s">
        <v>340</v>
      </c>
      <c r="I491" s="678"/>
      <c r="J491" s="294" t="str">
        <f>IF(ISBLANK(HLOOKUP(CaseName,CaseData,MATCH($G491,cases!$G$4:$G$2458,0),FALSE)),"",HLOOKUP(CaseName,CaseData,MATCH($G491,cases!$G$4:$G$2458,0),FALSE))</f>
        <v/>
      </c>
      <c r="K491" s="621">
        <f>IF((SetVelS.w*L22*L16)/(L9)&gt;0,(SetVelS.w*L22*L16)/(L9),0)</f>
        <v>8.7896207584830351E-13</v>
      </c>
      <c r="L491" s="551">
        <f t="shared" si="22"/>
        <v>8.7896207584830351E-13</v>
      </c>
      <c r="M491" s="568" t="s">
        <v>340</v>
      </c>
      <c r="N491" s="567"/>
      <c r="O491" s="801"/>
      <c r="P491" s="567"/>
    </row>
    <row r="492" spans="1:21" customFormat="1" ht="12.75" customHeight="1" x14ac:dyDescent="0.2">
      <c r="A492" s="567" t="s">
        <v>1836</v>
      </c>
      <c r="B492" s="567"/>
      <c r="C492" s="567"/>
      <c r="D492" s="567"/>
      <c r="E492" s="567"/>
      <c r="F492" s="567"/>
      <c r="G492" s="568" t="s">
        <v>2470</v>
      </c>
      <c r="H492" s="568" t="s">
        <v>340</v>
      </c>
      <c r="I492" s="678"/>
      <c r="J492" s="294" t="str">
        <f>IF(ISBLANK(HLOOKUP(CaseName,CaseData,MATCH($G492,cases!$G$4:$G$2458,0),FALSE)),"",HLOOKUP(CaseName,CaseData,MATCH($G492,cases!$G$4:$G$2458,0),FALSE))</f>
        <v/>
      </c>
      <c r="K492" s="621">
        <f>IF((SetVelA.w*L17*L16)/(L7)&gt;0,(SetVelA.w*L17*L16)/(L7),0)</f>
        <v>4.9055254134227732E-10</v>
      </c>
      <c r="L492" s="551">
        <f t="shared" si="22"/>
        <v>4.9055254134227732E-10</v>
      </c>
      <c r="M492" s="568" t="s">
        <v>340</v>
      </c>
      <c r="N492" s="567"/>
      <c r="O492" s="801"/>
      <c r="P492" s="567"/>
    </row>
    <row r="493" spans="1:21" customFormat="1" ht="12.75" customHeight="1" x14ac:dyDescent="0.2">
      <c r="A493" s="567" t="s">
        <v>1838</v>
      </c>
      <c r="B493" s="567"/>
      <c r="C493" s="567"/>
      <c r="D493" s="567"/>
      <c r="E493" s="567"/>
      <c r="F493" s="567"/>
      <c r="G493" s="568" t="s">
        <v>2471</v>
      </c>
      <c r="H493" s="568" t="s">
        <v>340</v>
      </c>
      <c r="I493" s="678"/>
      <c r="J493" s="294" t="str">
        <f>IF(ISBLANK(HLOOKUP(CaseName,CaseData,MATCH($G493,cases!$G$4:$G$2458,0),FALSE)),"",HLOOKUP(CaseName,CaseData,MATCH($G493,cases!$G$4:$G$2458,0),FALSE))</f>
        <v/>
      </c>
      <c r="K493" s="621">
        <f>IF((SetVelA.w*L18*L16)/(L8)&gt;0,(SetVelA.w*L18*L16)/(L8),0)</f>
        <v>1.6351751378075909E-8</v>
      </c>
      <c r="L493" s="551">
        <f t="shared" si="22"/>
        <v>1.6351751378075909E-8</v>
      </c>
      <c r="M493" s="568" t="s">
        <v>340</v>
      </c>
      <c r="N493" s="567"/>
      <c r="O493" s="801"/>
      <c r="P493" s="567"/>
    </row>
    <row r="494" spans="1:21" customFormat="1" ht="12.75" customHeight="1" x14ac:dyDescent="0.2">
      <c r="A494" s="567" t="s">
        <v>1840</v>
      </c>
      <c r="B494" s="567"/>
      <c r="C494" s="567"/>
      <c r="D494" s="567"/>
      <c r="E494" s="567"/>
      <c r="F494" s="567"/>
      <c r="G494" s="568" t="s">
        <v>2472</v>
      </c>
      <c r="H494" s="568" t="s">
        <v>340</v>
      </c>
      <c r="I494" s="678"/>
      <c r="J494" s="294" t="str">
        <f>IF(ISBLANK(HLOOKUP(CaseName,CaseData,MATCH($G494,cases!$G$4:$G$2458,0),FALSE)),"",HLOOKUP(CaseName,CaseData,MATCH($G494,cases!$G$4:$G$2458,0),FALSE))</f>
        <v/>
      </c>
      <c r="K494" s="621">
        <f>IF((SetVelA.w*L22*L16)/(L9)&gt;0,(SetVelA.w*L22*L16)/(L9),0)</f>
        <v>2.4527627067113866E-10</v>
      </c>
      <c r="L494" s="551">
        <f t="shared" si="22"/>
        <v>2.4527627067113866E-10</v>
      </c>
      <c r="M494" s="568" t="s">
        <v>340</v>
      </c>
      <c r="N494" s="567"/>
      <c r="O494" s="801"/>
      <c r="P494" s="567"/>
    </row>
    <row r="495" spans="1:21" customFormat="1" ht="12.75" customHeight="1" x14ac:dyDescent="0.2">
      <c r="A495" s="567" t="s">
        <v>1842</v>
      </c>
      <c r="B495" s="567"/>
      <c r="C495" s="567"/>
      <c r="D495" s="567"/>
      <c r="E495" s="567"/>
      <c r="F495" s="567"/>
      <c r="G495" s="568" t="s">
        <v>2473</v>
      </c>
      <c r="H495" s="568" t="s">
        <v>340</v>
      </c>
      <c r="I495" s="678"/>
      <c r="J495" s="294" t="str">
        <f>IF(ISBLANK(HLOOKUP(CaseName,CaseData,MATCH($G495,cases!$G$4:$G$2458,0),FALSE)),"",HLOOKUP(CaseName,CaseData,MATCH($G495,cases!$G$4:$G$2458,0),FALSE))</f>
        <v/>
      </c>
      <c r="K495" s="621">
        <f>IF((SetVelP.w*L17*L16)/L7&gt;0,(SetVelP.w*L17*L16)/L7,0)</f>
        <v>2.9410419409277561E-7</v>
      </c>
      <c r="L495" s="551">
        <f t="shared" ref="L495:L515" si="23">IF(ISBLANK(I495),IF(ISNUMBER(J495)=FALSE,K495,J495),I495)</f>
        <v>2.9410419409277561E-7</v>
      </c>
      <c r="M495" s="568" t="s">
        <v>340</v>
      </c>
      <c r="N495" s="567"/>
      <c r="O495" s="801"/>
      <c r="P495" s="567"/>
    </row>
    <row r="496" spans="1:21" customFormat="1" ht="12.75" customHeight="1" x14ac:dyDescent="0.2">
      <c r="A496" s="567" t="s">
        <v>1844</v>
      </c>
      <c r="B496" s="567"/>
      <c r="C496" s="567"/>
      <c r="D496" s="567"/>
      <c r="E496" s="567"/>
      <c r="F496" s="567"/>
      <c r="G496" s="568" t="s">
        <v>2474</v>
      </c>
      <c r="H496" s="568" t="s">
        <v>340</v>
      </c>
      <c r="I496" s="678"/>
      <c r="J496" s="294" t="str">
        <f>IF(ISBLANK(HLOOKUP(CaseName,CaseData,MATCH($G496,cases!$G$4:$G$2458,0),FALSE)),"",HLOOKUP(CaseName,CaseData,MATCH($G496,cases!$G$4:$G$2458,0),FALSE))</f>
        <v/>
      </c>
      <c r="K496" s="621">
        <f>IF((SetVelP.w*L18*L16)/L8&gt;0,(SetVelP.w*L18*L16)/L8,0)</f>
        <v>9.8034731364258519E-6</v>
      </c>
      <c r="L496" s="551">
        <f t="shared" si="23"/>
        <v>9.8034731364258519E-6</v>
      </c>
      <c r="M496" s="568" t="s">
        <v>340</v>
      </c>
      <c r="N496" s="567"/>
      <c r="O496" s="801"/>
      <c r="P496" s="567"/>
    </row>
    <row r="497" spans="1:21" customFormat="1" ht="12.75" customHeight="1" x14ac:dyDescent="0.2">
      <c r="A497" s="567" t="s">
        <v>1846</v>
      </c>
      <c r="B497" s="567"/>
      <c r="C497" s="567"/>
      <c r="D497" s="567"/>
      <c r="E497" s="567"/>
      <c r="F497" s="567"/>
      <c r="G497" s="568" t="s">
        <v>2475</v>
      </c>
      <c r="H497" s="568" t="s">
        <v>340</v>
      </c>
      <c r="I497" s="678"/>
      <c r="J497" s="294" t="str">
        <f>IF(ISBLANK(HLOOKUP(CaseName,CaseData,MATCH($G497,cases!$G$4:$G$2458,0),FALSE)),"",HLOOKUP(CaseName,CaseData,MATCH($G497,cases!$G$4:$G$2458,0),FALSE))</f>
        <v/>
      </c>
      <c r="K497" s="621">
        <f>IF((SetVelP.w*L22*L16)/L9&gt;0,(SetVelP.w*L22*L16)/L9,0)</f>
        <v>1.4705209704638778E-7</v>
      </c>
      <c r="L497" s="551">
        <f t="shared" si="23"/>
        <v>1.4705209704638778E-7</v>
      </c>
      <c r="M497" s="568" t="s">
        <v>340</v>
      </c>
      <c r="N497" s="567"/>
      <c r="O497" s="801"/>
      <c r="P497" s="567"/>
    </row>
    <row r="498" spans="1:21" s="634" customFormat="1" ht="12.75" customHeight="1" x14ac:dyDescent="0.2">
      <c r="A498" s="583" t="s">
        <v>1848</v>
      </c>
      <c r="B498" s="583"/>
      <c r="C498" s="583"/>
      <c r="D498" s="583"/>
      <c r="E498" s="583"/>
      <c r="F498" s="583"/>
      <c r="G498" s="582" t="s">
        <v>2476</v>
      </c>
      <c r="H498" s="582" t="s">
        <v>340</v>
      </c>
      <c r="I498" s="709"/>
      <c r="J498" s="294" t="str">
        <f>IF(ISBLANK(HLOOKUP(CaseName,CaseData,MATCH($G498,cases!$G$4:$G$2458,0),FALSE)),"",HLOOKUP(CaseName,CaseData,MATCH($G498,cases!$G$4:$G$2458,0),FALSE))</f>
        <v/>
      </c>
      <c r="K498" s="623">
        <f>$L$161/$L$27</f>
        <v>0</v>
      </c>
      <c r="L498" s="708">
        <f t="shared" si="23"/>
        <v>0</v>
      </c>
      <c r="M498" s="582" t="s">
        <v>340</v>
      </c>
      <c r="N498" s="567" t="s">
        <v>1850</v>
      </c>
      <c r="O498" s="605"/>
      <c r="P498" s="567"/>
      <c r="Q498"/>
      <c r="R498"/>
      <c r="S498"/>
      <c r="T498"/>
      <c r="U498"/>
    </row>
    <row r="499" spans="1:21" customFormat="1" ht="12.75" customHeight="1" x14ac:dyDescent="0.2">
      <c r="A499" s="567" t="s">
        <v>1851</v>
      </c>
      <c r="B499" s="567"/>
      <c r="C499" s="567"/>
      <c r="D499" s="567"/>
      <c r="E499" s="567"/>
      <c r="F499" s="567"/>
      <c r="G499" s="568" t="s">
        <v>2477</v>
      </c>
      <c r="H499" s="568" t="s">
        <v>340</v>
      </c>
      <c r="I499" s="678"/>
      <c r="J499" s="294" t="str">
        <f>IF(ISBLANK(HLOOKUP(CaseName,CaseData,MATCH($G499,cases!$G$4:$G$2458,0),FALSE)),"",HLOOKUP(CaseName,CaseData,MATCH($G499,cases!$G$4:$G$2458,0),FALSE))</f>
        <v/>
      </c>
      <c r="K499" s="621">
        <f>$L$163/$L$28</f>
        <v>2.6060956790031634E-8</v>
      </c>
      <c r="L499" s="551">
        <f t="shared" si="23"/>
        <v>2.6060956790031634E-8</v>
      </c>
      <c r="M499" s="568" t="s">
        <v>340</v>
      </c>
      <c r="N499" s="567" t="s">
        <v>1850</v>
      </c>
      <c r="O499" s="605"/>
      <c r="P499" s="567"/>
    </row>
    <row r="500" spans="1:21" customFormat="1" ht="12.75" customHeight="1" x14ac:dyDescent="0.2">
      <c r="A500" s="567" t="s">
        <v>1853</v>
      </c>
      <c r="B500" s="567"/>
      <c r="C500" s="567"/>
      <c r="D500" s="567"/>
      <c r="E500" s="567"/>
      <c r="F500" s="567"/>
      <c r="G500" s="568" t="s">
        <v>2478</v>
      </c>
      <c r="H500" s="568" t="s">
        <v>340</v>
      </c>
      <c r="I500" s="678"/>
      <c r="J500" s="294" t="str">
        <f>IF(ISBLANK(HLOOKUP(CaseName,CaseData,MATCH($G500,cases!$G$4:$G$2458,0),FALSE)),"",HLOOKUP(CaseName,CaseData,MATCH($G500,cases!$G$4:$G$2458,0),FALSE))</f>
        <v/>
      </c>
      <c r="K500" s="621">
        <f>$L$165/$L$29</f>
        <v>8.7317283950617312E-9</v>
      </c>
      <c r="L500" s="551">
        <f t="shared" si="23"/>
        <v>8.7317283950617312E-9</v>
      </c>
      <c r="M500" s="568" t="s">
        <v>340</v>
      </c>
      <c r="N500" s="567" t="s">
        <v>1850</v>
      </c>
      <c r="O500" s="605"/>
      <c r="P500" s="567"/>
    </row>
    <row r="501" spans="1:21" customFormat="1" ht="12.75" customHeight="1" x14ac:dyDescent="0.2">
      <c r="A501" s="567" t="s">
        <v>1855</v>
      </c>
      <c r="B501" s="567"/>
      <c r="C501" s="567"/>
      <c r="D501" s="567"/>
      <c r="E501" s="567"/>
      <c r="F501" s="567"/>
      <c r="G501" s="568" t="s">
        <v>2479</v>
      </c>
      <c r="H501" s="568" t="s">
        <v>340</v>
      </c>
      <c r="I501" s="678"/>
      <c r="J501" s="294" t="str">
        <f>IF(ISBLANK(HLOOKUP(CaseName,CaseData,MATCH($G501,cases!$G$4:$G$2458,0),FALSE)),"",HLOOKUP(CaseName,CaseData,MATCH($G501,cases!$G$4:$G$2458,0),FALSE))</f>
        <v/>
      </c>
      <c r="K501" s="621">
        <f>$L$161/$L$27</f>
        <v>0</v>
      </c>
      <c r="L501" s="551">
        <f t="shared" si="23"/>
        <v>0</v>
      </c>
      <c r="M501" s="568" t="s">
        <v>340</v>
      </c>
      <c r="N501" s="567" t="s">
        <v>1850</v>
      </c>
      <c r="O501" s="605"/>
      <c r="P501" s="567"/>
    </row>
    <row r="502" spans="1:21" customFormat="1" ht="12.75" customHeight="1" x14ac:dyDescent="0.2">
      <c r="A502" s="567" t="s">
        <v>1857</v>
      </c>
      <c r="B502" s="567"/>
      <c r="C502" s="567"/>
      <c r="D502" s="567"/>
      <c r="E502" s="567"/>
      <c r="F502" s="567"/>
      <c r="G502" s="568" t="s">
        <v>2480</v>
      </c>
      <c r="H502" s="568" t="s">
        <v>340</v>
      </c>
      <c r="I502" s="678"/>
      <c r="J502" s="294" t="str">
        <f>IF(ISBLANK(HLOOKUP(CaseName,CaseData,MATCH($G502,cases!$G$4:$G$2458,0),FALSE)),"",HLOOKUP(CaseName,CaseData,MATCH($G502,cases!$G$4:$G$2458,0),FALSE))</f>
        <v/>
      </c>
      <c r="K502" s="621">
        <f>$L$163/$L$28</f>
        <v>2.6060956790031634E-8</v>
      </c>
      <c r="L502" s="551">
        <f t="shared" si="23"/>
        <v>2.6060956790031634E-8</v>
      </c>
      <c r="M502" s="568" t="s">
        <v>340</v>
      </c>
      <c r="N502" s="567" t="s">
        <v>1850</v>
      </c>
      <c r="O502" s="605"/>
      <c r="P502" s="567"/>
    </row>
    <row r="503" spans="1:21" customFormat="1" ht="12.75" customHeight="1" x14ac:dyDescent="0.2">
      <c r="A503" s="567" t="s">
        <v>1859</v>
      </c>
      <c r="B503" s="567"/>
      <c r="C503" s="567"/>
      <c r="D503" s="567"/>
      <c r="E503" s="567"/>
      <c r="F503" s="567"/>
      <c r="G503" s="568" t="s">
        <v>2481</v>
      </c>
      <c r="H503" s="568" t="s">
        <v>340</v>
      </c>
      <c r="I503" s="678"/>
      <c r="J503" s="294" t="str">
        <f>IF(ISBLANK(HLOOKUP(CaseName,CaseData,MATCH($G503,cases!$G$4:$G$2458,0),FALSE)),"",HLOOKUP(CaseName,CaseData,MATCH($G503,cases!$G$4:$G$2458,0),FALSE))</f>
        <v/>
      </c>
      <c r="K503" s="621">
        <f>$L$165/$L$29</f>
        <v>8.7317283950617312E-9</v>
      </c>
      <c r="L503" s="551">
        <f t="shared" si="23"/>
        <v>8.7317283950617312E-9</v>
      </c>
      <c r="M503" s="568" t="s">
        <v>340</v>
      </c>
      <c r="N503" s="567" t="s">
        <v>1850</v>
      </c>
      <c r="O503" s="605"/>
      <c r="P503" s="567"/>
    </row>
    <row r="504" spans="1:21" customFormat="1" ht="12.75" customHeight="1" x14ac:dyDescent="0.2">
      <c r="A504" s="567" t="s">
        <v>1861</v>
      </c>
      <c r="B504" s="567"/>
      <c r="C504" s="567"/>
      <c r="D504" s="567"/>
      <c r="E504" s="567"/>
      <c r="F504" s="567"/>
      <c r="G504" s="568" t="s">
        <v>2482</v>
      </c>
      <c r="H504" s="568" t="s">
        <v>340</v>
      </c>
      <c r="I504" s="678"/>
      <c r="J504" s="294" t="str">
        <f>IF(ISBLANK(HLOOKUP(CaseName,CaseData,MATCH($G504,cases!$G$4:$G$2458,0),FALSE)),"",HLOOKUP(CaseName,CaseData,MATCH($G504,cases!$G$4:$G$2458,0),FALSE))</f>
        <v/>
      </c>
      <c r="K504" s="621">
        <f>$L$161/$L$27</f>
        <v>0</v>
      </c>
      <c r="L504" s="551">
        <f t="shared" si="23"/>
        <v>0</v>
      </c>
      <c r="M504" s="568" t="s">
        <v>340</v>
      </c>
      <c r="N504" s="567" t="s">
        <v>1850</v>
      </c>
      <c r="O504" s="605"/>
      <c r="P504" s="567"/>
    </row>
    <row r="505" spans="1:21" customFormat="1" ht="12.75" customHeight="1" x14ac:dyDescent="0.2">
      <c r="A505" s="567" t="s">
        <v>1863</v>
      </c>
      <c r="B505" s="567"/>
      <c r="C505" s="567"/>
      <c r="D505" s="567"/>
      <c r="E505" s="567"/>
      <c r="F505" s="567"/>
      <c r="G505" s="568" t="s">
        <v>2483</v>
      </c>
      <c r="H505" s="568" t="s">
        <v>340</v>
      </c>
      <c r="I505" s="678"/>
      <c r="J505" s="294" t="str">
        <f>IF(ISBLANK(HLOOKUP(CaseName,CaseData,MATCH($G505,cases!$G$4:$G$2458,0),FALSE)),"",HLOOKUP(CaseName,CaseData,MATCH($G505,cases!$G$4:$G$2458,0),FALSE))</f>
        <v/>
      </c>
      <c r="K505" s="621">
        <f>$L$163/$L$28</f>
        <v>2.6060956790031634E-8</v>
      </c>
      <c r="L505" s="551">
        <f t="shared" si="23"/>
        <v>2.6060956790031634E-8</v>
      </c>
      <c r="M505" s="568" t="s">
        <v>340</v>
      </c>
      <c r="N505" s="567" t="s">
        <v>1850</v>
      </c>
      <c r="O505" s="605"/>
      <c r="P505" s="567"/>
    </row>
    <row r="506" spans="1:21" customFormat="1" ht="12.75" customHeight="1" x14ac:dyDescent="0.2">
      <c r="A506" s="567" t="s">
        <v>1865</v>
      </c>
      <c r="B506" s="567"/>
      <c r="C506" s="567"/>
      <c r="D506" s="567"/>
      <c r="E506" s="567"/>
      <c r="F506" s="567"/>
      <c r="G506" s="568" t="s">
        <v>2484</v>
      </c>
      <c r="H506" s="568" t="s">
        <v>340</v>
      </c>
      <c r="I506" s="678"/>
      <c r="J506" s="294" t="str">
        <f>IF(ISBLANK(HLOOKUP(CaseName,CaseData,MATCH($G506,cases!$G$4:$G$2458,0),FALSE)),"",HLOOKUP(CaseName,CaseData,MATCH($G506,cases!$G$4:$G$2458,0),FALSE))</f>
        <v/>
      </c>
      <c r="K506" s="621">
        <f>$L$165/$L$29</f>
        <v>8.7317283950617312E-9</v>
      </c>
      <c r="L506" s="551">
        <f t="shared" si="23"/>
        <v>8.7317283950617312E-9</v>
      </c>
      <c r="M506" s="568" t="s">
        <v>340</v>
      </c>
      <c r="N506" s="567" t="s">
        <v>1850</v>
      </c>
      <c r="O506" s="605"/>
      <c r="P506" s="567"/>
    </row>
    <row r="507" spans="1:21" s="634" customFormat="1" ht="12.75" customHeight="1" x14ac:dyDescent="0.2">
      <c r="A507" s="583" t="s">
        <v>1867</v>
      </c>
      <c r="B507" s="583"/>
      <c r="C507" s="583"/>
      <c r="D507" s="583"/>
      <c r="E507" s="583"/>
      <c r="F507" s="583"/>
      <c r="G507" s="582" t="s">
        <v>2485</v>
      </c>
      <c r="H507" s="582" t="s">
        <v>340</v>
      </c>
      <c r="I507" s="709"/>
      <c r="J507" s="294" t="str">
        <f>IF(ISBLANK(HLOOKUP(CaseName,CaseData,MATCH($G507,cases!$G$4:$G$2458,0),FALSE)),"",HLOOKUP(CaseName,CaseData,MATCH($G507,cases!$G$4:$G$2458,0),FALSE))</f>
        <v/>
      </c>
      <c r="K507" s="623">
        <f>((L188*RAINrate.C*L191)+L185)/L30</f>
        <v>1.4105196107430861E-7</v>
      </c>
      <c r="L507" s="708">
        <f t="shared" si="23"/>
        <v>1.4105196107430861E-7</v>
      </c>
      <c r="M507" s="582" t="s">
        <v>340</v>
      </c>
      <c r="N507" s="583" t="s">
        <v>1869</v>
      </c>
      <c r="O507" s="665"/>
      <c r="P507" s="583"/>
    </row>
    <row r="508" spans="1:21" customFormat="1" ht="12.75" customHeight="1" x14ac:dyDescent="0.2">
      <c r="A508" s="567" t="s">
        <v>1870</v>
      </c>
      <c r="B508" s="567"/>
      <c r="C508" s="567"/>
      <c r="D508" s="567"/>
      <c r="E508" s="567"/>
      <c r="F508" s="567"/>
      <c r="G508" s="568" t="s">
        <v>2486</v>
      </c>
      <c r="H508" s="568" t="s">
        <v>340</v>
      </c>
      <c r="I508" s="678"/>
      <c r="J508" s="294" t="str">
        <f>IF(ISBLANK(HLOOKUP(CaseName,CaseData,MATCH($G508,cases!$G$4:$G$2458,0),FALSE)),"",HLOOKUP(CaseName,CaseData,MATCH($G508,cases!$G$4:$G$2458,0),FALSE))</f>
        <v/>
      </c>
      <c r="K508" s="621">
        <f>((L189*RAINrate.C*L192)+L186)/L31</f>
        <v>6.4182390753802476E-8</v>
      </c>
      <c r="L508" s="551">
        <f t="shared" si="23"/>
        <v>6.4182390753802476E-8</v>
      </c>
      <c r="M508" s="568" t="s">
        <v>340</v>
      </c>
      <c r="N508" s="567" t="s">
        <v>1869</v>
      </c>
      <c r="O508" s="605"/>
      <c r="P508" s="567"/>
    </row>
    <row r="509" spans="1:21" customFormat="1" ht="12.75" customHeight="1" x14ac:dyDescent="0.2">
      <c r="A509" s="567" t="s">
        <v>1872</v>
      </c>
      <c r="B509" s="567"/>
      <c r="C509" s="567"/>
      <c r="D509" s="567"/>
      <c r="E509" s="567"/>
      <c r="F509" s="567"/>
      <c r="G509" s="568" t="s">
        <v>2487</v>
      </c>
      <c r="H509" s="568" t="s">
        <v>340</v>
      </c>
      <c r="I509" s="678"/>
      <c r="J509" s="294" t="str">
        <f>IF(ISBLANK(HLOOKUP(CaseName,CaseData,MATCH($G509,cases!$G$4:$G$2458,0),FALSE)),"",HLOOKUP(CaseName,CaseData,MATCH($G509,cases!$G$4:$G$2458,0),FALSE))</f>
        <v/>
      </c>
      <c r="K509" s="621">
        <f>((L190*RAINrate.C*L193)+L187)/L32</f>
        <v>1.4105196107430861E-7</v>
      </c>
      <c r="L509" s="551">
        <f t="shared" si="23"/>
        <v>1.4105196107430861E-7</v>
      </c>
      <c r="M509" s="568" t="s">
        <v>340</v>
      </c>
      <c r="N509" s="567" t="s">
        <v>1869</v>
      </c>
      <c r="O509" s="605"/>
      <c r="P509" s="567"/>
    </row>
    <row r="510" spans="1:21" customFormat="1" ht="12.75" customHeight="1" x14ac:dyDescent="0.2">
      <c r="A510" s="567" t="s">
        <v>1874</v>
      </c>
      <c r="B510" s="567"/>
      <c r="C510" s="567"/>
      <c r="D510" s="567"/>
      <c r="E510" s="567"/>
      <c r="F510" s="567"/>
      <c r="G510" s="568" t="s">
        <v>2488</v>
      </c>
      <c r="H510" s="568" t="s">
        <v>340</v>
      </c>
      <c r="I510" s="678"/>
      <c r="J510" s="294" t="str">
        <f>IF(ISBLANK(HLOOKUP(CaseName,CaseData,MATCH($G510,cases!$G$4:$G$2458,0),FALSE)),"",HLOOKUP(CaseName,CaseData,MATCH($G510,cases!$G$4:$G$2458,0),FALSE))</f>
        <v/>
      </c>
      <c r="K510" s="621">
        <f>((L188*RAINrate.C*L191)+L185)/L30</f>
        <v>1.4105196107430861E-7</v>
      </c>
      <c r="L510" s="551">
        <f t="shared" si="23"/>
        <v>1.4105196107430861E-7</v>
      </c>
      <c r="M510" s="568" t="s">
        <v>340</v>
      </c>
      <c r="N510" s="567" t="s">
        <v>1869</v>
      </c>
      <c r="O510" s="605"/>
      <c r="P510" s="567"/>
    </row>
    <row r="511" spans="1:21" customFormat="1" ht="12.75" customHeight="1" x14ac:dyDescent="0.2">
      <c r="A511" s="567" t="s">
        <v>1876</v>
      </c>
      <c r="B511" s="567"/>
      <c r="C511" s="567"/>
      <c r="D511" s="567"/>
      <c r="E511" s="567"/>
      <c r="F511" s="567"/>
      <c r="G511" s="568" t="s">
        <v>2489</v>
      </c>
      <c r="H511" s="568" t="s">
        <v>340</v>
      </c>
      <c r="I511" s="678"/>
      <c r="J511" s="294" t="str">
        <f>IF(ISBLANK(HLOOKUP(CaseName,CaseData,MATCH($G511,cases!$G$4:$G$2458,0),FALSE)),"",HLOOKUP(CaseName,CaseData,MATCH($G511,cases!$G$4:$G$2458,0),FALSE))</f>
        <v/>
      </c>
      <c r="K511" s="621">
        <f>((L189*RAINrate.C*L192)+L186)/L31</f>
        <v>6.4182390753802476E-8</v>
      </c>
      <c r="L511" s="551">
        <f t="shared" si="23"/>
        <v>6.4182390753802476E-8</v>
      </c>
      <c r="M511" s="568" t="s">
        <v>340</v>
      </c>
      <c r="N511" s="567" t="s">
        <v>1869</v>
      </c>
      <c r="O511" s="605"/>
      <c r="P511" s="567"/>
    </row>
    <row r="512" spans="1:21" customFormat="1" ht="12" customHeight="1" x14ac:dyDescent="0.2">
      <c r="A512" s="567" t="s">
        <v>1878</v>
      </c>
      <c r="B512" s="567"/>
      <c r="C512" s="567"/>
      <c r="D512" s="567"/>
      <c r="E512" s="567"/>
      <c r="F512" s="567"/>
      <c r="G512" s="568" t="s">
        <v>2490</v>
      </c>
      <c r="H512" s="568" t="s">
        <v>340</v>
      </c>
      <c r="I512" s="678"/>
      <c r="J512" s="294" t="str">
        <f>IF(ISBLANK(HLOOKUP(CaseName,CaseData,MATCH($G512,cases!$G$4:$G$2458,0),FALSE)),"",HLOOKUP(CaseName,CaseData,MATCH($G512,cases!$G$4:$G$2458,0),FALSE))</f>
        <v/>
      </c>
      <c r="K512" s="621">
        <f>((L190*RAINrate.C*L193)+L187)/L32</f>
        <v>1.4105196107430861E-7</v>
      </c>
      <c r="L512" s="551">
        <f t="shared" si="23"/>
        <v>1.4105196107430861E-7</v>
      </c>
      <c r="M512" s="568" t="s">
        <v>340</v>
      </c>
      <c r="N512" s="567" t="s">
        <v>1869</v>
      </c>
      <c r="O512" s="605"/>
      <c r="P512" s="567"/>
    </row>
    <row r="513" spans="1:20" customFormat="1" ht="12.75" customHeight="1" x14ac:dyDescent="0.2">
      <c r="A513" s="567" t="s">
        <v>1880</v>
      </c>
      <c r="B513" s="567"/>
      <c r="C513" s="567"/>
      <c r="D513" s="567"/>
      <c r="E513" s="567"/>
      <c r="F513" s="567"/>
      <c r="G513" s="568" t="s">
        <v>2491</v>
      </c>
      <c r="H513" s="568" t="s">
        <v>340</v>
      </c>
      <c r="I513" s="678"/>
      <c r="J513" s="294" t="str">
        <f>IF(ISBLANK(HLOOKUP(CaseName,CaseData,MATCH($G513,cases!$G$4:$G$2458,0),FALSE)),"",HLOOKUP(CaseName,CaseData,MATCH($G513,cases!$G$4:$G$2458,0),FALSE))</f>
        <v/>
      </c>
      <c r="K513" s="621">
        <f>L185/L30</f>
        <v>1.9025875190258751E-11</v>
      </c>
      <c r="L513" s="551">
        <f t="shared" si="23"/>
        <v>1.9025875190258751E-11</v>
      </c>
      <c r="M513" s="568" t="s">
        <v>340</v>
      </c>
      <c r="N513" s="567" t="s">
        <v>1882</v>
      </c>
      <c r="O513" s="605"/>
      <c r="P513" s="567"/>
    </row>
    <row r="514" spans="1:20" customFormat="1" ht="12.75" customHeight="1" x14ac:dyDescent="0.2">
      <c r="A514" s="567" t="s">
        <v>1883</v>
      </c>
      <c r="B514" s="567"/>
      <c r="C514" s="567"/>
      <c r="D514" s="567"/>
      <c r="E514" s="567"/>
      <c r="F514" s="567"/>
      <c r="G514" s="568" t="s">
        <v>2492</v>
      </c>
      <c r="H514" s="568" t="s">
        <v>340</v>
      </c>
      <c r="I514" s="678"/>
      <c r="J514" s="294" t="str">
        <f>IF(ISBLANK(HLOOKUP(CaseName,CaseData,MATCH($G514,cases!$G$4:$G$2458,0),FALSE)),"",HLOOKUP(CaseName,CaseData,MATCH($G514,cases!$G$4:$G$2458,0),FALSE))</f>
        <v/>
      </c>
      <c r="K514" s="621">
        <f>L186/L31</f>
        <v>4.7564687975646877E-12</v>
      </c>
      <c r="L514" s="551">
        <f t="shared" si="23"/>
        <v>4.7564687975646877E-12</v>
      </c>
      <c r="M514" s="568" t="s">
        <v>340</v>
      </c>
      <c r="N514" s="567" t="s">
        <v>1882</v>
      </c>
      <c r="O514" s="605"/>
      <c r="P514" s="567"/>
    </row>
    <row r="515" spans="1:20" s="487" customFormat="1" ht="12.75" customHeight="1" x14ac:dyDescent="0.2">
      <c r="A515" s="599" t="s">
        <v>1885</v>
      </c>
      <c r="B515" s="599"/>
      <c r="C515" s="599"/>
      <c r="D515" s="599"/>
      <c r="E515" s="599"/>
      <c r="F515" s="599"/>
      <c r="G515" s="602" t="s">
        <v>2493</v>
      </c>
      <c r="H515" s="602" t="s">
        <v>340</v>
      </c>
      <c r="I515" s="683"/>
      <c r="J515" s="294" t="str">
        <f>IF(ISBLANK(HLOOKUP(CaseName,CaseData,MATCH($G515,cases!$G$4:$G$2458,0),FALSE)),"",HLOOKUP(CaseName,CaseData,MATCH($G515,cases!$G$4:$G$2458,0),FALSE))</f>
        <v/>
      </c>
      <c r="K515" s="622">
        <f>L187/L32</f>
        <v>1.9025875190258751E-11</v>
      </c>
      <c r="L515" s="707">
        <f t="shared" si="23"/>
        <v>1.9025875190258751E-11</v>
      </c>
      <c r="M515" s="602" t="s">
        <v>340</v>
      </c>
      <c r="N515" s="599" t="s">
        <v>1882</v>
      </c>
      <c r="O515" s="677"/>
      <c r="P515" s="599"/>
    </row>
    <row r="516" spans="1:20" s="487" customFormat="1" ht="12.75" customHeight="1" x14ac:dyDescent="0.2">
      <c r="G516" s="651"/>
      <c r="H516" s="651"/>
      <c r="J516" s="653"/>
      <c r="K516" s="469"/>
      <c r="L516" s="654"/>
      <c r="M516" s="651"/>
      <c r="N516"/>
      <c r="O516" s="674"/>
    </row>
    <row r="517" spans="1:20" s="413" customFormat="1" ht="12.75" customHeight="1" x14ac:dyDescent="0.2">
      <c r="A517" s="631" t="s">
        <v>2494</v>
      </c>
      <c r="G517" s="631" t="s">
        <v>263</v>
      </c>
      <c r="H517" s="631" t="s">
        <v>279</v>
      </c>
      <c r="I517" s="413" t="s">
        <v>264</v>
      </c>
      <c r="J517" s="498" t="s">
        <v>280</v>
      </c>
      <c r="K517" s="648" t="s">
        <v>265</v>
      </c>
      <c r="L517" s="649" t="s">
        <v>266</v>
      </c>
      <c r="N517" s="631" t="s">
        <v>267</v>
      </c>
      <c r="O517" s="209"/>
    </row>
    <row r="518" spans="1:20" customFormat="1" ht="12.75" customHeight="1" x14ac:dyDescent="0.2">
      <c r="A518" s="568" t="s">
        <v>1322</v>
      </c>
      <c r="B518" s="567"/>
      <c r="C518" s="567"/>
      <c r="D518" s="567"/>
      <c r="E518" s="567"/>
      <c r="F518" s="567"/>
      <c r="G518" s="568" t="s">
        <v>2495</v>
      </c>
      <c r="H518" s="568" t="s">
        <v>624</v>
      </c>
      <c r="I518" s="713"/>
      <c r="J518" s="294" t="str">
        <f>IF(ISBLANK(HLOOKUP(CaseName,CaseData,MATCH($G518,cases!$G$4:$G$2458,0),FALSE)),"",HLOOKUP(CaseName,CaseData,MATCH($G518,cases!$G$4:$G$2458,0),FALSE))</f>
        <v/>
      </c>
      <c r="K518" s="577">
        <f>L207+kdegS.a</f>
        <v>3.663258818281463E-10</v>
      </c>
      <c r="L518" s="298">
        <f t="shared" ref="L518:L553" si="24">IF(ISBLANK(I518),IF(ISNUMBER(J518)=FALSE,K518,J518),I518)</f>
        <v>3.663258818281463E-10</v>
      </c>
      <c r="M518" s="567" t="s">
        <v>1048</v>
      </c>
      <c r="N518" s="568"/>
      <c r="O518" s="605"/>
      <c r="P518" s="578"/>
      <c r="Q518" s="577"/>
      <c r="R518" s="386"/>
      <c r="S518" s="806"/>
      <c r="T518" s="386"/>
    </row>
    <row r="519" spans="1:20" customFormat="1" ht="12.75" customHeight="1" x14ac:dyDescent="0.2">
      <c r="A519" s="568" t="s">
        <v>1322</v>
      </c>
      <c r="B519" s="567"/>
      <c r="C519" s="567"/>
      <c r="D519" s="567"/>
      <c r="E519" s="567"/>
      <c r="F519" s="567"/>
      <c r="G519" s="568" t="s">
        <v>2496</v>
      </c>
      <c r="H519" s="568" t="s">
        <v>624</v>
      </c>
      <c r="I519" s="713"/>
      <c r="J519" s="294" t="str">
        <f>IF(ISBLANK(HLOOKUP(CaseName,CaseData,MATCH($G519,cases!$G$4:$G$2458,0),FALSE)),"",HLOOKUP(CaseName,CaseData,MATCH($G519,cases!$G$4:$G$2458,0),FALSE))</f>
        <v/>
      </c>
      <c r="K519" s="577">
        <f>L207+kdegA.a</f>
        <v>3.663258818281463E-10</v>
      </c>
      <c r="L519" s="298">
        <f t="shared" si="24"/>
        <v>3.663258818281463E-10</v>
      </c>
      <c r="M519" s="567" t="s">
        <v>1048</v>
      </c>
      <c r="N519" s="568"/>
      <c r="O519" s="605"/>
      <c r="P519" s="578"/>
      <c r="Q519" s="577"/>
      <c r="R519" s="386"/>
      <c r="S519" s="806"/>
      <c r="T519" s="386"/>
    </row>
    <row r="520" spans="1:20" customFormat="1" ht="12.75" customHeight="1" x14ac:dyDescent="0.2">
      <c r="A520" s="568" t="s">
        <v>1322</v>
      </c>
      <c r="B520" s="567"/>
      <c r="C520" s="567"/>
      <c r="D520" s="567"/>
      <c r="E520" s="567"/>
      <c r="F520" s="567"/>
      <c r="G520" s="568" t="s">
        <v>2497</v>
      </c>
      <c r="H520" s="568" t="s">
        <v>624</v>
      </c>
      <c r="I520" s="713"/>
      <c r="J520" s="294" t="str">
        <f>IF(ISBLANK(HLOOKUP(CaseName,CaseData,MATCH($G520,cases!$G$4:$G$2458,0),FALSE)),"",HLOOKUP(CaseName,CaseData,MATCH($G520,cases!$G$4:$G$2458,0),FALSE))</f>
        <v/>
      </c>
      <c r="K520" s="577">
        <f>L207+kdegP.a</f>
        <v>3.663258818281463E-10</v>
      </c>
      <c r="L520" s="298">
        <f t="shared" si="24"/>
        <v>3.663258818281463E-10</v>
      </c>
      <c r="M520" s="567" t="s">
        <v>1048</v>
      </c>
      <c r="N520" s="568"/>
      <c r="O520" s="605"/>
      <c r="P520" s="578"/>
      <c r="Q520" s="577"/>
      <c r="R520" s="386"/>
      <c r="S520" s="806"/>
      <c r="T520" s="386"/>
    </row>
    <row r="521" spans="1:20" customFormat="1" ht="12.75" customHeight="1" x14ac:dyDescent="0.2">
      <c r="A521" s="568" t="s">
        <v>1324</v>
      </c>
      <c r="B521" s="567"/>
      <c r="C521" s="567"/>
      <c r="D521" s="567"/>
      <c r="E521" s="567"/>
      <c r="F521" s="567"/>
      <c r="G521" s="568" t="s">
        <v>2498</v>
      </c>
      <c r="H521" s="568" t="s">
        <v>624</v>
      </c>
      <c r="I521" s="713"/>
      <c r="J521" s="294" t="str">
        <f>IF(ISBLANK(HLOOKUP(CaseName,CaseData,MATCH($G521,cases!$G$4:$G$2458,0),FALSE)),"",HLOOKUP(CaseName,CaseData,MATCH($G521,cases!$G$4:$G$2458,0),FALSE))</f>
        <v/>
      </c>
      <c r="K521" s="577">
        <f>kdegS.w0</f>
        <v>0</v>
      </c>
      <c r="L521" s="298">
        <f t="shared" si="24"/>
        <v>0</v>
      </c>
      <c r="M521" s="567" t="s">
        <v>1892</v>
      </c>
      <c r="N521" s="568"/>
      <c r="O521" s="605"/>
      <c r="P521" s="578"/>
      <c r="Q521" s="577"/>
      <c r="R521" s="386"/>
      <c r="S521" s="806"/>
      <c r="T521" s="386"/>
    </row>
    <row r="522" spans="1:20" customFormat="1" ht="12.75" customHeight="1" x14ac:dyDescent="0.2">
      <c r="A522" s="568" t="s">
        <v>1324</v>
      </c>
      <c r="B522" s="567"/>
      <c r="C522" s="567"/>
      <c r="D522" s="567"/>
      <c r="E522" s="567"/>
      <c r="F522" s="567"/>
      <c r="G522" s="568" t="s">
        <v>2499</v>
      </c>
      <c r="H522" s="568" t="s">
        <v>624</v>
      </c>
      <c r="I522" s="713"/>
      <c r="J522" s="294" t="str">
        <f>IF(ISBLANK(HLOOKUP(CaseName,CaseData,MATCH($G522,cases!$G$4:$G$2458,0),FALSE)),"",HLOOKUP(CaseName,CaseData,MATCH($G522,cases!$G$4:$G$2458,0),FALSE))</f>
        <v/>
      </c>
      <c r="K522" s="577">
        <f>kdegA.w0</f>
        <v>0</v>
      </c>
      <c r="L522" s="298">
        <f t="shared" si="24"/>
        <v>0</v>
      </c>
      <c r="M522" s="567" t="s">
        <v>1892</v>
      </c>
      <c r="N522" s="568"/>
      <c r="O522" s="605"/>
      <c r="P522" s="578"/>
      <c r="Q522" s="577"/>
      <c r="R522" s="386"/>
      <c r="S522" s="806"/>
      <c r="T522" s="386"/>
    </row>
    <row r="523" spans="1:20" customFormat="1" ht="12.75" customHeight="1" x14ac:dyDescent="0.2">
      <c r="A523" s="568" t="s">
        <v>1324</v>
      </c>
      <c r="B523" s="567"/>
      <c r="C523" s="567"/>
      <c r="D523" s="567"/>
      <c r="E523" s="567"/>
      <c r="F523" s="567"/>
      <c r="G523" s="568" t="s">
        <v>2500</v>
      </c>
      <c r="H523" s="568" t="s">
        <v>624</v>
      </c>
      <c r="I523" s="713"/>
      <c r="J523" s="294" t="str">
        <f>IF(ISBLANK(HLOOKUP(CaseName,CaseData,MATCH($G523,cases!$G$4:$G$2458,0),FALSE)),"",HLOOKUP(CaseName,CaseData,MATCH($G523,cases!$G$4:$G$2458,0),FALSE))</f>
        <v/>
      </c>
      <c r="K523" s="577">
        <f>kdegP.w0</f>
        <v>0</v>
      </c>
      <c r="L523" s="298">
        <f t="shared" si="24"/>
        <v>0</v>
      </c>
      <c r="M523" s="567" t="s">
        <v>1892</v>
      </c>
      <c r="N523" s="568"/>
      <c r="O523" s="605"/>
      <c r="P523" s="578"/>
      <c r="Q523" s="577"/>
      <c r="R523" s="386"/>
      <c r="S523" s="806"/>
      <c r="T523" s="386"/>
    </row>
    <row r="524" spans="1:20" customFormat="1" ht="12.75" customHeight="1" x14ac:dyDescent="0.2">
      <c r="A524" s="568" t="s">
        <v>1326</v>
      </c>
      <c r="B524" s="567"/>
      <c r="C524" s="567"/>
      <c r="D524" s="567"/>
      <c r="E524" s="567"/>
      <c r="F524" s="567"/>
      <c r="G524" s="568" t="s">
        <v>2501</v>
      </c>
      <c r="H524" s="568" t="s">
        <v>624</v>
      </c>
      <c r="I524" s="713"/>
      <c r="J524" s="294" t="str">
        <f>IF(ISBLANK(HLOOKUP(CaseName,CaseData,MATCH($G524,cases!$G$4:$G$2458,0),FALSE)),"",HLOOKUP(CaseName,CaseData,MATCH($G524,cases!$G$4:$G$2458,0),FALSE))</f>
        <v/>
      </c>
      <c r="K524" s="577">
        <f>kdegS.w1</f>
        <v>0</v>
      </c>
      <c r="L524" s="298">
        <f t="shared" si="24"/>
        <v>0</v>
      </c>
      <c r="M524" s="567" t="s">
        <v>1892</v>
      </c>
      <c r="N524" s="568"/>
      <c r="O524" s="605"/>
      <c r="P524" s="578"/>
      <c r="Q524" s="577"/>
      <c r="R524" s="386"/>
      <c r="S524" s="806"/>
      <c r="T524" s="386"/>
    </row>
    <row r="525" spans="1:20" customFormat="1" ht="12.75" customHeight="1" x14ac:dyDescent="0.2">
      <c r="A525" s="568" t="s">
        <v>1326</v>
      </c>
      <c r="B525" s="567"/>
      <c r="C525" s="567"/>
      <c r="D525" s="567"/>
      <c r="E525" s="567"/>
      <c r="F525" s="567"/>
      <c r="G525" s="568" t="s">
        <v>2502</v>
      </c>
      <c r="H525" s="568" t="s">
        <v>624</v>
      </c>
      <c r="I525" s="713"/>
      <c r="J525" s="294" t="str">
        <f>IF(ISBLANK(HLOOKUP(CaseName,CaseData,MATCH($G525,cases!$G$4:$G$2458,0),FALSE)),"",HLOOKUP(CaseName,CaseData,MATCH($G525,cases!$G$4:$G$2458,0),FALSE))</f>
        <v/>
      </c>
      <c r="K525" s="577">
        <f>kdegA.w1</f>
        <v>0</v>
      </c>
      <c r="L525" s="298">
        <f t="shared" si="24"/>
        <v>0</v>
      </c>
      <c r="M525" s="567" t="s">
        <v>1892</v>
      </c>
      <c r="N525" s="568"/>
      <c r="O525" s="605"/>
      <c r="P525" s="578"/>
      <c r="Q525" s="577"/>
      <c r="R525" s="386"/>
      <c r="S525" s="806"/>
      <c r="T525" s="386"/>
    </row>
    <row r="526" spans="1:20" customFormat="1" ht="12.75" customHeight="1" x14ac:dyDescent="0.2">
      <c r="A526" s="568" t="s">
        <v>1326</v>
      </c>
      <c r="B526" s="567"/>
      <c r="C526" s="567"/>
      <c r="D526" s="567"/>
      <c r="E526" s="567"/>
      <c r="F526" s="567"/>
      <c r="G526" s="568" t="s">
        <v>2503</v>
      </c>
      <c r="H526" s="568" t="s">
        <v>624</v>
      </c>
      <c r="I526" s="713"/>
      <c r="J526" s="294" t="str">
        <f>IF(ISBLANK(HLOOKUP(CaseName,CaseData,MATCH($G526,cases!$G$4:$G$2458,0),FALSE)),"",HLOOKUP(CaseName,CaseData,MATCH($G526,cases!$G$4:$G$2458,0),FALSE))</f>
        <v/>
      </c>
      <c r="K526" s="577">
        <f>kdegP.w1</f>
        <v>0</v>
      </c>
      <c r="L526" s="298">
        <f t="shared" si="24"/>
        <v>0</v>
      </c>
      <c r="M526" s="567" t="s">
        <v>1892</v>
      </c>
      <c r="N526" s="568"/>
      <c r="O526" s="605"/>
      <c r="P526" s="578"/>
      <c r="Q526" s="577"/>
      <c r="R526" s="386"/>
      <c r="S526" s="806"/>
      <c r="T526" s="386"/>
    </row>
    <row r="527" spans="1:20" customFormat="1" ht="12.75" customHeight="1" x14ac:dyDescent="0.2">
      <c r="A527" s="568" t="s">
        <v>1328</v>
      </c>
      <c r="B527" s="567"/>
      <c r="C527" s="567"/>
      <c r="D527" s="567"/>
      <c r="E527" s="567"/>
      <c r="F527" s="567"/>
      <c r="G527" s="568" t="s">
        <v>2504</v>
      </c>
      <c r="H527" s="568" t="s">
        <v>624</v>
      </c>
      <c r="I527" s="713"/>
      <c r="J527" s="294" t="str">
        <f>IF(ISBLANK(HLOOKUP(CaseName,CaseData,MATCH($G527,cases!$G$4:$G$2458,0),FALSE)),"",HLOOKUP(CaseName,CaseData,MATCH($G527,cases!$G$4:$G$2458,0),FALSE))</f>
        <v/>
      </c>
      <c r="K527" s="577">
        <f>kdegS.w2</f>
        <v>0</v>
      </c>
      <c r="L527" s="298">
        <f t="shared" si="24"/>
        <v>0</v>
      </c>
      <c r="M527" s="567" t="s">
        <v>1892</v>
      </c>
      <c r="N527" s="568"/>
      <c r="O527" s="605"/>
      <c r="P527" s="578"/>
      <c r="Q527" s="577"/>
      <c r="R527" s="386"/>
      <c r="S527" s="806"/>
      <c r="T527" s="386"/>
    </row>
    <row r="528" spans="1:20" customFormat="1" ht="12.75" customHeight="1" x14ac:dyDescent="0.2">
      <c r="A528" s="568" t="s">
        <v>1328</v>
      </c>
      <c r="B528" s="567"/>
      <c r="C528" s="567"/>
      <c r="D528" s="567"/>
      <c r="E528" s="567"/>
      <c r="F528" s="567"/>
      <c r="G528" s="568" t="s">
        <v>2505</v>
      </c>
      <c r="H528" s="568" t="s">
        <v>624</v>
      </c>
      <c r="I528" s="713"/>
      <c r="J528" s="294" t="str">
        <f>IF(ISBLANK(HLOOKUP(CaseName,CaseData,MATCH($G528,cases!$G$4:$G$2458,0),FALSE)),"",HLOOKUP(CaseName,CaseData,MATCH($G528,cases!$G$4:$G$2458,0),FALSE))</f>
        <v/>
      </c>
      <c r="K528" s="577">
        <f>kdegA.w2</f>
        <v>0</v>
      </c>
      <c r="L528" s="298">
        <f t="shared" si="24"/>
        <v>0</v>
      </c>
      <c r="M528" s="567" t="s">
        <v>1892</v>
      </c>
      <c r="N528" s="568"/>
      <c r="O528" s="605"/>
      <c r="P528" s="578"/>
      <c r="Q528" s="577"/>
      <c r="R528" s="386"/>
      <c r="S528" s="806"/>
      <c r="T528" s="386"/>
    </row>
    <row r="529" spans="1:20" customFormat="1" ht="12.75" customHeight="1" x14ac:dyDescent="0.2">
      <c r="A529" s="568" t="s">
        <v>1328</v>
      </c>
      <c r="B529" s="567"/>
      <c r="C529" s="567"/>
      <c r="D529" s="567"/>
      <c r="E529" s="567"/>
      <c r="F529" s="567"/>
      <c r="G529" s="568" t="s">
        <v>2506</v>
      </c>
      <c r="H529" s="568" t="s">
        <v>624</v>
      </c>
      <c r="I529" s="713"/>
      <c r="J529" s="294" t="str">
        <f>IF(ISBLANK(HLOOKUP(CaseName,CaseData,MATCH($G529,cases!$G$4:$G$2458,0),FALSE)),"",HLOOKUP(CaseName,CaseData,MATCH($G529,cases!$G$4:$G$2458,0),FALSE))</f>
        <v/>
      </c>
      <c r="K529" s="577">
        <f>kdegP.w2</f>
        <v>0</v>
      </c>
      <c r="L529" s="298">
        <f t="shared" si="24"/>
        <v>0</v>
      </c>
      <c r="M529" s="567" t="s">
        <v>1892</v>
      </c>
      <c r="N529" s="568"/>
      <c r="O529" s="605"/>
      <c r="P529" s="578"/>
      <c r="Q529" s="577"/>
      <c r="R529" s="386"/>
      <c r="S529" s="806"/>
      <c r="T529" s="386"/>
    </row>
    <row r="530" spans="1:20" customFormat="1" ht="12.75" customHeight="1" x14ac:dyDescent="0.2">
      <c r="A530" s="568" t="s">
        <v>1330</v>
      </c>
      <c r="B530" s="567"/>
      <c r="C530" s="567"/>
      <c r="D530" s="567"/>
      <c r="E530" s="567"/>
      <c r="F530" s="567"/>
      <c r="G530" s="568" t="s">
        <v>2507</v>
      </c>
      <c r="H530" s="568" t="s">
        <v>624</v>
      </c>
      <c r="I530" s="713"/>
      <c r="J530" s="294" t="str">
        <f>IF(ISBLANK(HLOOKUP(CaseName,CaseData,MATCH($G530,cases!$G$4:$G$2458,0),FALSE)),"",HLOOKUP(CaseName,CaseData,MATCH($G530,cases!$G$4:$G$2458,0),FALSE))</f>
        <v/>
      </c>
      <c r="K530" s="577">
        <f>L551+kdegS.sd0</f>
        <v>2.8742283951535594E-9</v>
      </c>
      <c r="L530" s="298">
        <f t="shared" si="24"/>
        <v>2.8742283951535594E-9</v>
      </c>
      <c r="M530" s="567" t="s">
        <v>1892</v>
      </c>
      <c r="N530" s="568"/>
      <c r="O530" s="605"/>
      <c r="P530" s="578"/>
      <c r="Q530" s="577"/>
      <c r="R530" s="386"/>
      <c r="S530" s="806"/>
      <c r="T530" s="386"/>
    </row>
    <row r="531" spans="1:20" customFormat="1" ht="12.75" customHeight="1" x14ac:dyDescent="0.2">
      <c r="A531" s="568" t="s">
        <v>1330</v>
      </c>
      <c r="B531" s="567"/>
      <c r="C531" s="567"/>
      <c r="D531" s="567"/>
      <c r="E531" s="567"/>
      <c r="F531" s="567"/>
      <c r="G531" s="568" t="s">
        <v>2508</v>
      </c>
      <c r="H531" s="568" t="s">
        <v>624</v>
      </c>
      <c r="I531" s="713"/>
      <c r="J531" s="294" t="str">
        <f>IF(ISBLANK(HLOOKUP(CaseName,CaseData,MATCH($G531,cases!$G$4:$G$2458,0),FALSE)),"",HLOOKUP(CaseName,CaseData,MATCH($G531,cases!$G$4:$G$2458,0),FALSE))</f>
        <v/>
      </c>
      <c r="K531" s="577">
        <f>L551+kdegA.sd0</f>
        <v>2.8742283951535594E-9</v>
      </c>
      <c r="L531" s="298">
        <f t="shared" si="24"/>
        <v>2.8742283951535594E-9</v>
      </c>
      <c r="M531" s="567" t="s">
        <v>1892</v>
      </c>
      <c r="N531" s="568"/>
      <c r="O531" s="605"/>
      <c r="P531" s="578"/>
      <c r="Q531" s="577"/>
      <c r="R531" s="386"/>
      <c r="S531" s="806"/>
      <c r="T531" s="386"/>
    </row>
    <row r="532" spans="1:20" customFormat="1" ht="12.75" customHeight="1" x14ac:dyDescent="0.2">
      <c r="A532" s="568" t="s">
        <v>1330</v>
      </c>
      <c r="B532" s="567"/>
      <c r="C532" s="567"/>
      <c r="D532" s="567"/>
      <c r="E532" s="567"/>
      <c r="F532" s="567"/>
      <c r="G532" s="568" t="s">
        <v>2509</v>
      </c>
      <c r="H532" s="568" t="s">
        <v>624</v>
      </c>
      <c r="I532" s="713"/>
      <c r="J532" s="294" t="str">
        <f>IF(ISBLANK(HLOOKUP(CaseName,CaseData,MATCH($G532,cases!$G$4:$G$2458,0),FALSE)),"",HLOOKUP(CaseName,CaseData,MATCH($G532,cases!$G$4:$G$2458,0),FALSE))</f>
        <v/>
      </c>
      <c r="K532" s="577">
        <f>L551+kdegP.sd0</f>
        <v>2.8742283951535594E-9</v>
      </c>
      <c r="L532" s="298">
        <f t="shared" si="24"/>
        <v>2.8742283951535594E-9</v>
      </c>
      <c r="M532" s="567" t="s">
        <v>1892</v>
      </c>
      <c r="N532" s="568"/>
      <c r="O532" s="605"/>
      <c r="P532" s="578"/>
      <c r="Q532" s="577"/>
      <c r="R532" s="386"/>
      <c r="S532" s="806"/>
      <c r="T532" s="386"/>
    </row>
    <row r="533" spans="1:20" customFormat="1" ht="12.75" customHeight="1" x14ac:dyDescent="0.2">
      <c r="A533" s="568" t="s">
        <v>1332</v>
      </c>
      <c r="B533" s="567"/>
      <c r="C533" s="567"/>
      <c r="D533" s="567"/>
      <c r="E533" s="567"/>
      <c r="F533" s="567"/>
      <c r="G533" s="568" t="s">
        <v>2510</v>
      </c>
      <c r="H533" s="568" t="s">
        <v>624</v>
      </c>
      <c r="I533" s="713"/>
      <c r="J533" s="294" t="str">
        <f>IF(ISBLANK(HLOOKUP(CaseName,CaseData,MATCH($G533,cases!$G$4:$G$2458,0),FALSE)),"",HLOOKUP(CaseName,CaseData,MATCH($G533,cases!$G$4:$G$2458,0),FALSE))</f>
        <v/>
      </c>
      <c r="K533" s="577">
        <f>L552+kdegS.sd1</f>
        <v>2.8742283951535594E-9</v>
      </c>
      <c r="L533" s="298">
        <f t="shared" si="24"/>
        <v>2.8742283951535594E-9</v>
      </c>
      <c r="M533" s="567" t="s">
        <v>1892</v>
      </c>
      <c r="N533" s="568"/>
      <c r="O533" s="605"/>
      <c r="P533" s="578"/>
      <c r="Q533" s="577"/>
      <c r="R533" s="386"/>
      <c r="S533" s="806"/>
      <c r="T533" s="386"/>
    </row>
    <row r="534" spans="1:20" customFormat="1" ht="12.75" customHeight="1" x14ac:dyDescent="0.2">
      <c r="A534" s="568" t="s">
        <v>1332</v>
      </c>
      <c r="B534" s="567"/>
      <c r="C534" s="567"/>
      <c r="D534" s="567"/>
      <c r="E534" s="567"/>
      <c r="F534" s="567"/>
      <c r="G534" s="568" t="s">
        <v>2511</v>
      </c>
      <c r="H534" s="568" t="s">
        <v>624</v>
      </c>
      <c r="I534" s="713"/>
      <c r="J534" s="294" t="str">
        <f>IF(ISBLANK(HLOOKUP(CaseName,CaseData,MATCH($G534,cases!$G$4:$G$2458,0),FALSE)),"",HLOOKUP(CaseName,CaseData,MATCH($G534,cases!$G$4:$G$2458,0),FALSE))</f>
        <v/>
      </c>
      <c r="K534" s="577">
        <f>L552+kdegA.sd1</f>
        <v>2.8742283951535594E-9</v>
      </c>
      <c r="L534" s="298">
        <f t="shared" si="24"/>
        <v>2.8742283951535594E-9</v>
      </c>
      <c r="M534" s="567" t="s">
        <v>1892</v>
      </c>
      <c r="N534" s="568"/>
      <c r="O534" s="605"/>
      <c r="P534" s="578"/>
      <c r="Q534" s="577"/>
      <c r="R534" s="386"/>
      <c r="S534" s="806"/>
      <c r="T534" s="386"/>
    </row>
    <row r="535" spans="1:20" customFormat="1" ht="12.75" customHeight="1" x14ac:dyDescent="0.2">
      <c r="A535" s="568" t="s">
        <v>1332</v>
      </c>
      <c r="B535" s="567"/>
      <c r="C535" s="567"/>
      <c r="D535" s="567"/>
      <c r="E535" s="567"/>
      <c r="F535" s="567"/>
      <c r="G535" s="568" t="s">
        <v>2512</v>
      </c>
      <c r="H535" s="568" t="s">
        <v>624</v>
      </c>
      <c r="I535" s="713"/>
      <c r="J535" s="294" t="str">
        <f>IF(ISBLANK(HLOOKUP(CaseName,CaseData,MATCH($G535,cases!$G$4:$G$2458,0),FALSE)),"",HLOOKUP(CaseName,CaseData,MATCH($G535,cases!$G$4:$G$2458,0),FALSE))</f>
        <v/>
      </c>
      <c r="K535" s="577">
        <f>L552+kdegP.sd1</f>
        <v>2.8742283951535594E-9</v>
      </c>
      <c r="L535" s="298">
        <f t="shared" si="24"/>
        <v>2.8742283951535594E-9</v>
      </c>
      <c r="M535" s="567" t="s">
        <v>1892</v>
      </c>
      <c r="N535" s="568"/>
      <c r="O535" s="605"/>
      <c r="P535" s="578"/>
      <c r="Q535" s="577"/>
      <c r="R535" s="386"/>
      <c r="S535" s="806"/>
      <c r="T535" s="386"/>
    </row>
    <row r="536" spans="1:20" customFormat="1" ht="12.75" customHeight="1" x14ac:dyDescent="0.2">
      <c r="A536" s="568" t="s">
        <v>1334</v>
      </c>
      <c r="B536" s="567"/>
      <c r="C536" s="567"/>
      <c r="D536" s="567"/>
      <c r="E536" s="567"/>
      <c r="F536" s="567"/>
      <c r="G536" s="568" t="s">
        <v>2513</v>
      </c>
      <c r="H536" s="568" t="s">
        <v>624</v>
      </c>
      <c r="I536" s="713"/>
      <c r="J536" s="294" t="str">
        <f>IF(ISBLANK(HLOOKUP(CaseName,CaseData,MATCH($G536,cases!$G$4:$G$2458,0),FALSE)),"",HLOOKUP(CaseName,CaseData,MATCH($G536,cases!$G$4:$G$2458,0),FALSE))</f>
        <v/>
      </c>
      <c r="K536" s="577">
        <f>L553+kdegS.sd2</f>
        <v>9.1333333333333338E-10</v>
      </c>
      <c r="L536" s="298">
        <f t="shared" si="24"/>
        <v>9.1333333333333338E-10</v>
      </c>
      <c r="M536" s="567" t="s">
        <v>1892</v>
      </c>
      <c r="N536" s="568"/>
      <c r="O536" s="605"/>
      <c r="P536" s="578"/>
      <c r="Q536" s="577"/>
      <c r="R536" s="386"/>
      <c r="S536" s="806"/>
      <c r="T536" s="386"/>
    </row>
    <row r="537" spans="1:20" customFormat="1" ht="12.75" customHeight="1" x14ac:dyDescent="0.2">
      <c r="A537" s="568" t="s">
        <v>1334</v>
      </c>
      <c r="B537" s="567"/>
      <c r="C537" s="567"/>
      <c r="D537" s="567"/>
      <c r="E537" s="567"/>
      <c r="F537" s="567"/>
      <c r="G537" s="568" t="s">
        <v>2514</v>
      </c>
      <c r="H537" s="568" t="s">
        <v>624</v>
      </c>
      <c r="I537" s="713"/>
      <c r="J537" s="294" t="str">
        <f>IF(ISBLANK(HLOOKUP(CaseName,CaseData,MATCH($G537,cases!$G$4:$G$2458,0),FALSE)),"",HLOOKUP(CaseName,CaseData,MATCH($G537,cases!$G$4:$G$2458,0),FALSE))</f>
        <v/>
      </c>
      <c r="K537" s="577">
        <f>L553+kdegA.sd2</f>
        <v>9.1333333333333338E-10</v>
      </c>
      <c r="L537" s="298">
        <f t="shared" si="24"/>
        <v>9.1333333333333338E-10</v>
      </c>
      <c r="M537" s="567" t="s">
        <v>1892</v>
      </c>
      <c r="N537" s="568"/>
      <c r="O537" s="605"/>
      <c r="P537" s="578"/>
      <c r="Q537" s="577"/>
      <c r="R537" s="386"/>
      <c r="S537" s="806"/>
      <c r="T537" s="386"/>
    </row>
    <row r="538" spans="1:20" customFormat="1" ht="12.75" customHeight="1" x14ac:dyDescent="0.2">
      <c r="A538" s="568" t="s">
        <v>1334</v>
      </c>
      <c r="B538" s="567"/>
      <c r="C538" s="567"/>
      <c r="D538" s="567"/>
      <c r="E538" s="567"/>
      <c r="F538" s="567"/>
      <c r="G538" s="568" t="s">
        <v>2515</v>
      </c>
      <c r="H538" s="568" t="s">
        <v>624</v>
      </c>
      <c r="I538" s="713"/>
      <c r="J538" s="294" t="str">
        <f>IF(ISBLANK(HLOOKUP(CaseName,CaseData,MATCH($G538,cases!$G$4:$G$2458,0),FALSE)),"",HLOOKUP(CaseName,CaseData,MATCH($G538,cases!$G$4:$G$2458,0),FALSE))</f>
        <v/>
      </c>
      <c r="K538" s="577">
        <f>L553+kdegP.sd2</f>
        <v>9.1333333333333338E-10</v>
      </c>
      <c r="L538" s="298">
        <f t="shared" si="24"/>
        <v>9.1333333333333338E-10</v>
      </c>
      <c r="M538" s="567" t="s">
        <v>1892</v>
      </c>
      <c r="N538" s="568"/>
      <c r="O538" s="605"/>
      <c r="P538" s="578"/>
      <c r="Q538" s="577"/>
      <c r="R538" s="386"/>
      <c r="S538" s="806"/>
      <c r="T538" s="386"/>
    </row>
    <row r="539" spans="1:20" customFormat="1" ht="12.75" customHeight="1" x14ac:dyDescent="0.2">
      <c r="A539" s="568" t="s">
        <v>1336</v>
      </c>
      <c r="B539" s="567"/>
      <c r="C539" s="567"/>
      <c r="D539" s="567"/>
      <c r="E539" s="567"/>
      <c r="F539" s="567"/>
      <c r="G539" s="568" t="s">
        <v>2516</v>
      </c>
      <c r="H539" s="568" t="s">
        <v>624</v>
      </c>
      <c r="I539" s="713"/>
      <c r="J539" s="294" t="str">
        <f>IF(ISBLANK(HLOOKUP(CaseName,CaseData,MATCH($G539,cases!$G$4:$G$2458,0),FALSE)),"",HLOOKUP(CaseName,CaseData,MATCH($G539,cases!$G$4:$G$2458,0),FALSE))</f>
        <v/>
      </c>
      <c r="K539" s="577">
        <f>L548+kdegS.s1</f>
        <v>9.5027244249711473E-10</v>
      </c>
      <c r="L539" s="298">
        <f t="shared" si="24"/>
        <v>9.5027244249711473E-10</v>
      </c>
      <c r="M539" s="567" t="s">
        <v>1892</v>
      </c>
      <c r="N539" s="568"/>
      <c r="O539" s="605"/>
      <c r="P539" s="578"/>
      <c r="Q539" s="577"/>
      <c r="R539" s="386"/>
      <c r="S539" s="806"/>
      <c r="T539" s="386"/>
    </row>
    <row r="540" spans="1:20" customFormat="1" ht="12.75" customHeight="1" x14ac:dyDescent="0.2">
      <c r="A540" s="568" t="s">
        <v>1336</v>
      </c>
      <c r="B540" s="567"/>
      <c r="C540" s="567"/>
      <c r="D540" s="567"/>
      <c r="E540" s="567"/>
      <c r="F540" s="567"/>
      <c r="G540" s="568" t="s">
        <v>2517</v>
      </c>
      <c r="H540" s="568" t="s">
        <v>624</v>
      </c>
      <c r="I540" s="713"/>
      <c r="J540" s="294" t="str">
        <f>IF(ISBLANK(HLOOKUP(CaseName,CaseData,MATCH($G540,cases!$G$4:$G$2458,0),FALSE)),"",HLOOKUP(CaseName,CaseData,MATCH($G540,cases!$G$4:$G$2458,0),FALSE))</f>
        <v/>
      </c>
      <c r="K540" s="577">
        <f>L548+kdegA.s1</f>
        <v>9.5027244249711473E-10</v>
      </c>
      <c r="L540" s="298">
        <f t="shared" si="24"/>
        <v>9.5027244249711473E-10</v>
      </c>
      <c r="M540" s="567" t="s">
        <v>1892</v>
      </c>
      <c r="N540" s="568"/>
      <c r="O540" s="605"/>
      <c r="P540" s="578"/>
      <c r="Q540" s="577"/>
      <c r="R540" s="386"/>
      <c r="S540" s="806"/>
      <c r="T540" s="386"/>
    </row>
    <row r="541" spans="1:20" customFormat="1" ht="12.75" customHeight="1" x14ac:dyDescent="0.2">
      <c r="A541" s="568" t="s">
        <v>1336</v>
      </c>
      <c r="B541" s="567"/>
      <c r="C541" s="567"/>
      <c r="D541" s="567"/>
      <c r="E541" s="567"/>
      <c r="F541" s="567"/>
      <c r="G541" s="568" t="s">
        <v>2518</v>
      </c>
      <c r="H541" s="568" t="s">
        <v>624</v>
      </c>
      <c r="I541" s="713"/>
      <c r="J541" s="294" t="str">
        <f>IF(ISBLANK(HLOOKUP(CaseName,CaseData,MATCH($G541,cases!$G$4:$G$2458,0),FALSE)),"",HLOOKUP(CaseName,CaseData,MATCH($G541,cases!$G$4:$G$2458,0),FALSE))</f>
        <v/>
      </c>
      <c r="K541" s="577">
        <f>kdegP.s1</f>
        <v>0</v>
      </c>
      <c r="L541" s="298">
        <f t="shared" si="24"/>
        <v>0</v>
      </c>
      <c r="M541" s="567" t="s">
        <v>1892</v>
      </c>
      <c r="N541" s="568"/>
      <c r="O541" s="605"/>
      <c r="P541" s="578"/>
      <c r="Q541" s="577"/>
      <c r="R541" s="386"/>
      <c r="S541" s="806"/>
      <c r="T541" s="386"/>
    </row>
    <row r="542" spans="1:20" customFormat="1" ht="12.75" customHeight="1" x14ac:dyDescent="0.2">
      <c r="A542" s="568" t="s">
        <v>1338</v>
      </c>
      <c r="B542" s="567"/>
      <c r="C542" s="567"/>
      <c r="D542" s="567"/>
      <c r="E542" s="567"/>
      <c r="F542" s="567"/>
      <c r="G542" s="568" t="s">
        <v>2519</v>
      </c>
      <c r="H542" s="568" t="s">
        <v>624</v>
      </c>
      <c r="I542" s="713"/>
      <c r="J542" s="294" t="str">
        <f>IF(ISBLANK(HLOOKUP(CaseName,CaseData,MATCH($G542,cases!$G$4:$G$2458,0),FALSE)),"",HLOOKUP(CaseName,CaseData,MATCH($G542,cases!$G$4:$G$2458,0),FALSE))</f>
        <v/>
      </c>
      <c r="K542" s="577">
        <f>L549+kdegS.s2</f>
        <v>4.3242549833905347E-10</v>
      </c>
      <c r="L542" s="298">
        <f t="shared" si="24"/>
        <v>4.3242549833905347E-10</v>
      </c>
      <c r="M542" s="567" t="s">
        <v>1892</v>
      </c>
      <c r="N542" s="568"/>
      <c r="O542" s="605"/>
      <c r="P542" s="578"/>
      <c r="Q542" s="577"/>
      <c r="R542" s="386"/>
      <c r="S542" s="806"/>
      <c r="T542" s="386"/>
    </row>
    <row r="543" spans="1:20" customFormat="1" ht="12.75" customHeight="1" x14ac:dyDescent="0.2">
      <c r="A543" s="568" t="s">
        <v>1338</v>
      </c>
      <c r="B543" s="567"/>
      <c r="C543" s="567"/>
      <c r="D543" s="567"/>
      <c r="E543" s="567"/>
      <c r="F543" s="567"/>
      <c r="G543" s="568" t="s">
        <v>2520</v>
      </c>
      <c r="H543" s="568" t="s">
        <v>624</v>
      </c>
      <c r="I543" s="713"/>
      <c r="J543" s="294" t="str">
        <f>IF(ISBLANK(HLOOKUP(CaseName,CaseData,MATCH($G543,cases!$G$4:$G$2458,0),FALSE)),"",HLOOKUP(CaseName,CaseData,MATCH($G543,cases!$G$4:$G$2458,0),FALSE))</f>
        <v/>
      </c>
      <c r="K543" s="577">
        <f>L549+kdegA.s2</f>
        <v>4.3242549833905347E-10</v>
      </c>
      <c r="L543" s="298">
        <f t="shared" si="24"/>
        <v>4.3242549833905347E-10</v>
      </c>
      <c r="M543" s="567" t="s">
        <v>1892</v>
      </c>
      <c r="N543" s="568"/>
      <c r="O543" s="605"/>
      <c r="P543" s="578"/>
      <c r="Q543" s="577"/>
      <c r="R543" s="386"/>
      <c r="S543" s="806"/>
      <c r="T543" s="386"/>
    </row>
    <row r="544" spans="1:20" customFormat="1" ht="12.75" customHeight="1" x14ac:dyDescent="0.2">
      <c r="A544" s="568" t="s">
        <v>1338</v>
      </c>
      <c r="B544" s="567"/>
      <c r="C544" s="567"/>
      <c r="D544" s="567"/>
      <c r="E544" s="567"/>
      <c r="F544" s="567"/>
      <c r="G544" s="568" t="s">
        <v>2521</v>
      </c>
      <c r="H544" s="568" t="s">
        <v>624</v>
      </c>
      <c r="I544" s="713"/>
      <c r="J544" s="294" t="str">
        <f>IF(ISBLANK(HLOOKUP(CaseName,CaseData,MATCH($G544,cases!$G$4:$G$2458,0),FALSE)),"",HLOOKUP(CaseName,CaseData,MATCH($G544,cases!$G$4:$G$2458,0),FALSE))</f>
        <v/>
      </c>
      <c r="K544" s="577">
        <f>kdegP.s2</f>
        <v>0</v>
      </c>
      <c r="L544" s="298">
        <f t="shared" si="24"/>
        <v>0</v>
      </c>
      <c r="M544" s="567" t="s">
        <v>1892</v>
      </c>
      <c r="N544" s="568"/>
      <c r="O544" s="605"/>
      <c r="P544" s="578"/>
      <c r="Q544" s="577"/>
      <c r="R544" s="386"/>
      <c r="S544" s="806"/>
      <c r="T544" s="386"/>
    </row>
    <row r="545" spans="1:20" customFormat="1" ht="12.75" customHeight="1" x14ac:dyDescent="0.2">
      <c r="A545" s="568" t="s">
        <v>1340</v>
      </c>
      <c r="B545" s="567"/>
      <c r="C545" s="567"/>
      <c r="D545" s="567"/>
      <c r="E545" s="567"/>
      <c r="F545" s="567"/>
      <c r="G545" s="568" t="s">
        <v>2522</v>
      </c>
      <c r="H545" s="568" t="s">
        <v>624</v>
      </c>
      <c r="I545" s="713"/>
      <c r="J545" s="294" t="str">
        <f>IF(ISBLANK(HLOOKUP(CaseName,CaseData,MATCH($G545,cases!$G$4:$G$2458,0),FALSE)),"",HLOOKUP(CaseName,CaseData,MATCH($G545,cases!$G$4:$G$2458,0),FALSE))</f>
        <v/>
      </c>
      <c r="K545" s="577">
        <f>L550+kdegS.s3</f>
        <v>9.5027244249711473E-10</v>
      </c>
      <c r="L545" s="298">
        <f t="shared" si="24"/>
        <v>9.5027244249711473E-10</v>
      </c>
      <c r="M545" s="567" t="s">
        <v>1892</v>
      </c>
      <c r="N545" s="568"/>
      <c r="O545" s="605"/>
      <c r="P545" s="578"/>
      <c r="Q545" s="577"/>
      <c r="R545" s="386"/>
      <c r="S545" s="806"/>
      <c r="T545" s="386"/>
    </row>
    <row r="546" spans="1:20" customFormat="1" ht="12.75" customHeight="1" x14ac:dyDescent="0.2">
      <c r="A546" s="568" t="s">
        <v>1340</v>
      </c>
      <c r="B546" s="567"/>
      <c r="C546" s="567"/>
      <c r="D546" s="567"/>
      <c r="E546" s="567"/>
      <c r="F546" s="567"/>
      <c r="G546" s="568" t="s">
        <v>2523</v>
      </c>
      <c r="H546" s="568" t="s">
        <v>624</v>
      </c>
      <c r="I546" s="713"/>
      <c r="J546" s="294" t="str">
        <f>IF(ISBLANK(HLOOKUP(CaseName,CaseData,MATCH($G546,cases!$G$4:$G$2458,0),FALSE)),"",HLOOKUP(CaseName,CaseData,MATCH($G546,cases!$G$4:$G$2458,0),FALSE))</f>
        <v/>
      </c>
      <c r="K546" s="577">
        <f>L550+kdegA.s3</f>
        <v>9.5027244249711473E-10</v>
      </c>
      <c r="L546" s="298">
        <f t="shared" si="24"/>
        <v>9.5027244249711473E-10</v>
      </c>
      <c r="M546" s="567" t="s">
        <v>1892</v>
      </c>
      <c r="N546" s="568"/>
      <c r="O546" s="605"/>
      <c r="P546" s="578"/>
      <c r="Q546" s="577"/>
      <c r="R546" s="386"/>
      <c r="S546" s="806"/>
      <c r="T546" s="386"/>
    </row>
    <row r="547" spans="1:20" customFormat="1" ht="12.75" customHeight="1" x14ac:dyDescent="0.2">
      <c r="A547" s="568" t="s">
        <v>1340</v>
      </c>
      <c r="B547" s="567"/>
      <c r="C547" s="567"/>
      <c r="D547" s="567"/>
      <c r="E547" s="567"/>
      <c r="F547" s="567"/>
      <c r="G547" s="568" t="s">
        <v>2524</v>
      </c>
      <c r="H547" s="568" t="s">
        <v>624</v>
      </c>
      <c r="I547" s="713"/>
      <c r="J547" s="294" t="str">
        <f>IF(ISBLANK(HLOOKUP(CaseName,CaseData,MATCH($G547,cases!$G$4:$G$2458,0),FALSE)),"",HLOOKUP(CaseName,CaseData,MATCH($G547,cases!$G$4:$G$2458,0),FALSE))</f>
        <v/>
      </c>
      <c r="K547" s="577">
        <f>kdegP.s3</f>
        <v>0</v>
      </c>
      <c r="L547" s="298">
        <f t="shared" si="24"/>
        <v>0</v>
      </c>
      <c r="M547" s="567" t="s">
        <v>1892</v>
      </c>
      <c r="N547" s="568"/>
      <c r="O547" s="605"/>
      <c r="P547" s="578"/>
      <c r="Q547" s="577"/>
      <c r="R547" s="386"/>
      <c r="S547" s="806"/>
      <c r="T547" s="386"/>
    </row>
    <row r="548" spans="1:20" customFormat="1" ht="12.75" customHeight="1" x14ac:dyDescent="0.2">
      <c r="A548" s="567"/>
      <c r="B548" s="567" t="s">
        <v>1919</v>
      </c>
      <c r="C548" s="567"/>
      <c r="D548" s="567"/>
      <c r="E548" s="567"/>
      <c r="F548" s="567"/>
      <c r="G548" s="568" t="s">
        <v>2525</v>
      </c>
      <c r="H548" s="568" t="s">
        <v>340</v>
      </c>
      <c r="I548" s="713"/>
      <c r="J548" s="294" t="str">
        <f>IF(ISBLANK(HLOOKUP(CaseName,CaseData,MATCH($G548,cases!$G$4:$G$2458,0),FALSE)),"",HLOOKUP(CaseName,CaseData,MATCH($G548,cases!$G$4:$G$2458,0),FALSE))</f>
        <v/>
      </c>
      <c r="K548" s="577">
        <f>(L224*RAINrate.C*L227)/L30</f>
        <v>9.5027244249711473E-10</v>
      </c>
      <c r="L548" s="298">
        <f t="shared" si="24"/>
        <v>9.5027244249711473E-10</v>
      </c>
      <c r="M548" s="567" t="s">
        <v>1892</v>
      </c>
      <c r="N548" s="567" t="s">
        <v>1921</v>
      </c>
      <c r="O548" s="605"/>
      <c r="P548" s="567"/>
    </row>
    <row r="549" spans="1:20" customFormat="1" ht="12.75" customHeight="1" x14ac:dyDescent="0.2">
      <c r="A549" s="567"/>
      <c r="B549" s="567" t="s">
        <v>1922</v>
      </c>
      <c r="C549" s="567"/>
      <c r="D549" s="567"/>
      <c r="E549" s="567"/>
      <c r="F549" s="567"/>
      <c r="G549" s="568" t="s">
        <v>2526</v>
      </c>
      <c r="H549" s="568" t="s">
        <v>340</v>
      </c>
      <c r="I549" s="713"/>
      <c r="J549" s="294" t="str">
        <f>IF(ISBLANK(HLOOKUP(CaseName,CaseData,MATCH($G549,cases!$G$4:$G$2458,0),FALSE)),"",HLOOKUP(CaseName,CaseData,MATCH($G549,cases!$G$4:$G$2458,0),FALSE))</f>
        <v/>
      </c>
      <c r="K549" s="577">
        <f>(L225*RAINrate.C*L228)/L31</f>
        <v>4.3242549833905347E-10</v>
      </c>
      <c r="L549" s="298">
        <f t="shared" si="24"/>
        <v>4.3242549833905347E-10</v>
      </c>
      <c r="M549" s="567" t="s">
        <v>1892</v>
      </c>
      <c r="N549" s="567" t="s">
        <v>1921</v>
      </c>
      <c r="O549" s="605"/>
      <c r="P549" s="567"/>
    </row>
    <row r="550" spans="1:20" customFormat="1" ht="12.75" customHeight="1" x14ac:dyDescent="0.2">
      <c r="A550" s="567"/>
      <c r="B550" s="567" t="s">
        <v>1924</v>
      </c>
      <c r="C550" s="567"/>
      <c r="D550" s="567"/>
      <c r="E550" s="567"/>
      <c r="F550" s="567"/>
      <c r="G550" s="568" t="s">
        <v>2527</v>
      </c>
      <c r="H550" s="568" t="s">
        <v>340</v>
      </c>
      <c r="I550" s="713"/>
      <c r="J550" s="294" t="str">
        <f>IF(ISBLANK(HLOOKUP(CaseName,CaseData,MATCH($G550,cases!$G$4:$G$2458,0),FALSE)),"",HLOOKUP(CaseName,CaseData,MATCH($G550,cases!$G$4:$G$2458,0),FALSE))</f>
        <v/>
      </c>
      <c r="K550" s="577">
        <f>(L226*RAINrate.C*L229)/L32</f>
        <v>9.5027244249711473E-10</v>
      </c>
      <c r="L550" s="298">
        <f t="shared" si="24"/>
        <v>9.5027244249711473E-10</v>
      </c>
      <c r="M550" s="567" t="s">
        <v>1892</v>
      </c>
      <c r="N550" s="567" t="s">
        <v>1921</v>
      </c>
      <c r="O550" s="605"/>
      <c r="P550" s="567"/>
    </row>
    <row r="551" spans="1:20" customFormat="1" ht="12.75" customHeight="1" x14ac:dyDescent="0.2">
      <c r="A551" s="567"/>
      <c r="B551" s="567" t="s">
        <v>1926</v>
      </c>
      <c r="C551" s="567"/>
      <c r="D551" s="567"/>
      <c r="E551" s="567"/>
      <c r="F551" s="567"/>
      <c r="G551" s="568" t="s">
        <v>2528</v>
      </c>
      <c r="H551" s="568" t="s">
        <v>340</v>
      </c>
      <c r="I551" s="713"/>
      <c r="J551" s="294" t="str">
        <f>IF(ISBLANK(HLOOKUP(CaseName,CaseData,MATCH($G551,cases!$G$4:$G$2458,0),FALSE)),"",HLOOKUP(CaseName,CaseData,MATCH($G551,cases!$G$4:$G$2458,0),FALSE))</f>
        <v/>
      </c>
      <c r="K551" s="577">
        <f>L170/L27</f>
        <v>2.8742283951535594E-9</v>
      </c>
      <c r="L551" s="298">
        <f t="shared" si="24"/>
        <v>2.8742283951535594E-9</v>
      </c>
      <c r="M551" s="567" t="s">
        <v>1892</v>
      </c>
      <c r="N551" s="567" t="s">
        <v>1928</v>
      </c>
      <c r="O551" s="605"/>
      <c r="P551" s="567"/>
    </row>
    <row r="552" spans="1:20" customFormat="1" ht="12.75" customHeight="1" x14ac:dyDescent="0.2">
      <c r="A552" s="567"/>
      <c r="B552" s="567" t="s">
        <v>1929</v>
      </c>
      <c r="C552" s="567"/>
      <c r="D552" s="567"/>
      <c r="E552" s="567"/>
      <c r="F552" s="567"/>
      <c r="G552" s="568" t="s">
        <v>2529</v>
      </c>
      <c r="H552" s="568" t="s">
        <v>340</v>
      </c>
      <c r="I552" s="713"/>
      <c r="J552" s="294" t="str">
        <f>IF(ISBLANK(HLOOKUP(CaseName,CaseData,MATCH($G552,cases!$G$4:$G$2458,0),FALSE)),"",HLOOKUP(CaseName,CaseData,MATCH($G552,cases!$G$4:$G$2458,0),FALSE))</f>
        <v/>
      </c>
      <c r="K552" s="577">
        <f>L171/L28</f>
        <v>2.8742283951535594E-9</v>
      </c>
      <c r="L552" s="298">
        <f t="shared" si="24"/>
        <v>2.8742283951535594E-9</v>
      </c>
      <c r="M552" s="567" t="s">
        <v>1892</v>
      </c>
      <c r="N552" s="567" t="s">
        <v>1928</v>
      </c>
      <c r="O552" s="605"/>
      <c r="P552" s="567"/>
    </row>
    <row r="553" spans="1:20" customFormat="1" ht="12.75" customHeight="1" x14ac:dyDescent="0.2">
      <c r="A553" s="567"/>
      <c r="B553" s="567" t="s">
        <v>1931</v>
      </c>
      <c r="C553" s="567"/>
      <c r="D553" s="567"/>
      <c r="E553" s="567"/>
      <c r="F553" s="567"/>
      <c r="G553" s="568" t="s">
        <v>2530</v>
      </c>
      <c r="H553" s="568" t="s">
        <v>340</v>
      </c>
      <c r="I553" s="713"/>
      <c r="J553" s="294" t="str">
        <f>IF(ISBLANK(HLOOKUP(CaseName,CaseData,MATCH($G553,cases!$G$4:$G$2458,0),FALSE)),"",HLOOKUP(CaseName,CaseData,MATCH($G553,cases!$G$4:$G$2458,0),FALSE))</f>
        <v/>
      </c>
      <c r="K553" s="577">
        <f>L172/L29</f>
        <v>9.1333333333333338E-10</v>
      </c>
      <c r="L553" s="298">
        <f t="shared" si="24"/>
        <v>9.1333333333333338E-10</v>
      </c>
      <c r="M553" s="567" t="s">
        <v>1892</v>
      </c>
      <c r="N553" s="567" t="s">
        <v>1928</v>
      </c>
      <c r="O553" s="605"/>
      <c r="P553" s="567"/>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2">
    <cfRule type="cellIs" dxfId="86" priority="5" operator="equal">
      <formula>0</formula>
    </cfRule>
  </conditionalFormatting>
  <conditionalFormatting sqref="I193">
    <cfRule type="cellIs" dxfId="85" priority="4" operator="equal">
      <formula>0</formula>
    </cfRule>
  </conditionalFormatting>
  <conditionalFormatting sqref="K201">
    <cfRule type="cellIs" dxfId="84" priority="2" operator="equal">
      <formula>0</formula>
    </cfRule>
  </conditionalFormatting>
  <conditionalFormatting sqref="K202:K206">
    <cfRule type="cellIs" dxfId="83" priority="3"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207" transitionEvaluation="1" transitionEntry="1" codeName="Sheet4"/>
  <dimension ref="A1:U972"/>
  <sheetViews>
    <sheetView topLeftCell="A207" zoomScaleNormal="100" workbookViewId="0">
      <selection activeCell="G229" sqref="G229"/>
    </sheetView>
  </sheetViews>
  <sheetFormatPr defaultColWidth="10.7109375" defaultRowHeight="12.75" customHeight="1" x14ac:dyDescent="0.2"/>
  <cols>
    <col min="1" max="5" width="1.7109375" customWidth="1" collapsed="1"/>
    <col min="6" max="6" width="65.7109375" customWidth="1" collapsed="1"/>
    <col min="7" max="7" width="22.7109375" customWidth="1" collapsed="1"/>
    <col min="8" max="8" width="10.7109375" style="172" customWidth="1" collapsed="1"/>
    <col min="9" max="9" width="9.140625" style="28" customWidth="1" collapsed="1"/>
    <col min="10" max="10" width="9.140625" style="268" customWidth="1" collapsed="1"/>
    <col min="11" max="11" width="9.5703125" style="332" customWidth="1" collapsed="1"/>
    <col min="12" max="12" width="8.7109375" style="332" bestFit="1" customWidth="1" collapsed="1"/>
    <col min="13" max="13" width="9.140625" customWidth="1" collapsed="1"/>
    <col min="14" max="14" width="67.42578125" customWidth="1" collapsed="1"/>
    <col min="15" max="15" width="14" style="26" customWidth="1" collapsed="1"/>
    <col min="16" max="16" width="28.7109375" style="26" bestFit="1" customWidth="1" collapsed="1"/>
    <col min="17" max="20" width="10.7109375" style="26" collapsed="1"/>
    <col min="21" max="21" width="10.7109375" style="26"/>
    <col min="22" max="16384" width="10.7109375" style="26" collapsed="1"/>
  </cols>
  <sheetData>
    <row r="1" spans="1:14" ht="12.75" customHeight="1" x14ac:dyDescent="0.2">
      <c r="A1" s="101" t="s">
        <v>2531</v>
      </c>
      <c r="B1" s="17"/>
      <c r="C1" s="17"/>
      <c r="D1" s="17"/>
      <c r="E1" s="17"/>
      <c r="F1" s="17"/>
      <c r="G1" s="38"/>
      <c r="H1" s="38"/>
      <c r="I1" s="13"/>
      <c r="J1" s="270"/>
      <c r="K1" s="296"/>
      <c r="L1" s="296"/>
      <c r="M1" s="17"/>
      <c r="N1" s="17"/>
    </row>
    <row r="2" spans="1:14" ht="12.75" customHeight="1" x14ac:dyDescent="0.2">
      <c r="A2" s="17"/>
      <c r="B2" s="17"/>
      <c r="C2" s="17"/>
      <c r="D2" s="17"/>
      <c r="E2" s="17"/>
      <c r="F2" s="17"/>
      <c r="G2" s="38"/>
      <c r="H2" s="38"/>
      <c r="I2" s="13"/>
      <c r="J2" s="270"/>
      <c r="K2" s="296"/>
      <c r="L2" s="296"/>
      <c r="M2" s="17"/>
      <c r="N2" s="17"/>
    </row>
    <row r="3" spans="1:14" customFormat="1" ht="12.75" customHeight="1" x14ac:dyDescent="0.2">
      <c r="A3" s="147" t="s">
        <v>954</v>
      </c>
      <c r="B3" s="147"/>
      <c r="C3" s="147"/>
      <c r="D3" s="147"/>
      <c r="E3" s="147"/>
      <c r="F3" s="147"/>
      <c r="G3" s="148" t="s">
        <v>263</v>
      </c>
      <c r="H3" s="148" t="s">
        <v>279</v>
      </c>
      <c r="I3" s="147" t="s">
        <v>264</v>
      </c>
      <c r="J3" s="271" t="s">
        <v>280</v>
      </c>
      <c r="K3" s="331" t="s">
        <v>265</v>
      </c>
      <c r="L3" s="331" t="s">
        <v>266</v>
      </c>
      <c r="M3" s="147"/>
      <c r="N3" s="148" t="s">
        <v>267</v>
      </c>
    </row>
    <row r="4" spans="1:14" ht="12.75" customHeight="1" x14ac:dyDescent="0.2">
      <c r="A4" s="17"/>
      <c r="B4" s="17"/>
      <c r="C4" s="17"/>
      <c r="D4" s="17"/>
      <c r="E4" s="17"/>
      <c r="F4" s="17"/>
      <c r="G4" s="17"/>
      <c r="H4" s="38"/>
      <c r="I4" s="13"/>
      <c r="J4" s="270"/>
      <c r="K4" s="296"/>
      <c r="L4" s="296"/>
      <c r="M4" s="17"/>
      <c r="N4" s="17"/>
    </row>
    <row r="5" spans="1:14" ht="12.75" customHeight="1" x14ac:dyDescent="0.2">
      <c r="A5" s="38" t="s">
        <v>955</v>
      </c>
      <c r="B5" s="17"/>
      <c r="C5" s="17"/>
      <c r="D5" s="17"/>
      <c r="E5" s="17"/>
      <c r="F5" s="17"/>
      <c r="G5" s="38" t="s">
        <v>2532</v>
      </c>
      <c r="H5" s="17" t="s">
        <v>957</v>
      </c>
      <c r="I5" s="281"/>
      <c r="J5" s="294" t="str">
        <f>IF(ISBLANK(HLOOKUP(CaseName,CaseData,MATCH($G5,cases!$G$4:$G$2458,0),FALSE)),"",HLOOKUP(CaseName,CaseData,MATCH($G5,cases!$G$4:$G$2458,0),FALSE))</f>
        <v/>
      </c>
      <c r="K5" s="435">
        <f>L11*L14*(1-L19)</f>
        <v>7.7571156728646E+16</v>
      </c>
      <c r="L5" s="298">
        <f t="shared" ref="L5:L10" si="0">IF(ISBLANK(I5),IF(ISNUMBER(J5)=FALSE,K5,J5),I5)</f>
        <v>7.7571156728646E+16</v>
      </c>
      <c r="M5" s="38" t="s">
        <v>958</v>
      </c>
      <c r="N5" s="17"/>
    </row>
    <row r="6" spans="1:14" ht="12.75" customHeight="1" x14ac:dyDescent="0.2">
      <c r="A6" s="568" t="s">
        <v>1935</v>
      </c>
      <c r="B6" s="567"/>
      <c r="C6" s="567"/>
      <c r="D6" s="567"/>
      <c r="E6" s="567"/>
      <c r="F6" s="567"/>
      <c r="G6" s="568" t="s">
        <v>2533</v>
      </c>
      <c r="H6" s="567" t="s">
        <v>957</v>
      </c>
      <c r="I6" s="701"/>
      <c r="J6" s="294" t="str">
        <f>IF(ISBLANK(HLOOKUP(CaseName,CaseData,MATCH($G6,cases!$G$4:$G$2458,0),FALSE)),"",HLOOKUP(CaseName,CaseData,MATCH($G6,cases!$G$4:$G$2458,0),FALSE))</f>
        <v/>
      </c>
      <c r="K6" s="435">
        <f>L19*L5</f>
        <v>23271347018.5938</v>
      </c>
      <c r="L6" s="298">
        <f t="shared" si="0"/>
        <v>23271347018.5938</v>
      </c>
      <c r="M6" s="568" t="s">
        <v>958</v>
      </c>
      <c r="N6" s="567"/>
    </row>
    <row r="7" spans="1:14" ht="12.75" customHeight="1" x14ac:dyDescent="0.2">
      <c r="A7" s="38" t="s">
        <v>2534</v>
      </c>
      <c r="B7" s="17"/>
      <c r="C7" s="17"/>
      <c r="D7" s="17"/>
      <c r="E7" s="17"/>
      <c r="F7" s="17"/>
      <c r="G7" s="38" t="s">
        <v>2535</v>
      </c>
      <c r="H7" s="17" t="s">
        <v>957</v>
      </c>
      <c r="I7" s="281"/>
      <c r="J7" s="294" t="str">
        <f>IF(ISBLANK(HLOOKUP(CaseName,CaseData,MATCH($G7,cases!$G$4:$G$2458,0),FALSE)),"",HLOOKUP(CaseName,CaseData,MATCH($G7,cases!$G$4:$G$2458,0),FALSE))</f>
        <v/>
      </c>
      <c r="K7" s="435">
        <f>L11*L15*L12</f>
        <v>3878559000000000</v>
      </c>
      <c r="L7" s="298">
        <f t="shared" si="0"/>
        <v>3878559000000000</v>
      </c>
      <c r="M7" s="38" t="s">
        <v>958</v>
      </c>
      <c r="N7" s="17"/>
    </row>
    <row r="8" spans="1:14" ht="12.75" customHeight="1" x14ac:dyDescent="0.2">
      <c r="A8" s="38" t="s">
        <v>2536</v>
      </c>
      <c r="B8" s="17"/>
      <c r="C8" s="17"/>
      <c r="D8" s="17"/>
      <c r="E8" s="17"/>
      <c r="F8" s="17"/>
      <c r="G8" s="38" t="s">
        <v>2537</v>
      </c>
      <c r="H8" s="17" t="s">
        <v>957</v>
      </c>
      <c r="I8" s="281"/>
      <c r="J8" s="294" t="str">
        <f>IF(ISBLANK(HLOOKUP(CaseName,CaseData,MATCH($G8,cases!$G$4:$G$2458,0),FALSE)),"",HLOOKUP(CaseName,CaseData,MATCH($G8,cases!$G$4:$G$2458,0),FALSE))</f>
        <v/>
      </c>
      <c r="K8" s="435">
        <f>L11*L16*L12</f>
        <v>1.1635677E+17</v>
      </c>
      <c r="L8" s="298">
        <f t="shared" si="0"/>
        <v>1.1635677E+17</v>
      </c>
      <c r="M8" s="38" t="s">
        <v>958</v>
      </c>
      <c r="N8" s="17"/>
    </row>
    <row r="9" spans="1:14" ht="12.75" customHeight="1" x14ac:dyDescent="0.2">
      <c r="A9" s="38" t="s">
        <v>2538</v>
      </c>
      <c r="B9" s="17"/>
      <c r="C9" s="17"/>
      <c r="D9" s="17"/>
      <c r="E9" s="17"/>
      <c r="F9" s="17"/>
      <c r="G9" s="38" t="s">
        <v>2539</v>
      </c>
      <c r="H9" s="17" t="s">
        <v>957</v>
      </c>
      <c r="I9" s="281"/>
      <c r="J9" s="294" t="str">
        <f>IF(ISBLANK(HLOOKUP(CaseName,CaseData,MATCH($G9,cases!$G$4:$G$2458,0),FALSE)),"",HLOOKUP(CaseName,CaseData,MATCH($G9,cases!$G$4:$G$2458,0),FALSE))</f>
        <v/>
      </c>
      <c r="K9" s="435">
        <f>L11*L17*L12</f>
        <v>1163567700000</v>
      </c>
      <c r="L9" s="298">
        <f t="shared" si="0"/>
        <v>1163567700000</v>
      </c>
      <c r="M9" s="38" t="s">
        <v>958</v>
      </c>
      <c r="N9" s="17"/>
    </row>
    <row r="10" spans="1:14" ht="12.75" customHeight="1" x14ac:dyDescent="0.2">
      <c r="A10" s="38" t="s">
        <v>2540</v>
      </c>
      <c r="B10" s="17"/>
      <c r="C10" s="17"/>
      <c r="D10" s="17"/>
      <c r="E10" s="17"/>
      <c r="F10" s="17"/>
      <c r="G10" s="38" t="s">
        <v>2541</v>
      </c>
      <c r="H10" s="17" t="s">
        <v>957</v>
      </c>
      <c r="I10" s="281"/>
      <c r="J10" s="294" t="str">
        <f>IF(ISBLANK(HLOOKUP(CaseName,CaseData,MATCH($G10,cases!$G$4:$G$2458,0),FALSE)),"",HLOOKUP(CaseName,CaseData,MATCH($G10,cases!$G$4:$G$2458,0),FALSE))</f>
        <v/>
      </c>
      <c r="K10" s="435">
        <f>L11*L13*L18</f>
        <v>1939279500000</v>
      </c>
      <c r="L10" s="298">
        <f t="shared" si="0"/>
        <v>1939279500000</v>
      </c>
      <c r="M10" s="38" t="s">
        <v>958</v>
      </c>
      <c r="N10" s="17"/>
    </row>
    <row r="11" spans="1:14" ht="12.75" customHeight="1" x14ac:dyDescent="0.2">
      <c r="A11" s="17"/>
      <c r="B11" s="38" t="s">
        <v>2542</v>
      </c>
      <c r="C11" s="17"/>
      <c r="D11" s="17"/>
      <c r="E11" s="17"/>
      <c r="F11" s="17"/>
      <c r="G11" s="38" t="s">
        <v>2543</v>
      </c>
      <c r="H11" s="17" t="s">
        <v>679</v>
      </c>
      <c r="I11" s="276"/>
      <c r="J11" s="294" t="str">
        <f>IF(ISBLANK(HLOOKUP(CaseName,CaseData,MATCH($G11,cases!$G$4:$G$2458,0),FALSE)),"",HLOOKUP(CaseName,CaseData,MATCH($G11,cases!$G$4:$G$2458,0),FALSE))</f>
        <v/>
      </c>
      <c r="K11" s="435">
        <f>85000000-((SYSTEMAREA.C+SYSTEMAREA.R)/1000000)</f>
        <v>77571180</v>
      </c>
      <c r="L11" s="298">
        <f>IF(ISBLANK(I11),IF(ISNUMBER(J11)=FALSE,K11*1000000,J11*1000000),I11*1000000)</f>
        <v>77571180000000</v>
      </c>
      <c r="M11" s="38" t="s">
        <v>680</v>
      </c>
      <c r="N11" s="17"/>
    </row>
    <row r="12" spans="1:14" ht="12.75" customHeight="1" x14ac:dyDescent="0.2">
      <c r="A12" s="17"/>
      <c r="B12" s="38" t="s">
        <v>2544</v>
      </c>
      <c r="C12" s="17"/>
      <c r="D12" s="17"/>
      <c r="E12" s="17"/>
      <c r="F12" s="17"/>
      <c r="G12" s="146" t="s">
        <v>2545</v>
      </c>
      <c r="H12" s="17" t="s">
        <v>296</v>
      </c>
      <c r="I12" s="276"/>
      <c r="J12" s="294" t="str">
        <f>IF(ISBLANK(HLOOKUP(CaseName,CaseData,MATCH($G12,cases!$G$4:$G$2458,0),FALSE)),"",HLOOKUP(CaseName,CaseData,MATCH($G12,cases!$G$4:$G$2458,0),FALSE))</f>
        <v/>
      </c>
      <c r="K12" s="435">
        <v>0.5</v>
      </c>
      <c r="L12" s="298">
        <f>IF(ISBLANK(I12),IF(ISNUMBER(J12)=FALSE,K12,J12),I12)</f>
        <v>0.5</v>
      </c>
      <c r="M12" s="17" t="s">
        <v>297</v>
      </c>
      <c r="N12" s="17"/>
    </row>
    <row r="13" spans="1:14" ht="12.75" customHeight="1" x14ac:dyDescent="0.2">
      <c r="A13" s="17"/>
      <c r="B13" s="38" t="s">
        <v>2546</v>
      </c>
      <c r="C13" s="17"/>
      <c r="D13" s="17"/>
      <c r="E13" s="17"/>
      <c r="F13" s="17"/>
      <c r="G13" s="146" t="s">
        <v>2547</v>
      </c>
      <c r="H13" s="17" t="s">
        <v>296</v>
      </c>
      <c r="I13" s="276"/>
      <c r="J13" s="294" t="str">
        <f>IF(ISBLANK(HLOOKUP(CaseName,CaseData,MATCH($G13,cases!$G$4:$G$2458,0),FALSE)),"",HLOOKUP(CaseName,CaseData,MATCH($G13,cases!$G$4:$G$2458,0),FALSE))</f>
        <v/>
      </c>
      <c r="K13" s="435">
        <f>1-L12</f>
        <v>0.5</v>
      </c>
      <c r="L13" s="298">
        <f>IF(ISBLANK(I13),IF(ISNUMBER(J13)=FALSE,K13,J13),I13)</f>
        <v>0.5</v>
      </c>
      <c r="M13" s="17" t="s">
        <v>297</v>
      </c>
      <c r="N13" s="17"/>
    </row>
    <row r="14" spans="1:14" ht="12.75" customHeight="1" x14ac:dyDescent="0.2">
      <c r="A14" s="17"/>
      <c r="B14" s="17"/>
      <c r="C14" s="38" t="s">
        <v>994</v>
      </c>
      <c r="D14" s="17"/>
      <c r="E14" s="17"/>
      <c r="F14" s="17"/>
      <c r="G14" s="146" t="s">
        <v>2548</v>
      </c>
      <c r="H14" s="38" t="s">
        <v>820</v>
      </c>
      <c r="I14" s="281"/>
      <c r="J14" s="294" t="str">
        <f>IF(ISBLANK(HLOOKUP(CaseName,CaseData,MATCH($G14,cases!$G$4:$G$2458,0),FALSE)),"",HLOOKUP(CaseName,CaseData,MATCH($G14,cases!$G$4:$G$2458,0),FALSE))</f>
        <v/>
      </c>
      <c r="K14" s="435">
        <v>1000</v>
      </c>
      <c r="L14" s="298">
        <f>IF(ISBLANK(I14),IF(ISNUMBER(J14)=FALSE,K14,J14),I14)</f>
        <v>1000</v>
      </c>
      <c r="M14" s="38" t="s">
        <v>284</v>
      </c>
      <c r="N14" s="17"/>
    </row>
    <row r="15" spans="1:14" ht="12.75" customHeight="1" x14ac:dyDescent="0.2">
      <c r="A15" s="17"/>
      <c r="B15" s="17"/>
      <c r="C15" s="38" t="s">
        <v>2549</v>
      </c>
      <c r="D15" s="17"/>
      <c r="E15" s="17"/>
      <c r="F15" s="17"/>
      <c r="G15" s="146" t="s">
        <v>2550</v>
      </c>
      <c r="H15" s="38" t="s">
        <v>820</v>
      </c>
      <c r="I15" s="276"/>
      <c r="J15" s="294" t="str">
        <f>IF(ISBLANK(HLOOKUP(CaseName,CaseData,MATCH($G15,cases!$G$4:$G$2458,0),FALSE)),"",HLOOKUP(CaseName,CaseData,MATCH($G15,cases!$G$4:$G$2458,0),FALSE))</f>
        <v/>
      </c>
      <c r="K15" s="435">
        <v>100</v>
      </c>
      <c r="L15" s="298">
        <f>IF(ISBLANK(I15),IF(ISNUMBER(J15)=FALSE,K15,J15),I15)</f>
        <v>100</v>
      </c>
      <c r="M15" s="38" t="s">
        <v>284</v>
      </c>
      <c r="N15" s="17"/>
    </row>
    <row r="16" spans="1:14" ht="12.75" customHeight="1" x14ac:dyDescent="0.2">
      <c r="A16" s="17"/>
      <c r="B16" s="17"/>
      <c r="C16" s="38" t="s">
        <v>2551</v>
      </c>
      <c r="D16" s="17"/>
      <c r="E16" s="17"/>
      <c r="F16" s="17"/>
      <c r="G16" s="146" t="s">
        <v>2552</v>
      </c>
      <c r="H16" s="38" t="s">
        <v>820</v>
      </c>
      <c r="I16" s="276"/>
      <c r="J16" s="294" t="str">
        <f>IF(ISBLANK(HLOOKUP(CaseName,CaseData,MATCH($G16,cases!$G$4:$G$2458,0),FALSE)),"",HLOOKUP(CaseName,CaseData,MATCH($G16,cases!$G$4:$G$2458,0),FALSE))</f>
        <v/>
      </c>
      <c r="K16" s="435">
        <v>3000</v>
      </c>
      <c r="L16" s="298">
        <f>IF(ISBLANK(I16),IF(ISNUMBER(J16)=FALSE,K16,J16),I16)</f>
        <v>3000</v>
      </c>
      <c r="M16" s="38" t="s">
        <v>284</v>
      </c>
      <c r="N16" s="17"/>
    </row>
    <row r="17" spans="1:14" ht="12.75" customHeight="1" x14ac:dyDescent="0.2">
      <c r="A17" s="17"/>
      <c r="B17" s="17"/>
      <c r="C17" s="38" t="s">
        <v>2553</v>
      </c>
      <c r="D17" s="17"/>
      <c r="E17" s="17"/>
      <c r="F17" s="17"/>
      <c r="G17" s="146" t="s">
        <v>2554</v>
      </c>
      <c r="H17" s="38" t="s">
        <v>1004</v>
      </c>
      <c r="I17" s="276"/>
      <c r="J17" s="294" t="str">
        <f>IF(ISBLANK(HLOOKUP(CaseName,CaseData,MATCH($G17,cases!$G$4:$G$2458,0),FALSE)),"",HLOOKUP(CaseName,CaseData,MATCH($G17,cases!$G$4:$G$2458,0),FALSE))</f>
        <v/>
      </c>
      <c r="K17" s="435">
        <v>3</v>
      </c>
      <c r="L17" s="298">
        <f>IF(ISBLANK(I17),IF(ISNUMBER(J17)=FALSE,K17/100,J17/100),I17/100)</f>
        <v>0.03</v>
      </c>
      <c r="M17" s="38" t="s">
        <v>284</v>
      </c>
      <c r="N17" s="17"/>
    </row>
    <row r="18" spans="1:14" ht="12.75" customHeight="1" x14ac:dyDescent="0.2">
      <c r="A18" s="38"/>
      <c r="B18" s="17"/>
      <c r="C18" s="38" t="s">
        <v>2555</v>
      </c>
      <c r="D18" s="146"/>
      <c r="E18" s="146"/>
      <c r="F18" s="17"/>
      <c r="G18" s="146" t="s">
        <v>2556</v>
      </c>
      <c r="H18" s="38" t="s">
        <v>820</v>
      </c>
      <c r="I18" s="274"/>
      <c r="J18" s="294" t="str">
        <f>IF(ISBLANK(HLOOKUP(CaseName,CaseData,MATCH($G18,cases!$G$4:$G$2458,0),FALSE)),"",HLOOKUP(CaseName,CaseData,MATCH($G18,cases!$G$4:$G$2458,0),FALSE))</f>
        <v/>
      </c>
      <c r="K18" s="435">
        <v>0.05</v>
      </c>
      <c r="L18" s="298">
        <f t="shared" ref="L18:L26" si="1">IF(ISBLANK(I18),IF(ISNUMBER(J18)=FALSE,K18,J18),I18)</f>
        <v>0.05</v>
      </c>
      <c r="M18" s="17" t="s">
        <v>284</v>
      </c>
      <c r="N18" s="17"/>
    </row>
    <row r="19" spans="1:14" ht="12.75" customHeight="1" x14ac:dyDescent="0.2">
      <c r="A19" s="567"/>
      <c r="B19" s="567"/>
      <c r="C19" s="567" t="s">
        <v>1015</v>
      </c>
      <c r="D19" s="567"/>
      <c r="E19" s="567"/>
      <c r="F19" s="567"/>
      <c r="G19" s="568" t="s">
        <v>2557</v>
      </c>
      <c r="H19" s="568" t="s">
        <v>1017</v>
      </c>
      <c r="I19" s="274"/>
      <c r="J19" s="294" t="str">
        <f>IF(ISBLANK(HLOOKUP(CaseName,CaseData,MATCH($G19,cases!$G$4:$G$2458,0),FALSE)),"",HLOOKUP(CaseName,CaseData,MATCH($G19,cases!$G$4:$G$2458,0),FALSE))</f>
        <v/>
      </c>
      <c r="K19" s="435">
        <v>2.9999999999999999E-7</v>
      </c>
      <c r="L19" s="298">
        <f t="shared" si="1"/>
        <v>2.9999999999999999E-7</v>
      </c>
      <c r="M19" s="568" t="s">
        <v>297</v>
      </c>
      <c r="N19" s="567" t="s">
        <v>1021</v>
      </c>
    </row>
    <row r="20" spans="1:14" ht="12.75" customHeight="1" x14ac:dyDescent="0.2">
      <c r="A20" s="17"/>
      <c r="B20" s="17"/>
      <c r="C20" s="17" t="s">
        <v>1019</v>
      </c>
      <c r="D20" s="17"/>
      <c r="E20" s="17"/>
      <c r="F20" s="17"/>
      <c r="G20" s="38" t="s">
        <v>2558</v>
      </c>
      <c r="H20" s="38" t="s">
        <v>1017</v>
      </c>
      <c r="I20" s="274"/>
      <c r="J20" s="294" t="str">
        <f>IF(ISBLANK(HLOOKUP(CaseName,CaseData,MATCH($G20,cases!$G$4:$G$2458,0),FALSE)),"",HLOOKUP(CaseName,CaseData,MATCH($G20,cases!$G$4:$G$2458,0),FALSE))</f>
        <v/>
      </c>
      <c r="K20" s="435">
        <v>1.9999999999999999E-11</v>
      </c>
      <c r="L20" s="298">
        <f t="shared" si="1"/>
        <v>1.9999999999999999E-11</v>
      </c>
      <c r="M20" s="38" t="s">
        <v>297</v>
      </c>
      <c r="N20" s="17" t="s">
        <v>1021</v>
      </c>
    </row>
    <row r="21" spans="1:14" ht="12.75" customHeight="1" x14ac:dyDescent="0.2">
      <c r="A21" s="17"/>
      <c r="B21" s="17"/>
      <c r="C21" s="17" t="s">
        <v>1022</v>
      </c>
      <c r="D21" s="17"/>
      <c r="E21" s="17"/>
      <c r="F21" s="17"/>
      <c r="G21" s="38" t="s">
        <v>2559</v>
      </c>
      <c r="H21" s="38" t="s">
        <v>1017</v>
      </c>
      <c r="I21" s="274"/>
      <c r="J21" s="294" t="str">
        <f>IF(ISBLANK(HLOOKUP(CaseName,CaseData,MATCH($G21,cases!$G$4:$G$2458,0),FALSE)),"",HLOOKUP(CaseName,CaseData,MATCH($G21,cases!$G$4:$G$2458,0),FALSE))</f>
        <v/>
      </c>
      <c r="K21" s="435">
        <v>1.9999999999999999E-11</v>
      </c>
      <c r="L21" s="298">
        <f t="shared" si="1"/>
        <v>1.9999999999999999E-11</v>
      </c>
      <c r="M21" s="38" t="s">
        <v>297</v>
      </c>
      <c r="N21" s="17" t="s">
        <v>1021</v>
      </c>
    </row>
    <row r="22" spans="1:14" ht="12.75" customHeight="1" x14ac:dyDescent="0.2">
      <c r="A22" s="38"/>
      <c r="B22" s="17"/>
      <c r="C22" s="38" t="s">
        <v>2560</v>
      </c>
      <c r="D22" s="146"/>
      <c r="E22" s="146"/>
      <c r="F22" s="17"/>
      <c r="G22" s="146" t="s">
        <v>2561</v>
      </c>
      <c r="H22" s="38" t="s">
        <v>1017</v>
      </c>
      <c r="I22" s="281"/>
      <c r="J22" s="294" t="str">
        <f>IF(ISBLANK(HLOOKUP(CaseName,CaseData,MATCH($G22,cases!$G$4:$G$2458,0),FALSE)),"",HLOOKUP(CaseName,CaseData,MATCH($G22,cases!$G$4:$G$2458,0),FALSE))</f>
        <v/>
      </c>
      <c r="K22" s="435">
        <v>0.2</v>
      </c>
      <c r="L22" s="298">
        <f t="shared" si="1"/>
        <v>0.2</v>
      </c>
      <c r="M22" s="17" t="s">
        <v>297</v>
      </c>
      <c r="N22" s="17"/>
    </row>
    <row r="23" spans="1:14" ht="12.75" customHeight="1" x14ac:dyDescent="0.2">
      <c r="A23" s="17"/>
      <c r="B23" s="17"/>
      <c r="C23" s="38" t="s">
        <v>2562</v>
      </c>
      <c r="D23" s="17"/>
      <c r="E23" s="17"/>
      <c r="F23" s="17"/>
      <c r="G23" s="146" t="s">
        <v>2563</v>
      </c>
      <c r="H23" s="38" t="s">
        <v>1017</v>
      </c>
      <c r="I23" s="281"/>
      <c r="J23" s="294" t="str">
        <f>IF(ISBLANK(HLOOKUP(CaseName,CaseData,MATCH($G23,cases!$G$4:$G$2458,0),FALSE)),"",HLOOKUP(CaseName,CaseData,MATCH($G23,cases!$G$4:$G$2458,0),FALSE))</f>
        <v/>
      </c>
      <c r="K23" s="435">
        <v>0.2</v>
      </c>
      <c r="L23" s="298">
        <f t="shared" si="1"/>
        <v>0.2</v>
      </c>
      <c r="M23" s="17" t="s">
        <v>297</v>
      </c>
      <c r="N23" s="17"/>
    </row>
    <row r="24" spans="1:14" ht="12.75" customHeight="1" x14ac:dyDescent="0.2">
      <c r="A24" s="17"/>
      <c r="B24" s="17"/>
      <c r="C24" s="38" t="s">
        <v>2564</v>
      </c>
      <c r="D24" s="17"/>
      <c r="E24" s="17"/>
      <c r="F24" s="17"/>
      <c r="G24" s="146" t="s">
        <v>2565</v>
      </c>
      <c r="H24" s="38" t="s">
        <v>1017</v>
      </c>
      <c r="I24" s="281"/>
      <c r="J24" s="294" t="str">
        <f>IF(ISBLANK(HLOOKUP(CaseName,CaseData,MATCH($G24,cases!$G$4:$G$2458,0),FALSE)),"",HLOOKUP(CaseName,CaseData,MATCH($G24,cases!$G$4:$G$2458,0),FALSE))</f>
        <v/>
      </c>
      <c r="K24" s="435">
        <f>1-L22-L23</f>
        <v>0.60000000000000009</v>
      </c>
      <c r="L24" s="298">
        <f t="shared" si="1"/>
        <v>0.60000000000000009</v>
      </c>
      <c r="M24" s="17" t="s">
        <v>297</v>
      </c>
      <c r="N24" s="17"/>
    </row>
    <row r="25" spans="1:14" ht="12.75" customHeight="1" x14ac:dyDescent="0.2">
      <c r="A25" s="38"/>
      <c r="B25" s="17"/>
      <c r="C25" s="38" t="s">
        <v>1042</v>
      </c>
      <c r="D25" s="146"/>
      <c r="E25" s="146"/>
      <c r="F25" s="17"/>
      <c r="G25" s="146" t="s">
        <v>2566</v>
      </c>
      <c r="H25" s="38" t="s">
        <v>1017</v>
      </c>
      <c r="I25" s="281"/>
      <c r="J25" s="294" t="str">
        <f>IF(ISBLANK(HLOOKUP(CaseName,CaseData,MATCH($G25,cases!$G$4:$G$2458,0),FALSE)),"",HLOOKUP(CaseName,CaseData,MATCH($G25,cases!$G$4:$G$2458,0),FALSE))</f>
        <v/>
      </c>
      <c r="K25" s="435">
        <v>0.8</v>
      </c>
      <c r="L25" s="298">
        <f t="shared" si="1"/>
        <v>0.8</v>
      </c>
      <c r="M25" s="38" t="s">
        <v>297</v>
      </c>
      <c r="N25" s="17"/>
    </row>
    <row r="26" spans="1:14" ht="12.75" customHeight="1" x14ac:dyDescent="0.2">
      <c r="A26" s="38"/>
      <c r="B26" s="17"/>
      <c r="C26" s="38" t="s">
        <v>1044</v>
      </c>
      <c r="D26" s="146"/>
      <c r="E26" s="146"/>
      <c r="F26" s="17"/>
      <c r="G26" s="146" t="s">
        <v>2567</v>
      </c>
      <c r="H26" s="38" t="s">
        <v>1017</v>
      </c>
      <c r="I26" s="281"/>
      <c r="J26" s="294" t="str">
        <f>IF(ISBLANK(HLOOKUP(CaseName,CaseData,MATCH($G26,cases!$G$4:$G$2458,0),FALSE)),"",HLOOKUP(CaseName,CaseData,MATCH($G26,cases!$G$4:$G$2458,0),FALSE))</f>
        <v/>
      </c>
      <c r="K26" s="407">
        <f>1-L25</f>
        <v>0.19999999999999996</v>
      </c>
      <c r="L26" s="298">
        <f t="shared" si="1"/>
        <v>0.19999999999999996</v>
      </c>
      <c r="M26" s="38" t="s">
        <v>297</v>
      </c>
      <c r="N26" s="17"/>
    </row>
    <row r="27" spans="1:14" ht="12.75" customHeight="1" x14ac:dyDescent="0.2">
      <c r="A27" s="17"/>
      <c r="B27" s="17"/>
      <c r="C27" s="17"/>
      <c r="D27" s="17"/>
      <c r="E27" s="17"/>
      <c r="F27" s="17"/>
      <c r="G27" s="17"/>
      <c r="H27" s="17"/>
      <c r="I27" s="215"/>
      <c r="J27" s="294"/>
      <c r="K27" s="165"/>
      <c r="L27" s="165"/>
      <c r="M27" s="17"/>
      <c r="N27" s="17"/>
    </row>
    <row r="28" spans="1:14" customFormat="1" ht="12.75" customHeight="1" x14ac:dyDescent="0.2">
      <c r="A28" s="216" t="s">
        <v>2568</v>
      </c>
      <c r="B28" s="228"/>
      <c r="C28" s="228"/>
      <c r="D28" s="228"/>
      <c r="E28" s="228"/>
      <c r="F28" s="228"/>
      <c r="G28" s="216" t="s">
        <v>2569</v>
      </c>
      <c r="H28" s="216" t="s">
        <v>624</v>
      </c>
      <c r="I28" s="416"/>
      <c r="J28" s="294" t="str">
        <f>IF(ISBLANK(HLOOKUP(CaseName,CaseData,MATCH($G28,cases!$G$4:$G$2458,0),FALSE)),"",HLOOKUP(CaseName,CaseData,MATCH($G28,cases!$G$4:$G$2458,0),FALSE))</f>
        <v/>
      </c>
      <c r="K28" s="435">
        <f>k.aC.aM*VOLUME.aC/L5</f>
        <v>1.2824122486466641E-7</v>
      </c>
      <c r="L28" s="298">
        <f>IF(ISBLANK(I28),IF(ISNUMBER(J28)=FALSE,K28,J28),I28)</f>
        <v>1.2824122486466641E-7</v>
      </c>
      <c r="M28" s="228" t="s">
        <v>1048</v>
      </c>
      <c r="N28" s="228"/>
    </row>
    <row r="29" spans="1:14" ht="12.75" customHeight="1" x14ac:dyDescent="0.2">
      <c r="A29" s="216" t="s">
        <v>2570</v>
      </c>
      <c r="B29" s="228"/>
      <c r="C29" s="228"/>
      <c r="D29" s="228"/>
      <c r="E29" s="228"/>
      <c r="F29" s="228"/>
      <c r="G29" s="216" t="s">
        <v>2571</v>
      </c>
      <c r="H29" s="216" t="s">
        <v>624</v>
      </c>
      <c r="I29" s="276"/>
      <c r="J29" s="294" t="str">
        <f>IF(ISBLANK(HLOOKUP(CaseName,CaseData,MATCH($G29,cases!$G$4:$G$2458,0),FALSE)),"",HLOOKUP(CaseName,CaseData,MATCH($G29,cases!$G$4:$G$2458,0),FALSE))</f>
        <v/>
      </c>
      <c r="K29" s="435">
        <f>L357*L334/L5</f>
        <v>3.7932294855432789E-7</v>
      </c>
      <c r="L29" s="298">
        <f>IF(ISBLANK(I29),IF(ISNUMBER(J29)=FALSE,K29,J29),I29)</f>
        <v>3.7932294855432789E-7</v>
      </c>
      <c r="M29" s="228" t="s">
        <v>1048</v>
      </c>
      <c r="N29" s="228"/>
    </row>
    <row r="30" spans="1:14" ht="12.75" customHeight="1" x14ac:dyDescent="0.2">
      <c r="A30" s="216" t="s">
        <v>2572</v>
      </c>
      <c r="B30" s="228"/>
      <c r="C30" s="228"/>
      <c r="D30" s="228"/>
      <c r="E30" s="228"/>
      <c r="F30" s="228"/>
      <c r="G30" s="216" t="s">
        <v>2573</v>
      </c>
      <c r="H30" s="216" t="s">
        <v>624</v>
      </c>
      <c r="I30" s="276"/>
      <c r="J30" s="294" t="str">
        <f>IF(ISBLANK(HLOOKUP(CaseName,CaseData,MATCH($G30,cases!$G$4:$G$2458,0),FALSE)),"",HLOOKUP(CaseName,CaseData,MATCH($G30,cases!$G$4:$G$2458,0),FALSE))</f>
        <v/>
      </c>
      <c r="K30" s="435">
        <f>L679*L656/L5</f>
        <v>6.5700661937293134E-7</v>
      </c>
      <c r="L30" s="298">
        <f>IF(ISBLANK(I30),IF(ISNUMBER(J30)=FALSE,K30,J30),I30)</f>
        <v>6.5700661937293134E-7</v>
      </c>
      <c r="M30" s="228" t="s">
        <v>1048</v>
      </c>
      <c r="N30" s="228"/>
    </row>
    <row r="31" spans="1:14" ht="12.75" customHeight="1" x14ac:dyDescent="0.2">
      <c r="A31" s="17"/>
      <c r="B31" s="17"/>
      <c r="C31" s="17"/>
      <c r="D31" s="146"/>
      <c r="E31" s="17"/>
      <c r="F31" s="17"/>
      <c r="G31" s="38"/>
      <c r="H31" s="17"/>
      <c r="I31" s="798"/>
      <c r="J31" s="294"/>
      <c r="K31" s="541"/>
      <c r="L31" s="541"/>
      <c r="M31" s="17"/>
      <c r="N31" s="17"/>
    </row>
    <row r="32" spans="1:14" ht="12.75" customHeight="1" x14ac:dyDescent="0.2">
      <c r="A32" s="38" t="s">
        <v>2574</v>
      </c>
      <c r="B32" s="17"/>
      <c r="C32" s="17"/>
      <c r="D32" s="17"/>
      <c r="E32" s="17"/>
      <c r="F32" s="17"/>
      <c r="G32" s="38" t="s">
        <v>2575</v>
      </c>
      <c r="H32" s="38" t="s">
        <v>624</v>
      </c>
      <c r="I32" s="276"/>
      <c r="J32" s="294" t="str">
        <f>IF(ISBLANK(HLOOKUP(CaseName,CaseData,MATCH($G32,cases!$G$4:$G$2458,0),FALSE)),"",HLOOKUP(CaseName,CaseData,MATCH($G32,cases!$G$4:$G$2458,0),FALSE))</f>
        <v/>
      </c>
      <c r="K32" s="435">
        <f>L37/L7</f>
        <v>6.0683860128376809E-9</v>
      </c>
      <c r="L32" s="298">
        <f t="shared" ref="L32:L43" si="2">IF(ISBLANK(I32),IF(ISNUMBER(J32)=FALSE,K32,J32),I32)</f>
        <v>6.0683860128376809E-9</v>
      </c>
      <c r="M32" s="17" t="s">
        <v>1048</v>
      </c>
      <c r="N32" s="17"/>
    </row>
    <row r="33" spans="1:14" ht="12.75" customHeight="1" x14ac:dyDescent="0.2">
      <c r="A33" s="38" t="s">
        <v>2576</v>
      </c>
      <c r="B33" s="17"/>
      <c r="C33" s="17"/>
      <c r="D33" s="17"/>
      <c r="E33" s="17"/>
      <c r="F33" s="17"/>
      <c r="G33" s="38" t="s">
        <v>2577</v>
      </c>
      <c r="H33" s="38" t="s">
        <v>624</v>
      </c>
      <c r="I33" s="276"/>
      <c r="J33" s="294" t="str">
        <f>IF(ISBLANK(HLOOKUP(CaseName,CaseData,MATCH($G33,cases!$G$4:$G$2458,0),FALSE)),"",HLOOKUP(CaseName,CaseData,MATCH($G33,cases!$G$4:$G$2458,0),FALSE))</f>
        <v/>
      </c>
      <c r="K33" s="435">
        <f>L38/L7</f>
        <v>3.8674157077409421E-8</v>
      </c>
      <c r="L33" s="298">
        <f t="shared" si="2"/>
        <v>3.8674157077409421E-8</v>
      </c>
      <c r="M33" s="17" t="s">
        <v>1048</v>
      </c>
      <c r="N33" s="17"/>
    </row>
    <row r="34" spans="1:14" ht="12.75" customHeight="1" x14ac:dyDescent="0.2">
      <c r="A34" s="38" t="s">
        <v>2578</v>
      </c>
      <c r="B34" s="17"/>
      <c r="C34" s="17"/>
      <c r="D34" s="17"/>
      <c r="E34" s="17"/>
      <c r="F34" s="17"/>
      <c r="G34" s="38" t="s">
        <v>2579</v>
      </c>
      <c r="H34" s="38" t="s">
        <v>624</v>
      </c>
      <c r="I34" s="276"/>
      <c r="J34" s="294" t="str">
        <f>IF(ISBLANK(HLOOKUP(CaseName,CaseData,MATCH($G34,cases!$G$4:$G$2458,0),FALSE)),"",HLOOKUP(CaseName,CaseData,MATCH($G34,cases!$G$4:$G$2458,0),FALSE))</f>
        <v/>
      </c>
      <c r="K34" s="435">
        <f>L39/L7</f>
        <v>0</v>
      </c>
      <c r="L34" s="298">
        <f t="shared" si="2"/>
        <v>0</v>
      </c>
      <c r="M34" s="17" t="s">
        <v>1048</v>
      </c>
      <c r="N34" s="17"/>
    </row>
    <row r="35" spans="1:14" ht="12.75" customHeight="1" x14ac:dyDescent="0.2">
      <c r="A35" s="38" t="s">
        <v>2580</v>
      </c>
      <c r="B35" s="17"/>
      <c r="C35" s="17"/>
      <c r="D35" s="17"/>
      <c r="E35" s="17"/>
      <c r="F35" s="17"/>
      <c r="G35" s="38" t="s">
        <v>2581</v>
      </c>
      <c r="H35" s="38" t="s">
        <v>624</v>
      </c>
      <c r="I35" s="276"/>
      <c r="J35" s="294" t="str">
        <f>IF(ISBLANK(HLOOKUP(CaseName,CaseData,MATCH($G35,cases!$G$4:$G$2458,0),FALSE)),"",HLOOKUP(CaseName,CaseData,MATCH($G35,cases!$G$4:$G$2458,0),FALSE))</f>
        <v/>
      </c>
      <c r="K35" s="435">
        <v>0</v>
      </c>
      <c r="L35" s="298">
        <f t="shared" si="2"/>
        <v>0</v>
      </c>
      <c r="M35" s="17" t="s">
        <v>1048</v>
      </c>
      <c r="N35" s="17"/>
    </row>
    <row r="36" spans="1:14" ht="12.75" customHeight="1" x14ac:dyDescent="0.2">
      <c r="A36" s="38" t="s">
        <v>2582</v>
      </c>
      <c r="B36" s="17"/>
      <c r="C36" s="17"/>
      <c r="D36" s="17"/>
      <c r="E36" s="17"/>
      <c r="F36" s="17"/>
      <c r="G36" s="38" t="s">
        <v>2583</v>
      </c>
      <c r="H36" s="38" t="s">
        <v>624</v>
      </c>
      <c r="I36" s="276"/>
      <c r="J36" s="294" t="str">
        <f>IF(ISBLANK(HLOOKUP(CaseName,CaseData,MATCH($G36,cases!$G$4:$G$2458,0),FALSE)),"",HLOOKUP(CaseName,CaseData,MATCH($G36,cases!$G$4:$G$2458,0),FALSE))</f>
        <v/>
      </c>
      <c r="K36" s="435">
        <f>L40/L8</f>
        <v>1.2891385692469807E-9</v>
      </c>
      <c r="L36" s="298">
        <f t="shared" si="2"/>
        <v>1.2891385692469807E-9</v>
      </c>
      <c r="M36" s="17" t="s">
        <v>1048</v>
      </c>
      <c r="N36" s="17"/>
    </row>
    <row r="37" spans="1:14" ht="12.75" customHeight="1" x14ac:dyDescent="0.2">
      <c r="A37" s="38"/>
      <c r="B37" s="38" t="s">
        <v>2584</v>
      </c>
      <c r="C37" s="17"/>
      <c r="D37" s="17"/>
      <c r="E37" s="17"/>
      <c r="F37" s="17"/>
      <c r="G37" s="146" t="s">
        <v>2585</v>
      </c>
      <c r="H37" s="17" t="s">
        <v>1065</v>
      </c>
      <c r="I37" s="281"/>
      <c r="J37" s="294" t="str">
        <f>IF(ISBLANK(HLOOKUP(CaseName,CaseData,MATCH($G37,cases!$G$4:$G$2458,0),FALSE)),"",HLOOKUP(CaseName,CaseData,MATCH($G37,cases!$G$4:$G$2458,0),FALSE))</f>
        <v/>
      </c>
      <c r="K37" s="435">
        <f>WATERflow.w2C.w2M</f>
        <v>23536593.185565703</v>
      </c>
      <c r="L37" s="298">
        <f t="shared" si="2"/>
        <v>23536593.185565703</v>
      </c>
      <c r="M37" s="17" t="s">
        <v>1066</v>
      </c>
      <c r="N37" s="17"/>
    </row>
    <row r="38" spans="1:14" ht="12.75" customHeight="1" x14ac:dyDescent="0.2">
      <c r="A38" s="38"/>
      <c r="B38" s="38" t="s">
        <v>2586</v>
      </c>
      <c r="C38" s="17"/>
      <c r="D38" s="17"/>
      <c r="E38" s="17"/>
      <c r="F38" s="17"/>
      <c r="G38" s="146" t="s">
        <v>2587</v>
      </c>
      <c r="H38" s="17" t="s">
        <v>1065</v>
      </c>
      <c r="I38" s="281"/>
      <c r="J38" s="294" t="str">
        <f>IF(ISBLANK(HLOOKUP(CaseName,CaseData,MATCH($G38,cases!$G$4:$G$2458,0),FALSE)),"",HLOOKUP(CaseName,CaseData,MATCH($G38,cases!$G$4:$G$2458,0),FALSE))</f>
        <v/>
      </c>
      <c r="K38" s="435">
        <f>L40</f>
        <v>150000000</v>
      </c>
      <c r="L38" s="298">
        <f t="shared" si="2"/>
        <v>150000000</v>
      </c>
      <c r="M38" s="17" t="s">
        <v>1066</v>
      </c>
      <c r="N38" s="17"/>
    </row>
    <row r="39" spans="1:14" ht="12.75" customHeight="1" x14ac:dyDescent="0.2">
      <c r="A39" s="38"/>
      <c r="B39" s="38" t="s">
        <v>2588</v>
      </c>
      <c r="C39" s="17"/>
      <c r="D39" s="17"/>
      <c r="E39" s="17"/>
      <c r="F39" s="17"/>
      <c r="G39" s="146" t="s">
        <v>2589</v>
      </c>
      <c r="H39" s="17" t="s">
        <v>1065</v>
      </c>
      <c r="I39" s="281"/>
      <c r="J39" s="294" t="str">
        <f>IF(ISBLANK(HLOOKUP(CaseName,CaseData,MATCH($G39,cases!$G$4:$G$2458,0),FALSE)),"",HLOOKUP(CaseName,CaseData,MATCH($G39,cases!$G$4:$G$2458,0),FALSE))</f>
        <v/>
      </c>
      <c r="K39" s="435">
        <f>0</f>
        <v>0</v>
      </c>
      <c r="L39" s="298">
        <f t="shared" si="2"/>
        <v>0</v>
      </c>
      <c r="M39" s="17" t="s">
        <v>1066</v>
      </c>
      <c r="N39" s="17"/>
    </row>
    <row r="40" spans="1:14" ht="12.75" customHeight="1" x14ac:dyDescent="0.2">
      <c r="A40" s="38"/>
      <c r="B40" s="38"/>
      <c r="C40" s="17" t="s">
        <v>2590</v>
      </c>
      <c r="D40" s="17"/>
      <c r="E40" s="17"/>
      <c r="F40" s="17"/>
      <c r="G40" s="38" t="s">
        <v>2591</v>
      </c>
      <c r="H40" s="17" t="s">
        <v>1065</v>
      </c>
      <c r="I40" s="276"/>
      <c r="J40" s="294" t="str">
        <f>IF(ISBLANK(HLOOKUP(CaseName,CaseData,MATCH($G40,cases!$G$4:$G$2458,0),FALSE)),"",HLOOKUP(CaseName,CaseData,MATCH($G40,cases!$G$4:$G$2458,0),FALSE))</f>
        <v/>
      </c>
      <c r="K40" s="435">
        <v>150000000</v>
      </c>
      <c r="L40" s="298">
        <f t="shared" si="2"/>
        <v>150000000</v>
      </c>
      <c r="M40" s="17" t="s">
        <v>1066</v>
      </c>
      <c r="N40" s="17"/>
    </row>
    <row r="41" spans="1:14" ht="12.75" customHeight="1" x14ac:dyDescent="0.2">
      <c r="A41" s="38" t="s">
        <v>2592</v>
      </c>
      <c r="B41" s="17"/>
      <c r="C41" s="17"/>
      <c r="D41" s="17"/>
      <c r="E41" s="17"/>
      <c r="F41" s="17"/>
      <c r="G41" s="38" t="s">
        <v>2593</v>
      </c>
      <c r="H41" s="38" t="s">
        <v>624</v>
      </c>
      <c r="I41" s="276"/>
      <c r="J41" s="294" t="str">
        <f>IF(ISBLANK(HLOOKUP(CaseName,CaseData,MATCH($G41,cases!$G$4:$G$2458,0),FALSE)),"",HLOOKUP(CaseName,CaseData,MATCH($G41,cases!$G$4:$G$2458,0),FALSE))</f>
        <v/>
      </c>
      <c r="K41" s="435">
        <f>(L40+L43)/L7</f>
        <v>2.4911186751511984E-7</v>
      </c>
      <c r="L41" s="298">
        <f t="shared" si="2"/>
        <v>2.4911186751511984E-7</v>
      </c>
      <c r="M41" s="17" t="s">
        <v>1048</v>
      </c>
      <c r="N41" s="17"/>
    </row>
    <row r="42" spans="1:14" ht="12.75" customHeight="1" x14ac:dyDescent="0.2">
      <c r="A42" s="38" t="s">
        <v>2594</v>
      </c>
      <c r="B42" s="17"/>
      <c r="C42" s="17"/>
      <c r="D42" s="17"/>
      <c r="E42" s="17"/>
      <c r="F42" s="17"/>
      <c r="G42" s="38" t="s">
        <v>2595</v>
      </c>
      <c r="H42" s="38" t="s">
        <v>624</v>
      </c>
      <c r="I42" s="276"/>
      <c r="J42" s="294" t="str">
        <f>IF(ISBLANK(HLOOKUP(CaseName,CaseData,MATCH($G42,cases!$G$4:$G$2458,0),FALSE)),"",HLOOKUP(CaseName,CaseData,MATCH($G42,cases!$G$4:$G$2458,0),FALSE))</f>
        <v/>
      </c>
      <c r="K42" s="435">
        <f>(L40+L43)/L8</f>
        <v>8.3037289171706622E-9</v>
      </c>
      <c r="L42" s="298">
        <f t="shared" si="2"/>
        <v>8.3037289171706622E-9</v>
      </c>
      <c r="M42" s="17" t="s">
        <v>1048</v>
      </c>
      <c r="N42" s="17"/>
    </row>
    <row r="43" spans="1:14" ht="12.75" customHeight="1" x14ac:dyDescent="0.2">
      <c r="A43" s="38"/>
      <c r="B43" s="17" t="s">
        <v>2596</v>
      </c>
      <c r="C43" s="17"/>
      <c r="D43" s="17"/>
      <c r="E43" s="17"/>
      <c r="F43" s="17"/>
      <c r="G43" s="38" t="s">
        <v>2597</v>
      </c>
      <c r="H43" s="17" t="s">
        <v>1065</v>
      </c>
      <c r="I43" s="276"/>
      <c r="J43" s="294" t="str">
        <f>IF(ISBLANK(HLOOKUP(CaseName,CaseData,MATCH($G43,cases!$G$4:$G$2458,0),FALSE)),"",HLOOKUP(CaseName,CaseData,MATCH($G43,cases!$G$4:$G$2458,0),FALSE))</f>
        <v/>
      </c>
      <c r="K43" s="428">
        <f>L7/L44</f>
        <v>816195075.75757575</v>
      </c>
      <c r="L43" s="298">
        <f t="shared" si="2"/>
        <v>816195075.75757575</v>
      </c>
      <c r="M43" s="17" t="s">
        <v>1066</v>
      </c>
      <c r="N43" s="17"/>
    </row>
    <row r="44" spans="1:14" ht="12.75" customHeight="1" x14ac:dyDescent="0.2">
      <c r="A44" s="38"/>
      <c r="B44" s="38"/>
      <c r="C44" s="17" t="s">
        <v>2598</v>
      </c>
      <c r="D44" s="17"/>
      <c r="E44" s="17"/>
      <c r="F44" s="17"/>
      <c r="G44" s="38" t="s">
        <v>2599</v>
      </c>
      <c r="H44" s="17" t="s">
        <v>1051</v>
      </c>
      <c r="I44" s="276"/>
      <c r="J44" s="294" t="str">
        <f>IF(ISBLANK(HLOOKUP(CaseName,CaseData,MATCH($G44,cases!$G$4:$G$2458,0),FALSE)),"",HLOOKUP(CaseName,CaseData,MATCH($G44,cases!$G$4:$G$2458,0),FALSE))</f>
        <v/>
      </c>
      <c r="K44" s="428">
        <v>55</v>
      </c>
      <c r="L44" s="298">
        <f>IF(ISBLANK(I44),IF(ISNUMBER(J44)=FALSE,K44*(3600*24),J44*(3600*24)),I44*(3600*24))</f>
        <v>4752000</v>
      </c>
      <c r="M44" s="38" t="s">
        <v>1052</v>
      </c>
      <c r="N44" s="17"/>
    </row>
    <row r="45" spans="1:14" ht="12.75" customHeight="1" x14ac:dyDescent="0.2">
      <c r="A45" s="17"/>
      <c r="B45" s="17"/>
      <c r="C45" s="17"/>
      <c r="D45" s="17"/>
      <c r="E45" s="17"/>
      <c r="F45" s="17"/>
      <c r="G45" s="17"/>
      <c r="H45" s="38"/>
      <c r="I45" s="13"/>
      <c r="J45" s="294"/>
      <c r="K45" s="296"/>
      <c r="L45" s="296"/>
      <c r="M45" s="17"/>
      <c r="N45" s="17"/>
    </row>
    <row r="46" spans="1:14" customFormat="1" ht="12.75" customHeight="1" x14ac:dyDescent="0.2">
      <c r="A46" s="148" t="s">
        <v>2017</v>
      </c>
      <c r="B46" s="147"/>
      <c r="C46" s="147"/>
      <c r="D46" s="147"/>
      <c r="E46" s="147"/>
      <c r="F46" s="147"/>
      <c r="G46" s="148" t="s">
        <v>263</v>
      </c>
      <c r="H46" s="148" t="s">
        <v>279</v>
      </c>
      <c r="I46" s="147" t="s">
        <v>264</v>
      </c>
      <c r="J46" s="271" t="s">
        <v>280</v>
      </c>
      <c r="K46" s="331" t="s">
        <v>265</v>
      </c>
      <c r="L46" s="331" t="s">
        <v>266</v>
      </c>
      <c r="M46" s="147"/>
      <c r="N46" s="148" t="s">
        <v>267</v>
      </c>
    </row>
    <row r="47" spans="1:14" ht="12.75" customHeight="1" x14ac:dyDescent="0.2">
      <c r="A47" s="17"/>
      <c r="B47" s="17"/>
      <c r="C47" s="17"/>
      <c r="D47" s="17"/>
      <c r="E47" s="17"/>
      <c r="F47" s="17"/>
      <c r="G47" s="17"/>
      <c r="H47" s="38"/>
      <c r="I47" s="13"/>
      <c r="J47" s="294"/>
      <c r="K47" s="296"/>
      <c r="L47" s="438"/>
      <c r="M47" s="17"/>
      <c r="N47" s="17"/>
    </row>
    <row r="48" spans="1:14" ht="12.75" customHeight="1" x14ac:dyDescent="0.2">
      <c r="A48" s="17"/>
      <c r="B48" s="38" t="s">
        <v>2600</v>
      </c>
      <c r="C48" s="38"/>
      <c r="D48" s="38"/>
      <c r="E48" s="38"/>
      <c r="F48" s="38"/>
      <c r="G48" s="38" t="s">
        <v>2601</v>
      </c>
      <c r="H48" s="38" t="s">
        <v>296</v>
      </c>
      <c r="I48" s="276"/>
      <c r="J48" s="294" t="str">
        <f>IF(ISBLANK(HLOOKUP(CaseName,CaseData,MATCH($G48,cases!$G$4:$G$2458,0),FALSE)),"",HLOOKUP(CaseName,CaseData,MATCH($G48,cases!$G$4:$G$2458,0),FALSE))</f>
        <v/>
      </c>
      <c r="K48" s="624">
        <f>1-L21 *L53/(1+L21*L53+L20*L54)-L20 *L54/(1+L21*L53+L20*L54)</f>
        <v>4.2327252813834093E-13</v>
      </c>
      <c r="L48" s="298">
        <f>IF(ISBLANK(I48),IF(ISNUMBER(J48)=FALSE,K48,J48),I48)</f>
        <v>4.2327252813834093E-13</v>
      </c>
      <c r="M48" s="38" t="s">
        <v>297</v>
      </c>
      <c r="N48" s="17"/>
    </row>
    <row r="49" spans="1:14" ht="12.75" customHeight="1" x14ac:dyDescent="0.2">
      <c r="A49" s="17"/>
      <c r="B49" s="17" t="s">
        <v>2020</v>
      </c>
      <c r="C49" s="17"/>
      <c r="D49" s="17"/>
      <c r="E49" s="17"/>
      <c r="F49" s="17"/>
      <c r="G49" s="17" t="s">
        <v>2602</v>
      </c>
      <c r="H49" s="17" t="s">
        <v>296</v>
      </c>
      <c r="I49" s="277"/>
      <c r="J49" s="294" t="str">
        <f>IF(ISBLANK(HLOOKUP(CaseName,CaseData,MATCH($G49,cases!$G$4:$G$2458,0),FALSE)),"",HLOOKUP(CaseName,CaseData,MATCH($G49,cases!$G$4:$G$2458,0),FALSE))</f>
        <v/>
      </c>
      <c r="K49" s="624">
        <f>L21 *L53/(1+L21*L53+L20*L54)</f>
        <v>0.74854509595646335</v>
      </c>
      <c r="L49" s="298">
        <f>IF(ISBLANK(I49),IF(ISNUMBER(J49)=FALSE,K49,J49),I49)</f>
        <v>0.74854509595646335</v>
      </c>
      <c r="M49" s="38" t="s">
        <v>297</v>
      </c>
      <c r="N49" s="17" t="s">
        <v>1080</v>
      </c>
    </row>
    <row r="50" spans="1:14" ht="12.75" customHeight="1" x14ac:dyDescent="0.2">
      <c r="A50" s="17"/>
      <c r="B50" s="17" t="s">
        <v>2022</v>
      </c>
      <c r="C50" s="17"/>
      <c r="D50" s="17"/>
      <c r="E50" s="17"/>
      <c r="F50" s="17"/>
      <c r="G50" s="17" t="s">
        <v>2603</v>
      </c>
      <c r="H50" s="17" t="s">
        <v>296</v>
      </c>
      <c r="I50" s="277"/>
      <c r="J50" s="294" t="str">
        <f>IF(ISBLANK(HLOOKUP(CaseName,CaseData,MATCH($G50,cases!$G$4:$G$2458,0),FALSE)),"",HLOOKUP(CaseName,CaseData,MATCH($G50,cases!$G$4:$G$2458,0),FALSE))</f>
        <v/>
      </c>
      <c r="K50" s="624">
        <f>L20 *L54/(1+L21*L53+L20*L54)</f>
        <v>0.25145490404311338</v>
      </c>
      <c r="L50" s="298">
        <f>IF(ISBLANK(I50),IF(ISNUMBER(J50)=FALSE,K50,J50),I50)</f>
        <v>0.25145490404311338</v>
      </c>
      <c r="M50" s="38" t="s">
        <v>297</v>
      </c>
      <c r="N50" s="17" t="s">
        <v>1080</v>
      </c>
    </row>
    <row r="51" spans="1:14" ht="12.75" customHeight="1" x14ac:dyDescent="0.2">
      <c r="A51" s="17"/>
      <c r="B51" s="38" t="s">
        <v>2024</v>
      </c>
      <c r="C51" s="38"/>
      <c r="D51" s="38"/>
      <c r="E51" s="38"/>
      <c r="F51" s="38"/>
      <c r="G51" s="38" t="s">
        <v>2604</v>
      </c>
      <c r="H51" s="38" t="s">
        <v>296</v>
      </c>
      <c r="I51" s="281"/>
      <c r="J51" s="294" t="str">
        <f>IF(ISBLANK(HLOOKUP(CaseName,CaseData,MATCH($G51,cases!$G$4:$G$2458,0),FALSE)),"",HLOOKUP(CaseName,CaseData,MATCH($G51,cases!$G$4:$G$2458,0),FALSE))</f>
        <v/>
      </c>
      <c r="K51" s="617">
        <f>Kaw*EXP((H0vap/8.314)*(1/298-1/L52))*EXP(-(H0sol/8.314)*(1/298-1/L52))*(298/L52)</f>
        <v>1.1310601233461476E-23</v>
      </c>
      <c r="L51" s="298">
        <f>IF(ISBLANK(I51),IF(ISNUMBER(J51)=FALSE,K51,J51),I51)</f>
        <v>1.1310601233461476E-23</v>
      </c>
      <c r="M51" s="38" t="s">
        <v>297</v>
      </c>
      <c r="N51" s="17"/>
    </row>
    <row r="52" spans="1:14" ht="12.75" customHeight="1" x14ac:dyDescent="0.2">
      <c r="A52" s="38"/>
      <c r="B52" s="38"/>
      <c r="C52" s="38" t="s">
        <v>2605</v>
      </c>
      <c r="D52" s="38"/>
      <c r="E52" s="38"/>
      <c r="F52" s="38"/>
      <c r="G52" s="38" t="s">
        <v>2606</v>
      </c>
      <c r="H52" s="38" t="s">
        <v>592</v>
      </c>
      <c r="I52" s="281"/>
      <c r="J52" s="294" t="str">
        <f>IF(ISBLANK(HLOOKUP(CaseName,CaseData,MATCH($G52,cases!$G$4:$G$2458,0),FALSE)),"",HLOOKUP(CaseName,CaseData,MATCH($G52,cases!$G$4:$G$2458,0),FALSE))</f>
        <v/>
      </c>
      <c r="K52" s="617">
        <v>12</v>
      </c>
      <c r="L52" s="298">
        <f>IF(ISBLANK(I52),IF(ISNUMBER(J52)=FALSE,K52+273,J52+273),I52+273)</f>
        <v>285</v>
      </c>
      <c r="M52" s="38" t="s">
        <v>593</v>
      </c>
      <c r="N52" s="17"/>
    </row>
    <row r="53" spans="1:14" ht="12.75" customHeight="1" x14ac:dyDescent="0.25">
      <c r="A53" s="17"/>
      <c r="B53" s="17"/>
      <c r="C53" s="17" t="s">
        <v>2026</v>
      </c>
      <c r="D53" s="17"/>
      <c r="E53" s="17"/>
      <c r="F53" s="17"/>
      <c r="G53" s="17" t="s">
        <v>2607</v>
      </c>
      <c r="H53" s="17" t="s">
        <v>1088</v>
      </c>
      <c r="I53" s="277"/>
      <c r="J53" s="294" t="str">
        <f>IF(ISBLANK(HLOOKUP(CaseName,CaseData,MATCH($G53,cases!$G$4:$G$2458,0),FALSE)),"",HLOOKUP(CaseName,CaseData,MATCH($G53,cases!$G$4:$G$2458,0),FALSE))</f>
        <v/>
      </c>
      <c r="K53" s="436">
        <f>1/(L51*FRorig.aerw)</f>
        <v>8.8412629829224543E+22</v>
      </c>
      <c r="L53" s="298">
        <f t="shared" ref="L53:L60" si="3">IF(ISBLANK(I53),IF(ISNUMBER(J53)=FALSE,K53,J53),I53)</f>
        <v>8.8412629829224543E+22</v>
      </c>
      <c r="M53" s="38" t="s">
        <v>2608</v>
      </c>
      <c r="N53" s="17"/>
    </row>
    <row r="54" spans="1:14" ht="12.75" customHeight="1" x14ac:dyDescent="0.25">
      <c r="A54" s="17"/>
      <c r="B54" s="17"/>
      <c r="C54" s="17" t="s">
        <v>2028</v>
      </c>
      <c r="D54" s="17"/>
      <c r="E54" s="17"/>
      <c r="F54" s="17"/>
      <c r="G54" s="17" t="s">
        <v>2609</v>
      </c>
      <c r="H54" s="17" t="s">
        <v>1091</v>
      </c>
      <c r="I54" s="277"/>
      <c r="J54" s="294" t="str">
        <f>IF(ISBLANK(HLOOKUP(CaseName,CaseData,MATCH($G54,cases!$G$4:$G$2458,0),FALSE)),"",HLOOKUP(CaseName,CaseData,MATCH($G54,cases!$G$4:$G$2458,0),FALSE))</f>
        <v/>
      </c>
      <c r="K54" s="436">
        <f>0.54*(Kow/Kaw)*CORGaers*(RHOaers/1000)</f>
        <v>2.9700000000000003E+22</v>
      </c>
      <c r="L54" s="298">
        <f t="shared" si="3"/>
        <v>2.9700000000000003E+22</v>
      </c>
      <c r="M54" s="38" t="s">
        <v>2610</v>
      </c>
      <c r="N54" s="17" t="s">
        <v>1092</v>
      </c>
    </row>
    <row r="55" spans="1:14" ht="12.75" customHeight="1" x14ac:dyDescent="0.2">
      <c r="A55" s="38"/>
      <c r="B55" s="38" t="s">
        <v>2611</v>
      </c>
      <c r="C55" s="146"/>
      <c r="D55" s="17"/>
      <c r="E55" s="17"/>
      <c r="F55" s="17"/>
      <c r="G55" s="38" t="s">
        <v>2612</v>
      </c>
      <c r="H55" s="38" t="s">
        <v>296</v>
      </c>
      <c r="I55" s="276"/>
      <c r="J55" s="294" t="str">
        <f>IF(ISBLANK(HLOOKUP(CaseName,CaseData,MATCH($G55,cases!$G$4:$G$2458,0),FALSE)),"",HLOOKUP(CaseName,CaseData,MATCH($G55,cases!$G$4:$G$2458,0),FALSE))</f>
        <v/>
      </c>
      <c r="K55" s="428">
        <f>1/(1+L57*L61/1000+L63*L65/1000)</f>
        <v>0.99928051802702045</v>
      </c>
      <c r="L55" s="298">
        <f t="shared" si="3"/>
        <v>0.99928051802702045</v>
      </c>
      <c r="M55" s="38" t="s">
        <v>297</v>
      </c>
      <c r="N55" s="17"/>
    </row>
    <row r="56" spans="1:14" ht="12.75" customHeight="1" x14ac:dyDescent="0.2">
      <c r="A56" s="38"/>
      <c r="B56" s="38" t="s">
        <v>2613</v>
      </c>
      <c r="C56" s="146"/>
      <c r="D56" s="17"/>
      <c r="E56" s="17"/>
      <c r="F56" s="17"/>
      <c r="G56" s="38" t="s">
        <v>2614</v>
      </c>
      <c r="H56" s="38" t="s">
        <v>296</v>
      </c>
      <c r="I56" s="281"/>
      <c r="J56" s="294" t="str">
        <f>IF(ISBLANK(HLOOKUP(CaseName,CaseData,MATCH($G56,cases!$G$4:$G$2458,0),FALSE)),"",HLOOKUP(CaseName,CaseData,MATCH($G56,cases!$G$4:$G$2458,0),FALSE))</f>
        <v/>
      </c>
      <c r="K56" s="428">
        <f>1/(1+L58*L62/1000+L64*L66/1000)</f>
        <v>0.99928051802702045</v>
      </c>
      <c r="L56" s="298">
        <f t="shared" si="3"/>
        <v>0.99928051802702045</v>
      </c>
      <c r="M56" s="38" t="s">
        <v>297</v>
      </c>
      <c r="N56" s="17"/>
    </row>
    <row r="57" spans="1:14" ht="12.75" customHeight="1" x14ac:dyDescent="0.2">
      <c r="A57" s="38"/>
      <c r="B57" s="17"/>
      <c r="C57" s="38" t="s">
        <v>2615</v>
      </c>
      <c r="D57" s="17"/>
      <c r="E57" s="17"/>
      <c r="F57" s="17"/>
      <c r="G57" s="146" t="s">
        <v>2616</v>
      </c>
      <c r="H57" s="38" t="s">
        <v>1097</v>
      </c>
      <c r="I57" s="281"/>
      <c r="J57" s="294" t="str">
        <f>IF(ISBLANK(HLOOKUP(CaseName,CaseData,MATCH($G57,cases!$G$4:$G$2458,0),FALSE)),"",HLOOKUP(CaseName,CaseData,MATCH($G57,cases!$G$4:$G$2458,0),FALSE))</f>
        <v/>
      </c>
      <c r="K57" s="428">
        <f>(FRorig.w2*Ksw+(1-FRorig.w2)*Ksw.alt)*(1000/RHOsolid/CORG)*L59</f>
        <v>100</v>
      </c>
      <c r="L57" s="298">
        <f t="shared" si="3"/>
        <v>100</v>
      </c>
      <c r="M57" s="38" t="s">
        <v>1098</v>
      </c>
      <c r="N57" s="17"/>
    </row>
    <row r="58" spans="1:14" ht="12.75" customHeight="1" x14ac:dyDescent="0.2">
      <c r="A58" s="38"/>
      <c r="B58" s="17"/>
      <c r="C58" s="38" t="s">
        <v>2617</v>
      </c>
      <c r="D58" s="17"/>
      <c r="E58" s="17"/>
      <c r="F58" s="17"/>
      <c r="G58" s="146" t="s">
        <v>2618</v>
      </c>
      <c r="H58" s="38" t="s">
        <v>1098</v>
      </c>
      <c r="I58" s="281"/>
      <c r="J58" s="294" t="str">
        <f>IF(ISBLANK(HLOOKUP(CaseName,CaseData,MATCH($G58,cases!$G$4:$G$2458,0),FALSE)),"",HLOOKUP(CaseName,CaseData,MATCH($G58,cases!$G$4:$G$2458,0),FALSE))</f>
        <v/>
      </c>
      <c r="K58" s="428">
        <f>(FRorig.w2*Ksw+(1-FRorig.w2)*Ksw.alt)*(1000/RHOsolid/CORG)*L60</f>
        <v>100</v>
      </c>
      <c r="L58" s="298">
        <f t="shared" si="3"/>
        <v>100</v>
      </c>
      <c r="M58" s="38" t="s">
        <v>1098</v>
      </c>
      <c r="N58" s="17"/>
    </row>
    <row r="59" spans="1:14" ht="12.75" customHeight="1" x14ac:dyDescent="0.2">
      <c r="A59" s="38"/>
      <c r="B59" s="17"/>
      <c r="C59" s="38" t="s">
        <v>2619</v>
      </c>
      <c r="D59" s="17"/>
      <c r="E59" s="17"/>
      <c r="F59" s="17"/>
      <c r="G59" s="146" t="s">
        <v>2620</v>
      </c>
      <c r="H59" s="38" t="s">
        <v>296</v>
      </c>
      <c r="I59" s="281"/>
      <c r="J59" s="294" t="str">
        <f>IF(ISBLANK(HLOOKUP(CaseName,CaseData,MATCH($G59,cases!$G$4:$G$2458,0),FALSE)),"",HLOOKUP(CaseName,CaseData,MATCH($G59,cases!$G$4:$G$2458,0),FALSE))</f>
        <v/>
      </c>
      <c r="K59" s="428">
        <v>0.1</v>
      </c>
      <c r="L59" s="298">
        <f t="shared" si="3"/>
        <v>0.1</v>
      </c>
      <c r="M59" s="38" t="s">
        <v>297</v>
      </c>
      <c r="N59" s="17"/>
    </row>
    <row r="60" spans="1:14" ht="12.75" customHeight="1" x14ac:dyDescent="0.2">
      <c r="A60" s="38"/>
      <c r="B60" s="17"/>
      <c r="C60" s="38" t="s">
        <v>2621</v>
      </c>
      <c r="D60" s="17"/>
      <c r="E60" s="17"/>
      <c r="F60" s="17"/>
      <c r="G60" s="146" t="s">
        <v>2622</v>
      </c>
      <c r="H60" s="38" t="s">
        <v>296</v>
      </c>
      <c r="I60" s="281"/>
      <c r="J60" s="294" t="str">
        <f>IF(ISBLANK(HLOOKUP(CaseName,CaseData,MATCH($G60,cases!$G$4:$G$2458,0),FALSE)),"",HLOOKUP(CaseName,CaseData,MATCH($G60,cases!$G$4:$G$2458,0),FALSE))</f>
        <v/>
      </c>
      <c r="K60" s="428">
        <v>0.1</v>
      </c>
      <c r="L60" s="298">
        <f t="shared" si="3"/>
        <v>0.1</v>
      </c>
      <c r="M60" s="38" t="s">
        <v>297</v>
      </c>
      <c r="N60" s="17"/>
    </row>
    <row r="61" spans="1:14" ht="12.75" customHeight="1" x14ac:dyDescent="0.2">
      <c r="A61" s="38"/>
      <c r="B61" s="17"/>
      <c r="C61" s="38" t="s">
        <v>2623</v>
      </c>
      <c r="D61" s="17"/>
      <c r="E61" s="17"/>
      <c r="F61" s="17"/>
      <c r="G61" s="146" t="s">
        <v>2624</v>
      </c>
      <c r="H61" s="38" t="s">
        <v>586</v>
      </c>
      <c r="I61" s="281"/>
      <c r="J61" s="294" t="str">
        <f>IF(ISBLANK(HLOOKUP(CaseName,CaseData,MATCH($G61,cases!$G$4:$G$2458,0),FALSE)),"",HLOOKUP(CaseName,CaseData,MATCH($G61,cases!$G$4:$G$2458,0),FALSE))</f>
        <v/>
      </c>
      <c r="K61" s="428">
        <v>5</v>
      </c>
      <c r="L61" s="298">
        <f>IF(ISBLANK(I61),IF(ISNUMBER(J61)=FALSE,K61/1000,J61/1000),I61/1000)</f>
        <v>5.0000000000000001E-3</v>
      </c>
      <c r="M61" s="38" t="s">
        <v>724</v>
      </c>
      <c r="N61" s="17"/>
    </row>
    <row r="62" spans="1:14" ht="12.75" customHeight="1" x14ac:dyDescent="0.2">
      <c r="A62" s="38"/>
      <c r="B62" s="17"/>
      <c r="C62" s="38" t="s">
        <v>2625</v>
      </c>
      <c r="D62" s="17"/>
      <c r="E62" s="17"/>
      <c r="F62" s="17"/>
      <c r="G62" s="146" t="s">
        <v>2626</v>
      </c>
      <c r="H62" s="38" t="s">
        <v>586</v>
      </c>
      <c r="I62" s="281"/>
      <c r="J62" s="294" t="str">
        <f>IF(ISBLANK(HLOOKUP(CaseName,CaseData,MATCH($G62,cases!$G$4:$G$2458,0),FALSE)),"",HLOOKUP(CaseName,CaseData,MATCH($G62,cases!$G$4:$G$2458,0),FALSE))</f>
        <v/>
      </c>
      <c r="K62" s="428">
        <v>5</v>
      </c>
      <c r="L62" s="298">
        <f>IF(ISBLANK(I62),IF(ISNUMBER(J62)=FALSE,K62/1000,J62/1000),I62/1000)</f>
        <v>5.0000000000000001E-3</v>
      </c>
      <c r="M62" s="38" t="s">
        <v>724</v>
      </c>
      <c r="N62" s="17"/>
    </row>
    <row r="63" spans="1:14" ht="12.75" customHeight="1" x14ac:dyDescent="0.2">
      <c r="A63" s="38"/>
      <c r="B63" s="17"/>
      <c r="C63" s="38" t="s">
        <v>2627</v>
      </c>
      <c r="D63" s="17"/>
      <c r="E63" s="17"/>
      <c r="F63" s="17"/>
      <c r="G63" s="146" t="s">
        <v>2628</v>
      </c>
      <c r="H63" s="38" t="s">
        <v>1103</v>
      </c>
      <c r="I63" s="274"/>
      <c r="J63" s="294" t="str">
        <f>IF(ISBLANK(HLOOKUP(CaseName,CaseData,MATCH($G63,cases!$G$4:$G$2458,0),FALSE)),"",HLOOKUP(CaseName,CaseData,MATCH($G63,cases!$G$4:$G$2458,0),FALSE))</f>
        <v/>
      </c>
      <c r="K63" s="428">
        <f>0.08*D</f>
        <v>220</v>
      </c>
      <c r="L63" s="298">
        <f>IF(ISBLANK(I63),IF(ISNUMBER(J63)=FALSE,K63,J63),I63)</f>
        <v>220</v>
      </c>
      <c r="M63" s="38" t="s">
        <v>1098</v>
      </c>
      <c r="N63" s="17"/>
    </row>
    <row r="64" spans="1:14" ht="12.75" customHeight="1" x14ac:dyDescent="0.2">
      <c r="A64" s="38"/>
      <c r="B64" s="17"/>
      <c r="C64" s="38" t="s">
        <v>2629</v>
      </c>
      <c r="D64" s="17"/>
      <c r="E64" s="17"/>
      <c r="F64" s="17"/>
      <c r="G64" s="146" t="s">
        <v>2630</v>
      </c>
      <c r="H64" s="38" t="s">
        <v>1103</v>
      </c>
      <c r="I64" s="274"/>
      <c r="J64" s="294" t="str">
        <f>IF(ISBLANK(HLOOKUP(CaseName,CaseData,MATCH($G64,cases!$G$4:$G$2458,0),FALSE)),"",HLOOKUP(CaseName,CaseData,MATCH($G64,cases!$G$4:$G$2458,0),FALSE))</f>
        <v/>
      </c>
      <c r="K64" s="428">
        <f>0.08*D</f>
        <v>220</v>
      </c>
      <c r="L64" s="298">
        <f>IF(ISBLANK(I64),IF(ISNUMBER(J64)=FALSE,K64,J64),I64)</f>
        <v>220</v>
      </c>
      <c r="M64" s="38" t="s">
        <v>1098</v>
      </c>
      <c r="N64" s="17"/>
    </row>
    <row r="65" spans="1:14" ht="12.75" customHeight="1" x14ac:dyDescent="0.2">
      <c r="A65" s="38"/>
      <c r="B65" s="17"/>
      <c r="C65" s="38" t="s">
        <v>2631</v>
      </c>
      <c r="D65" s="17"/>
      <c r="E65" s="17"/>
      <c r="F65" s="17"/>
      <c r="G65" s="146" t="s">
        <v>2632</v>
      </c>
      <c r="H65" s="38" t="s">
        <v>723</v>
      </c>
      <c r="I65" s="274"/>
      <c r="J65" s="294" t="str">
        <f>IF(ISBLANK(HLOOKUP(CaseName,CaseData,MATCH($G65,cases!$G$4:$G$2458,0),FALSE)),"",HLOOKUP(CaseName,CaseData,MATCH($G65,cases!$G$4:$G$2458,0),FALSE))</f>
        <v/>
      </c>
      <c r="K65" s="428">
        <v>1</v>
      </c>
      <c r="L65" s="298">
        <f>IF(ISBLANK(I65),IF(ISNUMBER(J65)=FALSE,K65/1000,J65/1000),I65/1000)</f>
        <v>1E-3</v>
      </c>
      <c r="M65" s="38" t="s">
        <v>724</v>
      </c>
      <c r="N65" s="17"/>
    </row>
    <row r="66" spans="1:14" ht="12.75" customHeight="1" x14ac:dyDescent="0.2">
      <c r="A66" s="38"/>
      <c r="B66" s="17"/>
      <c r="C66" s="38" t="s">
        <v>2633</v>
      </c>
      <c r="D66" s="17"/>
      <c r="E66" s="17"/>
      <c r="F66" s="17"/>
      <c r="G66" s="146" t="s">
        <v>2634</v>
      </c>
      <c r="H66" s="38" t="s">
        <v>723</v>
      </c>
      <c r="I66" s="274"/>
      <c r="J66" s="294" t="str">
        <f>IF(ISBLANK(HLOOKUP(CaseName,CaseData,MATCH($G66,cases!$G$4:$G$2458,0),FALSE)),"",HLOOKUP(CaseName,CaseData,MATCH($G66,cases!$G$4:$G$2458,0),FALSE))</f>
        <v/>
      </c>
      <c r="K66" s="428">
        <v>1</v>
      </c>
      <c r="L66" s="298">
        <f>IF(ISBLANK(I66),IF(ISNUMBER(J66)=FALSE,K66/1000,J66/1000),I66/1000)</f>
        <v>1E-3</v>
      </c>
      <c r="M66" s="38" t="s">
        <v>724</v>
      </c>
      <c r="N66" s="17"/>
    </row>
    <row r="67" spans="1:14" ht="12.75" customHeight="1" x14ac:dyDescent="0.2">
      <c r="A67" s="38"/>
      <c r="B67" s="38" t="s">
        <v>2635</v>
      </c>
      <c r="C67" s="146"/>
      <c r="D67" s="17"/>
      <c r="E67" s="17"/>
      <c r="F67" s="17"/>
      <c r="G67" s="146" t="s">
        <v>2636</v>
      </c>
      <c r="H67" s="38" t="s">
        <v>296</v>
      </c>
      <c r="I67" s="281"/>
      <c r="J67" s="294" t="str">
        <f>IF(ISBLANK(HLOOKUP(CaseName,CaseData,MATCH($G67,cases!$G$4:$G$2458,0),FALSE)),"",HLOOKUP(CaseName,CaseData,MATCH($G67,cases!$G$4:$G$2458,0),FALSE))</f>
        <v/>
      </c>
      <c r="K67" s="428">
        <f>L25+L26*L68*RHOsolid/1000</f>
        <v>25.799999999999997</v>
      </c>
      <c r="L67" s="298">
        <f t="shared" ref="L67:L74" si="4">IF(ISBLANK(I67),IF(ISNUMBER(J67)=FALSE,K67,J67),I67)</f>
        <v>25.799999999999997</v>
      </c>
      <c r="M67" s="38" t="s">
        <v>297</v>
      </c>
      <c r="N67" s="17"/>
    </row>
    <row r="68" spans="1:14" ht="12.75" customHeight="1" x14ac:dyDescent="0.2">
      <c r="A68" s="38"/>
      <c r="B68" s="17"/>
      <c r="C68" s="38" t="s">
        <v>2637</v>
      </c>
      <c r="D68" s="17"/>
      <c r="E68" s="17"/>
      <c r="F68" s="17"/>
      <c r="G68" s="146" t="s">
        <v>2638</v>
      </c>
      <c r="H68" s="38" t="s">
        <v>1097</v>
      </c>
      <c r="I68" s="281"/>
      <c r="J68" s="294" t="str">
        <f>IF(ISBLANK(HLOOKUP(CaseName,CaseData,MATCH($G68,cases!$G$4:$G$2458,0),FALSE)),"",HLOOKUP(CaseName,CaseData,MATCH($G68,cases!$G$4:$G$2458,0),FALSE))</f>
        <v/>
      </c>
      <c r="K68" s="428">
        <f>(FRorig.sd2*Ksw+(1-FRorig.sd2)*Ksw.alt)*(1000/RHOsolid/CORG)*L69</f>
        <v>50</v>
      </c>
      <c r="L68" s="298">
        <f t="shared" si="4"/>
        <v>50</v>
      </c>
      <c r="M68" s="38" t="s">
        <v>1098</v>
      </c>
      <c r="N68" s="17"/>
    </row>
    <row r="69" spans="1:14" ht="12.75" customHeight="1" x14ac:dyDescent="0.2">
      <c r="A69" s="38"/>
      <c r="B69" s="17"/>
      <c r="C69" s="38" t="s">
        <v>2639</v>
      </c>
      <c r="D69" s="17"/>
      <c r="E69" s="17"/>
      <c r="F69" s="17"/>
      <c r="G69" s="146" t="s">
        <v>2640</v>
      </c>
      <c r="H69" s="38" t="s">
        <v>296</v>
      </c>
      <c r="I69" s="281"/>
      <c r="J69" s="294" t="str">
        <f>IF(ISBLANK(HLOOKUP(CaseName,CaseData,MATCH($G69,cases!$G$4:$G$2458,0),FALSE)),"",HLOOKUP(CaseName,CaseData,MATCH($G69,cases!$G$4:$G$2458,0),FALSE))</f>
        <v/>
      </c>
      <c r="K69" s="428">
        <v>0.05</v>
      </c>
      <c r="L69" s="298">
        <f t="shared" si="4"/>
        <v>0.05</v>
      </c>
      <c r="M69" s="38" t="s">
        <v>297</v>
      </c>
      <c r="N69" s="17"/>
    </row>
    <row r="70" spans="1:14" ht="12.75" customHeight="1" x14ac:dyDescent="0.2">
      <c r="A70" s="38"/>
      <c r="B70" s="38" t="s">
        <v>2641</v>
      </c>
      <c r="C70" s="146"/>
      <c r="D70" s="17"/>
      <c r="E70" s="17"/>
      <c r="F70" s="17"/>
      <c r="G70" s="146" t="s">
        <v>2642</v>
      </c>
      <c r="H70" s="38" t="s">
        <v>296</v>
      </c>
      <c r="I70" s="281"/>
      <c r="J70" s="294" t="str">
        <f>IF(ISBLANK(HLOOKUP(CaseName,CaseData,MATCH($G70,cases!$G$4:$G$2458,0),FALSE)),"",HLOOKUP(CaseName,CaseData,MATCH($G70,cases!$G$4:$G$2458,0),FALSE))</f>
        <v/>
      </c>
      <c r="K70" s="428">
        <f>L22*(L51*FRorig.s1w)+L23+L24*L73*RHOsolid/1000</f>
        <v>30.200000000000003</v>
      </c>
      <c r="L70" s="298">
        <f t="shared" si="4"/>
        <v>30.200000000000003</v>
      </c>
      <c r="M70" s="17" t="s">
        <v>297</v>
      </c>
      <c r="N70" s="17"/>
    </row>
    <row r="71" spans="1:14" ht="12.75" customHeight="1" x14ac:dyDescent="0.2">
      <c r="A71" s="38"/>
      <c r="B71" s="38" t="s">
        <v>2643</v>
      </c>
      <c r="C71" s="146"/>
      <c r="D71" s="17"/>
      <c r="E71" s="17"/>
      <c r="F71" s="17"/>
      <c r="G71" s="146" t="s">
        <v>2644</v>
      </c>
      <c r="H71" s="38" t="s">
        <v>296</v>
      </c>
      <c r="I71" s="281"/>
      <c r="J71" s="294" t="str">
        <f>IF(ISBLANK(HLOOKUP(CaseName,CaseData,MATCH($G71,cases!$G$4:$G$2458,0),FALSE)),"",HLOOKUP(CaseName,CaseData,MATCH($G71,cases!$G$4:$G$2458,0),FALSE))</f>
        <v/>
      </c>
      <c r="K71" s="428">
        <f>L23/(L22*(L51*FRorig.s1w)+L23+L24*L73*RHOsolid/1000)</f>
        <v>6.6225165562913907E-3</v>
      </c>
      <c r="L71" s="298">
        <f t="shared" si="4"/>
        <v>6.6225165562913907E-3</v>
      </c>
      <c r="M71" s="17" t="s">
        <v>297</v>
      </c>
      <c r="N71" s="17"/>
    </row>
    <row r="72" spans="1:14" ht="12.75" customHeight="1" x14ac:dyDescent="0.2">
      <c r="A72" s="38"/>
      <c r="B72" s="38" t="s">
        <v>2645</v>
      </c>
      <c r="C72" s="146"/>
      <c r="D72" s="17"/>
      <c r="E72" s="17"/>
      <c r="F72" s="17"/>
      <c r="G72" s="146" t="s">
        <v>2646</v>
      </c>
      <c r="H72" s="38" t="s">
        <v>296</v>
      </c>
      <c r="I72" s="281"/>
      <c r="J72" s="294" t="str">
        <f>IF(ISBLANK(HLOOKUP(CaseName,CaseData,MATCH($G72,cases!$G$4:$G$2458,0),FALSE)),"",HLOOKUP(CaseName,CaseData,MATCH($G72,cases!$G$4:$G$2458,0),FALSE))</f>
        <v/>
      </c>
      <c r="K72" s="428">
        <f>L24 / (L22*L51*FRorig.s1w/(L73*RHOsolid/1000)+L23/(L73*RHOsolid/1000)+L24 )</f>
        <v>0.99337748344370858</v>
      </c>
      <c r="L72" s="298">
        <f t="shared" si="4"/>
        <v>0.99337748344370858</v>
      </c>
      <c r="M72" s="5" t="s">
        <v>297</v>
      </c>
      <c r="N72" s="17"/>
    </row>
    <row r="73" spans="1:14" ht="12.75" customHeight="1" x14ac:dyDescent="0.2">
      <c r="A73" s="38"/>
      <c r="B73" s="17"/>
      <c r="C73" s="38" t="s">
        <v>2647</v>
      </c>
      <c r="D73" s="17"/>
      <c r="E73" s="17"/>
      <c r="F73" s="17"/>
      <c r="G73" s="146" t="s">
        <v>2648</v>
      </c>
      <c r="H73" s="38" t="s">
        <v>1097</v>
      </c>
      <c r="I73" s="281"/>
      <c r="J73" s="294" t="str">
        <f>IF(ISBLANK(HLOOKUP(CaseName,CaseData,MATCH($G73,cases!$G$4:$G$2458,0),FALSE)),"",HLOOKUP(CaseName,CaseData,MATCH($G73,cases!$G$4:$G$2458,0),FALSE))</f>
        <v/>
      </c>
      <c r="K73" s="428">
        <f>(FRorig.s1*Ksw+(1-FRorig.s1)*Ksw.alt)*(1000/RHOsolid/CORG)*L74</f>
        <v>20</v>
      </c>
      <c r="L73" s="298">
        <f t="shared" si="4"/>
        <v>20</v>
      </c>
      <c r="M73" s="38" t="s">
        <v>1098</v>
      </c>
      <c r="N73" s="17"/>
    </row>
    <row r="74" spans="1:14" ht="12.75" customHeight="1" x14ac:dyDescent="0.2">
      <c r="A74" s="38"/>
      <c r="B74" s="17"/>
      <c r="C74" s="38" t="s">
        <v>2649</v>
      </c>
      <c r="D74" s="17"/>
      <c r="E74" s="17"/>
      <c r="F74" s="17"/>
      <c r="G74" s="146" t="s">
        <v>2650</v>
      </c>
      <c r="H74" s="38" t="s">
        <v>296</v>
      </c>
      <c r="I74" s="281"/>
      <c r="J74" s="294" t="str">
        <f>IF(ISBLANK(HLOOKUP(CaseName,CaseData,MATCH($G74,cases!$G$4:$G$2458,0),FALSE)),"",HLOOKUP(CaseName,CaseData,MATCH($G74,cases!$G$4:$G$2458,0),FALSE))</f>
        <v/>
      </c>
      <c r="K74" s="428">
        <v>0.02</v>
      </c>
      <c r="L74" s="298">
        <f t="shared" si="4"/>
        <v>0.02</v>
      </c>
      <c r="M74" s="17" t="s">
        <v>297</v>
      </c>
      <c r="N74" s="17"/>
    </row>
    <row r="75" spans="1:14" ht="12.75" customHeight="1" x14ac:dyDescent="0.2">
      <c r="A75" s="17"/>
      <c r="B75" s="17"/>
      <c r="C75" s="17"/>
      <c r="D75" s="17"/>
      <c r="E75" s="17"/>
      <c r="F75" s="17"/>
      <c r="G75" s="17"/>
      <c r="H75" s="38"/>
      <c r="I75" s="13"/>
      <c r="J75" s="294"/>
      <c r="K75" s="296"/>
      <c r="L75" s="296"/>
      <c r="M75" s="17"/>
      <c r="N75" s="17"/>
    </row>
    <row r="76" spans="1:14" customFormat="1" ht="12.75" customHeight="1" x14ac:dyDescent="0.2">
      <c r="A76" s="148" t="s">
        <v>1162</v>
      </c>
      <c r="B76" s="147"/>
      <c r="C76" s="147"/>
      <c r="D76" s="147"/>
      <c r="E76" s="147"/>
      <c r="F76" s="147"/>
      <c r="G76" s="148" t="s">
        <v>263</v>
      </c>
      <c r="H76" s="148" t="s">
        <v>279</v>
      </c>
      <c r="I76" s="147" t="s">
        <v>264</v>
      </c>
      <c r="J76" s="271" t="s">
        <v>280</v>
      </c>
      <c r="K76" s="331" t="s">
        <v>265</v>
      </c>
      <c r="L76" s="331" t="s">
        <v>266</v>
      </c>
      <c r="M76" s="147"/>
      <c r="N76" s="148" t="s">
        <v>267</v>
      </c>
    </row>
    <row r="77" spans="1:14" ht="12.75" customHeight="1" x14ac:dyDescent="0.2">
      <c r="A77" s="17"/>
      <c r="B77" s="17"/>
      <c r="C77" s="17"/>
      <c r="D77" s="17"/>
      <c r="E77" s="17"/>
      <c r="F77" s="17"/>
      <c r="G77" s="17"/>
      <c r="H77" s="38"/>
      <c r="I77" s="13"/>
      <c r="J77" s="294"/>
      <c r="K77" s="296"/>
      <c r="L77" s="296"/>
      <c r="M77" s="17"/>
      <c r="N77" s="17"/>
    </row>
    <row r="78" spans="1:14" ht="12.75" customHeight="1" x14ac:dyDescent="0.2">
      <c r="A78" s="38" t="s">
        <v>2651</v>
      </c>
      <c r="B78" s="17"/>
      <c r="C78" s="17"/>
      <c r="D78" s="17"/>
      <c r="E78" s="17"/>
      <c r="F78" s="17"/>
      <c r="G78" s="38" t="s">
        <v>2652</v>
      </c>
      <c r="H78" s="38" t="s">
        <v>624</v>
      </c>
      <c r="I78" s="276"/>
      <c r="J78" s="294" t="str">
        <f>IF(ISBLANK(HLOOKUP(CaseName,CaseData,MATCH($G78,cases!$G$4:$G$2458,0),FALSE)),"",HLOOKUP(CaseName,CaseData,MATCH($G78,cases!$G$4:$G$2458,0),FALSE))</f>
        <v/>
      </c>
      <c r="K78" s="617">
        <f>(L82+L94/L14)*L12</f>
        <v>3.9542347198872658E-6</v>
      </c>
      <c r="L78" s="298">
        <f t="shared" ref="L78:L85" si="5">IF(ISBLANK(I78),IF(ISNUMBER(J78)=FALSE,K78,J78),I78)</f>
        <v>3.9542347198872658E-6</v>
      </c>
      <c r="M78" s="17" t="s">
        <v>1048</v>
      </c>
      <c r="N78" s="17"/>
    </row>
    <row r="79" spans="1:14" ht="12.75" customHeight="1" x14ac:dyDescent="0.2">
      <c r="A79" s="38" t="s">
        <v>2653</v>
      </c>
      <c r="B79" s="17"/>
      <c r="C79" s="17"/>
      <c r="D79" s="17"/>
      <c r="E79" s="17"/>
      <c r="F79" s="17"/>
      <c r="G79" s="38" t="s">
        <v>2654</v>
      </c>
      <c r="H79" s="38" t="s">
        <v>624</v>
      </c>
      <c r="I79" s="276"/>
      <c r="J79" s="294" t="str">
        <f>IF(ISBLANK(HLOOKUP(CaseName,CaseData,MATCH($G79,cases!$G$4:$G$2458,0),FALSE)),"",HLOOKUP(CaseName,CaseData,MATCH($G79,cases!$G$4:$G$2458,0),FALSE))</f>
        <v/>
      </c>
      <c r="K79" s="617">
        <f>(L82+L95/L14)*L13</f>
        <v>3.9542347198861104E-6</v>
      </c>
      <c r="L79" s="298">
        <f t="shared" si="5"/>
        <v>3.9542347198861104E-6</v>
      </c>
      <c r="M79" s="17" t="s">
        <v>1048</v>
      </c>
      <c r="N79" s="17"/>
    </row>
    <row r="80" spans="1:14" ht="12.75" customHeight="1" x14ac:dyDescent="0.2">
      <c r="A80" s="38" t="s">
        <v>2655</v>
      </c>
      <c r="B80" s="17"/>
      <c r="C80" s="17"/>
      <c r="D80" s="17"/>
      <c r="E80" s="17"/>
      <c r="F80" s="17"/>
      <c r="G80" s="38" t="s">
        <v>2656</v>
      </c>
      <c r="H80" s="38" t="s">
        <v>624</v>
      </c>
      <c r="I80" s="276"/>
      <c r="J80" s="294" t="str">
        <f>IF(ISBLANK(HLOOKUP(CaseName,CaseData,MATCH($G80,cases!$G$4:$G$2458,0),FALSE)),"",HLOOKUP(CaseName,CaseData,MATCH($G80,cases!$G$4:$G$2458,0),FALSE))</f>
        <v/>
      </c>
      <c r="K80" s="617">
        <f>L96/L15</f>
        <v>7.356097733945245E-28</v>
      </c>
      <c r="L80" s="298">
        <f t="shared" si="5"/>
        <v>7.356097733945245E-28</v>
      </c>
      <c r="M80" s="17" t="s">
        <v>1048</v>
      </c>
      <c r="N80" s="17"/>
    </row>
    <row r="81" spans="1:14" ht="12.75" customHeight="1" x14ac:dyDescent="0.2">
      <c r="A81" s="38" t="s">
        <v>2657</v>
      </c>
      <c r="B81" s="17"/>
      <c r="C81" s="17"/>
      <c r="D81" s="17"/>
      <c r="E81" s="17"/>
      <c r="F81" s="17"/>
      <c r="G81" s="38" t="s">
        <v>2658</v>
      </c>
      <c r="H81" s="38" t="s">
        <v>624</v>
      </c>
      <c r="I81" s="276"/>
      <c r="J81" s="294" t="str">
        <f>IF(ISBLANK(HLOOKUP(CaseName,CaseData,MATCH($G81,cases!$G$4:$G$2458,0),FALSE)),"",HLOOKUP(CaseName,CaseData,MATCH($G81,cases!$G$4:$G$2458,0),FALSE))</f>
        <v/>
      </c>
      <c r="K81" s="617">
        <f>L97/L18</f>
        <v>9.9730623667322376E-27</v>
      </c>
      <c r="L81" s="298">
        <f t="shared" si="5"/>
        <v>9.9730623667322376E-27</v>
      </c>
      <c r="M81" s="17" t="s">
        <v>1048</v>
      </c>
      <c r="N81" s="17"/>
    </row>
    <row r="82" spans="1:14" ht="12.75" customHeight="1" x14ac:dyDescent="0.2">
      <c r="A82" s="38"/>
      <c r="B82" s="38" t="s">
        <v>2659</v>
      </c>
      <c r="C82" s="17"/>
      <c r="D82" s="17"/>
      <c r="E82" s="17"/>
      <c r="F82" s="17"/>
      <c r="G82" s="38" t="s">
        <v>2660</v>
      </c>
      <c r="H82" s="38" t="s">
        <v>624</v>
      </c>
      <c r="I82" s="276"/>
      <c r="J82" s="294" t="str">
        <f>IF(ISBLANK(HLOOKUP(CaseName,CaseData,MATCH($G82,cases!$G$4:$G$2458,0),FALSE)),"",HLOOKUP(CaseName,CaseData,MATCH($G82,cases!$G$4:$G$2458,0),FALSE))</f>
        <v/>
      </c>
      <c r="K82" s="617">
        <f>L83- SUM((L94*L12+L95*L13)/L14,L131,L28,L29,L30)</f>
        <v>7.908469439771777E-6</v>
      </c>
      <c r="L82" s="298">
        <f t="shared" si="5"/>
        <v>7.908469439771777E-6</v>
      </c>
      <c r="M82" s="17" t="s">
        <v>1048</v>
      </c>
      <c r="N82" s="17"/>
    </row>
    <row r="83" spans="1:14" ht="12.75" customHeight="1" x14ac:dyDescent="0.2">
      <c r="A83" s="38"/>
      <c r="B83" s="38"/>
      <c r="C83" s="17" t="s">
        <v>2661</v>
      </c>
      <c r="D83" s="17"/>
      <c r="E83" s="17"/>
      <c r="F83" s="17"/>
      <c r="G83" s="38" t="s">
        <v>2662</v>
      </c>
      <c r="H83" s="38" t="s">
        <v>624</v>
      </c>
      <c r="I83" s="276"/>
      <c r="J83" s="294" t="str">
        <f>IF(ISBLANK(HLOOKUP(CaseName,CaseData,MATCH($G83,cases!$G$4:$G$2458,0),FALSE)),"",HLOOKUP(CaseName,CaseData,MATCH($G83,cases!$G$4:$G$2458,0),FALSE))</f>
        <v/>
      </c>
      <c r="K83" s="617">
        <f>((1/L84)*L86/(L86+L87)+(1/L85)*L87/(L86+L87)-((1/L85-1/L84)^2/(L86+L87))*(1-EXP(-L84*L86))*(1-EXP(-L85*L87))/(1-EXP(-L84*L86-L85*L87)))^-1</f>
        <v>9.0730402325653018E-6</v>
      </c>
      <c r="L83" s="298">
        <f t="shared" si="5"/>
        <v>9.0730402325653018E-6</v>
      </c>
      <c r="M83" s="17" t="s">
        <v>1048</v>
      </c>
      <c r="N83" s="17"/>
    </row>
    <row r="84" spans="1:14" ht="12.75" customHeight="1" x14ac:dyDescent="0.2">
      <c r="A84" s="38"/>
      <c r="B84" s="38"/>
      <c r="C84" s="38"/>
      <c r="D84" s="38" t="s">
        <v>2663</v>
      </c>
      <c r="E84" s="17"/>
      <c r="F84" s="17"/>
      <c r="G84" s="38" t="s">
        <v>2664</v>
      </c>
      <c r="H84" s="38" t="s">
        <v>624</v>
      </c>
      <c r="I84" s="276"/>
      <c r="J84" s="294" t="str">
        <f>IF(ISBLANK(HLOOKUP(CaseName,CaseData,MATCH($G84,cases!$G$4:$G$2458,0),FALSE)),"",HLOOKUP(CaseName,CaseData,MATCH($G84,cases!$G$4:$G$2458,0),FALSE))</f>
        <v/>
      </c>
      <c r="K84" s="617">
        <f>L88/L14 + SUM((L94*L12+L95*L13)/L14,L131,L28,L29,L30)</f>
        <v>2.1645707927931014E-6</v>
      </c>
      <c r="L84" s="298">
        <f t="shared" si="5"/>
        <v>2.1645707927931014E-6</v>
      </c>
      <c r="M84" s="17" t="s">
        <v>1048</v>
      </c>
      <c r="N84" s="17"/>
    </row>
    <row r="85" spans="1:14" ht="12.75" customHeight="1" x14ac:dyDescent="0.2">
      <c r="A85" s="38"/>
      <c r="B85" s="38"/>
      <c r="C85" s="38"/>
      <c r="D85" s="38" t="s">
        <v>2665</v>
      </c>
      <c r="E85" s="17"/>
      <c r="F85" s="17"/>
      <c r="G85" s="38" t="s">
        <v>2666</v>
      </c>
      <c r="H85" s="38" t="s">
        <v>624</v>
      </c>
      <c r="I85" s="276"/>
      <c r="J85" s="294" t="str">
        <f>IF(ISBLANK(HLOOKUP(CaseName,CaseData,MATCH($G85,cases!$G$4:$G$2458,0),FALSE)),"",HLOOKUP(CaseName,CaseData,MATCH($G85,cases!$G$4:$G$2458,0),FALSE))</f>
        <v/>
      </c>
      <c r="K85" s="617">
        <f>(L89+L90)/L14 + SUM((L94*L12+L95*L13)/L14,L131,L28,L29,L30)</f>
        <v>13.844433636829582</v>
      </c>
      <c r="L85" s="298">
        <f t="shared" si="5"/>
        <v>13.844433636829582</v>
      </c>
      <c r="M85" s="17" t="s">
        <v>1048</v>
      </c>
      <c r="N85" s="17"/>
    </row>
    <row r="86" spans="1:14" ht="12.75" customHeight="1" x14ac:dyDescent="0.2">
      <c r="A86" s="38"/>
      <c r="B86" s="38"/>
      <c r="C86" s="17" t="s">
        <v>1195</v>
      </c>
      <c r="D86" s="17"/>
      <c r="E86" s="17"/>
      <c r="F86" s="17"/>
      <c r="G86" s="17" t="s">
        <v>2667</v>
      </c>
      <c r="H86" s="17" t="s">
        <v>1197</v>
      </c>
      <c r="I86" s="276"/>
      <c r="J86" s="294" t="str">
        <f>IF(ISBLANK(HLOOKUP(CaseName,CaseData,MATCH($G86,cases!$G$4:$G$2458,0),FALSE)),"",HLOOKUP(CaseName,CaseData,MATCH($G86,cases!$G$4:$G$2458,0),FALSE))</f>
        <v/>
      </c>
      <c r="K86" s="617">
        <f>3.3*24</f>
        <v>79.199999999999989</v>
      </c>
      <c r="L86" s="298">
        <f>IF(ISBLANK(I86),IF(ISNUMBER(J86)=FALSE,K86*3600,J86*3600),I86*3600)</f>
        <v>285119.99999999994</v>
      </c>
      <c r="M86" s="17" t="s">
        <v>1048</v>
      </c>
      <c r="N86" s="17"/>
    </row>
    <row r="87" spans="1:14" ht="12.75" customHeight="1" x14ac:dyDescent="0.2">
      <c r="A87" s="38"/>
      <c r="B87" s="38"/>
      <c r="C87" s="17" t="s">
        <v>1198</v>
      </c>
      <c r="D87" s="17"/>
      <c r="E87" s="17"/>
      <c r="F87" s="17"/>
      <c r="G87" s="17" t="s">
        <v>2668</v>
      </c>
      <c r="H87" s="17" t="s">
        <v>1197</v>
      </c>
      <c r="I87" s="276"/>
      <c r="J87" s="294" t="str">
        <f>IF(ISBLANK(HLOOKUP(CaseName,CaseData,MATCH($G87,cases!$G$4:$G$2458,0),FALSE)),"",HLOOKUP(CaseName,CaseData,MATCH($G87,cases!$G$4:$G$2458,0),FALSE))</f>
        <v/>
      </c>
      <c r="K87" s="617">
        <f>3.3*24*(0.06/(1-0.06))</f>
        <v>5.0553191489361691</v>
      </c>
      <c r="L87" s="298">
        <f>IF(ISBLANK(I87),IF(ISNUMBER(J87)=FALSE,K87*3600,J87*3600),I87*3600)</f>
        <v>18199.148936170208</v>
      </c>
      <c r="M87" s="17" t="s">
        <v>1048</v>
      </c>
      <c r="N87" s="17"/>
    </row>
    <row r="88" spans="1:14" ht="12.75" customHeight="1" x14ac:dyDescent="0.2">
      <c r="A88" s="38"/>
      <c r="B88" s="38"/>
      <c r="C88" s="38" t="s">
        <v>1200</v>
      </c>
      <c r="D88" s="17"/>
      <c r="E88" s="17"/>
      <c r="F88" s="17"/>
      <c r="G88" s="146" t="s">
        <v>2669</v>
      </c>
      <c r="H88" s="31" t="s">
        <v>1202</v>
      </c>
      <c r="I88" s="281"/>
      <c r="J88" s="294" t="str">
        <f>IF(ISBLANK(HLOOKUP(CaseName,CaseData,MATCH($G88,cases!$G$4:$G$2458,0),FALSE)),"",HLOOKUP(CaseName,CaseData,MATCH($G88,cases!$G$4:$G$2458,0),FALSE))</f>
        <v/>
      </c>
      <c r="K88" s="617">
        <f>L91*(L49+L50)</f>
        <v>9.9999999999957675E-4</v>
      </c>
      <c r="L88" s="298">
        <f>IF(ISBLANK(I88),IF(ISNUMBER(J88)=FALSE,K88,J88),I88)</f>
        <v>9.9999999999957675E-4</v>
      </c>
      <c r="M88" s="17" t="s">
        <v>697</v>
      </c>
      <c r="N88" s="17"/>
    </row>
    <row r="89" spans="1:14" ht="12.75" customHeight="1" x14ac:dyDescent="0.2">
      <c r="A89" s="38"/>
      <c r="B89" s="38"/>
      <c r="C89" s="38" t="s">
        <v>1203</v>
      </c>
      <c r="D89" s="17"/>
      <c r="E89" s="17"/>
      <c r="F89" s="17"/>
      <c r="G89" s="38" t="s">
        <v>2670</v>
      </c>
      <c r="H89" s="146" t="s">
        <v>1202</v>
      </c>
      <c r="I89" s="281"/>
      <c r="J89" s="294" t="str">
        <f>IF(ISBLANK(HLOOKUP(CaseName,CaseData,MATCH($G89,cases!$G$4:$G$2458,0),FALSE)),"",HLOOKUP(CaseName,CaseData,MATCH($G89,cases!$G$4:$G$2458,0),FALSE))</f>
        <v/>
      </c>
      <c r="K89" s="617">
        <f>L50*(L86+L87)/L87*L92*L93</f>
        <v>1.8605026301177423E-2</v>
      </c>
      <c r="L89" s="298">
        <f>IF(ISBLANK(I89),IF(ISNUMBER(J89)=FALSE,K89,J89),I89)</f>
        <v>1.8605026301177423E-2</v>
      </c>
      <c r="M89" s="17" t="s">
        <v>697</v>
      </c>
      <c r="N89" s="17"/>
    </row>
    <row r="90" spans="1:14" ht="12.75" customHeight="1" x14ac:dyDescent="0.2">
      <c r="A90" s="38"/>
      <c r="B90" s="38"/>
      <c r="C90" s="38" t="s">
        <v>2110</v>
      </c>
      <c r="D90" s="17"/>
      <c r="E90" s="17"/>
      <c r="F90" s="17"/>
      <c r="G90" s="38" t="s">
        <v>2671</v>
      </c>
      <c r="H90" s="146" t="s">
        <v>1202</v>
      </c>
      <c r="I90" s="281"/>
      <c r="J90" s="294" t="str">
        <f>IF(ISBLANK(HLOOKUP(CaseName,CaseData,MATCH($G90,cases!$G$4:$G$2458,0),FALSE)),"",HLOOKUP(CaseName,CaseData,MATCH($G90,cases!$G$4:$G$2458,0),FALSE))</f>
        <v/>
      </c>
      <c r="K90" s="617">
        <f>L48*(L86+L87)/L87*L92/(L51*FRorig.aerw)</f>
        <v>13844.413867232486</v>
      </c>
      <c r="L90" s="298">
        <f>IF(ISBLANK(I90),IF(ISNUMBER(J90)=FALSE,K90,J90),I90)</f>
        <v>13844.413867232486</v>
      </c>
      <c r="M90" s="17" t="s">
        <v>697</v>
      </c>
      <c r="N90" s="17"/>
    </row>
    <row r="91" spans="1:14" ht="12.75" customHeight="1" x14ac:dyDescent="0.2">
      <c r="A91" s="38"/>
      <c r="B91" s="38"/>
      <c r="C91" s="17"/>
      <c r="D91" s="146" t="s">
        <v>1207</v>
      </c>
      <c r="E91" s="146"/>
      <c r="F91" s="146"/>
      <c r="G91" s="146" t="s">
        <v>2672</v>
      </c>
      <c r="H91" s="31" t="s">
        <v>1202</v>
      </c>
      <c r="I91" s="281"/>
      <c r="J91" s="294" t="str">
        <f>IF(ISBLANK(HLOOKUP(CaseName,CaseData,MATCH($G91,cases!$G$4:$G$2458,0),FALSE)),"",HLOOKUP(CaseName,CaseData,MATCH($G91,cases!$G$4:$G$2458,0),FALSE))</f>
        <v/>
      </c>
      <c r="K91" s="617">
        <v>1E-3</v>
      </c>
      <c r="L91" s="298">
        <f>IF(ISBLANK(I91),IF(ISNUMBER(J91)=FALSE,K91,J91),I91)</f>
        <v>1E-3</v>
      </c>
      <c r="M91" s="17" t="s">
        <v>697</v>
      </c>
      <c r="N91" s="17"/>
    </row>
    <row r="92" spans="1:14" ht="12.75" customHeight="1" x14ac:dyDescent="0.2">
      <c r="A92" s="38"/>
      <c r="B92" s="38"/>
      <c r="C92" s="17"/>
      <c r="D92" s="38" t="s">
        <v>2673</v>
      </c>
      <c r="E92" s="146"/>
      <c r="F92" s="146"/>
      <c r="G92" s="146" t="s">
        <v>2674</v>
      </c>
      <c r="H92" s="146" t="s">
        <v>2675</v>
      </c>
      <c r="I92" s="276"/>
      <c r="J92" s="294" t="str">
        <f>IF(ISBLANK(HLOOKUP(CaseName,CaseData,MATCH($G92,cases!$G$4:$G$2458,0),FALSE)),"",HLOOKUP(CaseName,CaseData,MATCH($G92,cases!$G$4:$G$2458,0),FALSE))</f>
        <v/>
      </c>
      <c r="K92" s="617">
        <v>700</v>
      </c>
      <c r="L92" s="298">
        <f>IF(ISBLANK(I92),IF(ISNUMBER(J92)=FALSE,K92/(1000*3600*24*365),J92/(1000*3600*24*365)),I92/(1000*3600*24*365))</f>
        <v>2.219685438863521E-8</v>
      </c>
      <c r="M92" s="17" t="s">
        <v>697</v>
      </c>
      <c r="N92" s="17"/>
    </row>
    <row r="93" spans="1:14" ht="12.75" customHeight="1" x14ac:dyDescent="0.2">
      <c r="A93" s="38"/>
      <c r="B93" s="38"/>
      <c r="C93" s="17"/>
      <c r="D93" s="38" t="s">
        <v>1209</v>
      </c>
      <c r="E93" s="17"/>
      <c r="F93" s="17"/>
      <c r="G93" s="146" t="s">
        <v>2676</v>
      </c>
      <c r="H93" s="38" t="s">
        <v>296</v>
      </c>
      <c r="I93" s="281"/>
      <c r="J93" s="294" t="str">
        <f>IF(ISBLANK(HLOOKUP(CaseName,CaseData,MATCH($G93,cases!$G$4:$G$2458,0),FALSE)),"",HLOOKUP(CaseName,CaseData,MATCH($G93,cases!$G$4:$G$2458,0),FALSE))</f>
        <v/>
      </c>
      <c r="K93" s="617">
        <v>200000</v>
      </c>
      <c r="L93" s="298">
        <f t="shared" ref="L93:L103" si="6">IF(ISBLANK(I93),IF(ISNUMBER(J93)=FALSE,K93,J93),I93)</f>
        <v>200000</v>
      </c>
      <c r="M93" s="38" t="s">
        <v>297</v>
      </c>
      <c r="N93" s="17"/>
    </row>
    <row r="94" spans="1:14" ht="12.75" customHeight="1" x14ac:dyDescent="0.2">
      <c r="A94" s="38"/>
      <c r="B94" s="38" t="s">
        <v>1211</v>
      </c>
      <c r="C94" s="17"/>
      <c r="D94" s="38"/>
      <c r="E94" s="17"/>
      <c r="F94" s="17"/>
      <c r="G94" s="146" t="s">
        <v>2677</v>
      </c>
      <c r="H94" s="38" t="s">
        <v>1202</v>
      </c>
      <c r="I94" s="281"/>
      <c r="J94" s="294" t="str">
        <f>IF(ISBLANK(HLOOKUP(CaseName,CaseData,MATCH($G94,cases!$G$4:$G$2458,0),FALSE)),"",HLOOKUP(CaseName,CaseData,MATCH($G94,cases!$G$4:$G$2458,0),FALSE))</f>
        <v/>
      </c>
      <c r="K94" s="617">
        <f>L48*(L98*L99/(L98*(L51*FRorig.w2)+L99))</f>
        <v>2.7548278268381724E-15</v>
      </c>
      <c r="L94" s="298">
        <f t="shared" si="6"/>
        <v>2.7548278268381724E-15</v>
      </c>
      <c r="M94" s="38"/>
      <c r="N94" s="17"/>
    </row>
    <row r="95" spans="1:14" ht="12.75" customHeight="1" x14ac:dyDescent="0.2">
      <c r="A95" s="38"/>
      <c r="B95" s="38" t="s">
        <v>1213</v>
      </c>
      <c r="C95" s="17"/>
      <c r="D95" s="38"/>
      <c r="E95" s="17"/>
      <c r="F95" s="17"/>
      <c r="G95" s="146" t="s">
        <v>2678</v>
      </c>
      <c r="H95" s="38" t="s">
        <v>1202</v>
      </c>
      <c r="I95" s="281"/>
      <c r="J95" s="294" t="str">
        <f>IF(ISBLANK(HLOOKUP(CaseName,CaseData,MATCH($G95,cases!$G$4:$G$2458,0),FALSE)),"",HLOOKUP(CaseName,CaseData,MATCH($G95,cases!$G$4:$G$2458,0),FALSE))</f>
        <v/>
      </c>
      <c r="K95" s="617">
        <f>L48*(L101*L102)/(L101*((L51*FRorig.s1w)/L70)+L102)</f>
        <v>4.4348686949202964E-16</v>
      </c>
      <c r="L95" s="298">
        <f t="shared" si="6"/>
        <v>4.4348686949202964E-16</v>
      </c>
      <c r="M95" s="38"/>
      <c r="N95" s="17"/>
    </row>
    <row r="96" spans="1:14" ht="12.75" customHeight="1" x14ac:dyDescent="0.2">
      <c r="A96" s="38"/>
      <c r="B96" s="38" t="s">
        <v>2679</v>
      </c>
      <c r="C96" s="17"/>
      <c r="D96" s="38"/>
      <c r="E96" s="17"/>
      <c r="F96" s="17"/>
      <c r="G96" s="38" t="s">
        <v>2680</v>
      </c>
      <c r="H96" s="38" t="s">
        <v>1202</v>
      </c>
      <c r="I96" s="281"/>
      <c r="J96" s="294" t="str">
        <f>IF(ISBLANK(HLOOKUP(CaseName,CaseData,MATCH($G96,cases!$G$4:$G$2458,0),FALSE)),"",HLOOKUP(CaseName,CaseData,MATCH($G96,cases!$G$4:$G$2458,0),FALSE))</f>
        <v/>
      </c>
      <c r="K96" s="617">
        <f>(L98*L99/(L98*(L51*FRorig.w2)+L99))*(L51*FRorig.w2)*L55</f>
        <v>7.356097733945245E-26</v>
      </c>
      <c r="L96" s="298">
        <f t="shared" si="6"/>
        <v>7.356097733945245E-26</v>
      </c>
      <c r="M96" s="38"/>
      <c r="N96" s="17"/>
    </row>
    <row r="97" spans="1:14" ht="12.75" customHeight="1" x14ac:dyDescent="0.2">
      <c r="A97" s="38"/>
      <c r="B97" s="38" t="s">
        <v>2681</v>
      </c>
      <c r="C97" s="17"/>
      <c r="D97" s="38"/>
      <c r="E97" s="17"/>
      <c r="F97" s="17"/>
      <c r="G97" s="38" t="s">
        <v>2682</v>
      </c>
      <c r="H97" s="38" t="s">
        <v>1202</v>
      </c>
      <c r="I97" s="281"/>
      <c r="J97" s="294" t="str">
        <f>IF(ISBLANK(HLOOKUP(CaseName,CaseData,MATCH($G97,cases!$G$4:$G$2458,0),FALSE)),"",HLOOKUP(CaseName,CaseData,MATCH($G97,cases!$G$4:$G$2458,0),FALSE))</f>
        <v/>
      </c>
      <c r="K97" s="617">
        <f>(L101*L102)/(L101+L102/((L51*FRorig.s1w)/L70))*L103</f>
        <v>4.9865311833661188E-28</v>
      </c>
      <c r="L97" s="298">
        <f t="shared" si="6"/>
        <v>4.9865311833661188E-28</v>
      </c>
      <c r="M97" s="38"/>
      <c r="N97" s="17"/>
    </row>
    <row r="98" spans="1:14" ht="12.75" customHeight="1" x14ac:dyDescent="0.2">
      <c r="A98" s="38"/>
      <c r="B98" s="38"/>
      <c r="C98" s="17" t="s">
        <v>1222</v>
      </c>
      <c r="D98" s="17"/>
      <c r="E98" s="17"/>
      <c r="F98" s="17"/>
      <c r="G98" s="17" t="s">
        <v>2683</v>
      </c>
      <c r="H98" s="31" t="s">
        <v>1202</v>
      </c>
      <c r="I98" s="281"/>
      <c r="J98" s="294" t="str">
        <f>IF(ISBLANK(HLOOKUP(CaseName,CaseData,MATCH($G98,cases!$G$4:$G$2458,0),FALSE)),"",HLOOKUP(CaseName,CaseData,MATCH($G98,cases!$G$4:$G$2458,0),FALSE))</f>
        <v/>
      </c>
      <c r="K98" s="617">
        <f>0.01*(0.3+0.2*L100)*((0.018/Molweight)^(0.67*0.5))</f>
        <v>6.508402137399746E-3</v>
      </c>
      <c r="L98" s="298">
        <f t="shared" si="6"/>
        <v>6.508402137399746E-3</v>
      </c>
      <c r="M98" s="17" t="s">
        <v>697</v>
      </c>
      <c r="N98" s="17"/>
    </row>
    <row r="99" spans="1:14" ht="12.75" customHeight="1" x14ac:dyDescent="0.2">
      <c r="A99" s="38"/>
      <c r="B99" s="38"/>
      <c r="C99" s="17" t="s">
        <v>1224</v>
      </c>
      <c r="D99" s="17"/>
      <c r="E99" s="17"/>
      <c r="F99" s="17"/>
      <c r="G99" s="17" t="s">
        <v>2684</v>
      </c>
      <c r="H99" s="31" t="s">
        <v>1202</v>
      </c>
      <c r="I99" s="281"/>
      <c r="J99" s="294" t="str">
        <f>IF(ISBLANK(HLOOKUP(CaseName,CaseData,MATCH($G99,cases!$G$4:$G$2458,0),FALSE)),"",HLOOKUP(CaseName,CaseData,MATCH($G99,cases!$G$4:$G$2458,0),FALSE))</f>
        <v/>
      </c>
      <c r="K99" s="617">
        <f>0.01*(0.0004+0.00004*L100^2)*((0.032/Molweight)^(0.5*0.5))</f>
        <v>6.8902045811906283E-6</v>
      </c>
      <c r="L99" s="298">
        <f t="shared" si="6"/>
        <v>6.8902045811906283E-6</v>
      </c>
      <c r="M99" s="17" t="s">
        <v>697</v>
      </c>
      <c r="N99" s="17"/>
    </row>
    <row r="100" spans="1:14" ht="12.75" customHeight="1" x14ac:dyDescent="0.2">
      <c r="A100" s="38"/>
      <c r="B100" s="38"/>
      <c r="C100" s="17"/>
      <c r="D100" s="146" t="s">
        <v>2685</v>
      </c>
      <c r="E100" s="17"/>
      <c r="F100" s="17"/>
      <c r="G100" s="38" t="s">
        <v>2686</v>
      </c>
      <c r="H100" s="31" t="s">
        <v>1202</v>
      </c>
      <c r="I100" s="281"/>
      <c r="J100" s="294" t="str">
        <f>IF(ISBLANK(HLOOKUP(CaseName,CaseData,MATCH($G100,cases!$G$4:$G$2458,0),FALSE)),"",HLOOKUP(CaseName,CaseData,MATCH($G100,cases!$G$4:$G$2458,0),FALSE))</f>
        <v/>
      </c>
      <c r="K100" s="617">
        <v>3</v>
      </c>
      <c r="L100" s="298">
        <f t="shared" si="6"/>
        <v>3</v>
      </c>
      <c r="M100" s="17" t="s">
        <v>697</v>
      </c>
      <c r="N100" s="17"/>
    </row>
    <row r="101" spans="1:14" ht="12.75" customHeight="1" x14ac:dyDescent="0.2">
      <c r="A101" s="38"/>
      <c r="B101" s="38"/>
      <c r="C101" s="17" t="s">
        <v>1232</v>
      </c>
      <c r="D101" s="17"/>
      <c r="E101" s="146"/>
      <c r="F101" s="146"/>
      <c r="G101" s="17" t="s">
        <v>2687</v>
      </c>
      <c r="H101" s="31" t="s">
        <v>1202</v>
      </c>
      <c r="I101" s="281"/>
      <c r="J101" s="294" t="str">
        <f>IF(ISBLANK(HLOOKUP(CaseName,CaseData,MATCH($G101,cases!$G$4:$G$2458,0),FALSE)),"",HLOOKUP(CaseName,CaseData,MATCH($G101,cases!$G$4:$G$2458,0),FALSE))</f>
        <v/>
      </c>
      <c r="K101" s="617">
        <f>0.43/(24*3600)/0.00475</f>
        <v>1.0477582846003899E-3</v>
      </c>
      <c r="L101" s="298">
        <f t="shared" si="6"/>
        <v>1.0477582846003899E-3</v>
      </c>
      <c r="M101" s="17" t="s">
        <v>697</v>
      </c>
      <c r="N101" s="17"/>
    </row>
    <row r="102" spans="1:14" ht="12.75" customHeight="1" x14ac:dyDescent="0.2">
      <c r="A102" s="38"/>
      <c r="B102" s="38"/>
      <c r="C102" s="17" t="s">
        <v>1234</v>
      </c>
      <c r="D102" s="17"/>
      <c r="E102" s="17"/>
      <c r="F102" s="146"/>
      <c r="G102" s="17" t="s">
        <v>2688</v>
      </c>
      <c r="H102" s="146" t="s">
        <v>1202</v>
      </c>
      <c r="I102" s="281"/>
      <c r="J102" s="294" t="str">
        <f>IF(ISBLANK(HLOOKUP(CaseName,CaseData,MATCH($G102,cases!$G$4:$G$2458,0),FALSE)),"",HLOOKUP(CaseName,CaseData,MATCH($G102,cases!$G$4:$G$2458,0),FALSE))</f>
        <v/>
      </c>
      <c r="K102" s="617">
        <f>0.1*L140</f>
        <v>4.0612619817811774E-22</v>
      </c>
      <c r="L102" s="298">
        <f t="shared" si="6"/>
        <v>4.0612619817811774E-22</v>
      </c>
      <c r="M102" s="17" t="s">
        <v>697</v>
      </c>
      <c r="N102" s="17" t="s">
        <v>2130</v>
      </c>
    </row>
    <row r="103" spans="1:14" ht="12.75" customHeight="1" x14ac:dyDescent="0.2">
      <c r="A103" s="38"/>
      <c r="B103" s="38"/>
      <c r="C103" s="17" t="s">
        <v>1236</v>
      </c>
      <c r="D103" s="17"/>
      <c r="E103" s="146"/>
      <c r="F103" s="146"/>
      <c r="G103" s="38" t="s">
        <v>2689</v>
      </c>
      <c r="H103" s="17" t="s">
        <v>296</v>
      </c>
      <c r="I103" s="276"/>
      <c r="J103" s="294" t="str">
        <f>IF(ISBLANK(HLOOKUP(CaseName,CaseData,MATCH($G103,cases!$G$4:$G$2458,0),FALSE)),"",HLOOKUP(CaseName,CaseData,MATCH($G103,cases!$G$4:$G$2458,0),FALSE))</f>
        <v/>
      </c>
      <c r="K103" s="617">
        <f>(EXP((-1/0.1)*0)*(1/0.1)*L18/(1-EXP((-1/0.1)*L18)))</f>
        <v>1.2707470412683992</v>
      </c>
      <c r="L103" s="298">
        <f t="shared" si="6"/>
        <v>1.2707470412683992</v>
      </c>
      <c r="M103" s="38" t="s">
        <v>297</v>
      </c>
      <c r="N103" s="17" t="s">
        <v>1238</v>
      </c>
    </row>
    <row r="104" spans="1:14" ht="12.75" customHeight="1" x14ac:dyDescent="0.2">
      <c r="A104" s="17"/>
      <c r="B104" s="17"/>
      <c r="C104" s="17"/>
      <c r="D104" s="17"/>
      <c r="E104" s="17"/>
      <c r="F104" s="17"/>
      <c r="G104" s="17"/>
      <c r="H104" s="17"/>
      <c r="I104" s="215"/>
      <c r="J104" s="294"/>
      <c r="K104" s="165"/>
      <c r="L104" s="165"/>
      <c r="M104" s="17"/>
      <c r="N104" s="17"/>
    </row>
    <row r="105" spans="1:14" ht="12.75" customHeight="1" x14ac:dyDescent="0.2">
      <c r="A105" s="38" t="s">
        <v>2690</v>
      </c>
      <c r="B105" s="17"/>
      <c r="C105" s="17"/>
      <c r="D105" s="17"/>
      <c r="E105" s="17"/>
      <c r="F105" s="17"/>
      <c r="G105" s="38" t="s">
        <v>2691</v>
      </c>
      <c r="H105" s="38" t="s">
        <v>340</v>
      </c>
      <c r="I105" s="276"/>
      <c r="J105" s="294" t="str">
        <f>IF(ISBLANK(HLOOKUP(CaseName,CaseData,MATCH($G105,cases!$G$4:$G$2458,0),FALSE)),"",HLOOKUP(CaseName,CaseData,MATCH($G105,cases!$G$4:$G$2458,0),FALSE))</f>
        <v/>
      </c>
      <c r="K105" s="428">
        <f>(L107+L113)/L16</f>
        <v>1.6101168434855456E-11</v>
      </c>
      <c r="L105" s="298">
        <f t="shared" ref="L105:L111" si="7">IF(ISBLANK(I105),IF(ISNUMBER(J105)=FALSE,K105,J105),I105)</f>
        <v>1.6101168434855456E-11</v>
      </c>
      <c r="M105" s="17" t="s">
        <v>1048</v>
      </c>
      <c r="N105" s="17"/>
    </row>
    <row r="106" spans="1:14" ht="12.75" customHeight="1" x14ac:dyDescent="0.2">
      <c r="A106" s="38" t="s">
        <v>2692</v>
      </c>
      <c r="B106" s="17"/>
      <c r="C106" s="17"/>
      <c r="D106" s="17"/>
      <c r="E106" s="17"/>
      <c r="F106" s="17"/>
      <c r="G106" s="38" t="s">
        <v>2693</v>
      </c>
      <c r="H106" s="38" t="s">
        <v>340</v>
      </c>
      <c r="I106" s="276"/>
      <c r="J106" s="294" t="str">
        <f>IF(ISBLANK(HLOOKUP(CaseName,CaseData,MATCH($G106,cases!$G$4:$G$2458,0),FALSE)),"",HLOOKUP(CaseName,CaseData,MATCH($G106,cases!$G$4:$G$2458,0),FALSE))</f>
        <v/>
      </c>
      <c r="K106" s="428">
        <f>(L108+L114)/L17</f>
        <v>4.517818954479037E-8</v>
      </c>
      <c r="L106" s="298">
        <f t="shared" si="7"/>
        <v>4.517818954479037E-8</v>
      </c>
      <c r="M106" s="17" t="s">
        <v>1048</v>
      </c>
      <c r="N106" s="17"/>
    </row>
    <row r="107" spans="1:14" ht="12.75" customHeight="1" x14ac:dyDescent="0.2">
      <c r="A107" s="38"/>
      <c r="B107" s="38" t="s">
        <v>2694</v>
      </c>
      <c r="C107" s="17"/>
      <c r="D107" s="17"/>
      <c r="E107" s="17"/>
      <c r="F107" s="17"/>
      <c r="G107" s="38" t="s">
        <v>2695</v>
      </c>
      <c r="H107" s="17" t="s">
        <v>873</v>
      </c>
      <c r="I107" s="276"/>
      <c r="J107" s="294" t="str">
        <f>IF(ISBLANK(HLOOKUP(CaseName,CaseData,MATCH($G107,cases!$G$4:$G$2458,0),FALSE)),"",HLOOKUP(CaseName,CaseData,MATCH($G107,cases!$G$4:$G$2458,0),FALSE))</f>
        <v/>
      </c>
      <c r="K107" s="424">
        <f>L110*(1-L56)</f>
        <v>2.0818344125565744E-8</v>
      </c>
      <c r="L107" s="298">
        <f t="shared" si="7"/>
        <v>2.0818344125565744E-8</v>
      </c>
      <c r="M107" s="17" t="s">
        <v>1066</v>
      </c>
      <c r="N107" s="17"/>
    </row>
    <row r="108" spans="1:14" ht="12.75" customHeight="1" x14ac:dyDescent="0.2">
      <c r="A108" s="38"/>
      <c r="B108" s="38" t="s">
        <v>2696</v>
      </c>
      <c r="C108" s="17"/>
      <c r="D108" s="17"/>
      <c r="E108" s="17"/>
      <c r="F108" s="17"/>
      <c r="G108" s="38" t="s">
        <v>2697</v>
      </c>
      <c r="H108" s="17" t="s">
        <v>873</v>
      </c>
      <c r="I108" s="276"/>
      <c r="J108" s="294" t="str">
        <f>IF(ISBLANK(HLOOKUP(CaseName,CaseData,MATCH($G108,cases!$G$4:$G$2458,0),FALSE)),"",HLOOKUP(CaseName,CaseData,MATCH($G108,cases!$G$4:$G$2458,0),FALSE))</f>
        <v/>
      </c>
      <c r="K108" s="428">
        <f>L109-L111</f>
        <v>2.8926233382241219E-10</v>
      </c>
      <c r="L108" s="298">
        <f t="shared" si="7"/>
        <v>2.8926233382241219E-10</v>
      </c>
      <c r="M108" s="17" t="s">
        <v>1066</v>
      </c>
      <c r="N108" s="17"/>
    </row>
    <row r="109" spans="1:14" ht="12.75" customHeight="1" x14ac:dyDescent="0.2">
      <c r="A109" s="38"/>
      <c r="B109" s="38"/>
      <c r="C109" s="38" t="s">
        <v>1268</v>
      </c>
      <c r="D109" s="38"/>
      <c r="E109" s="17"/>
      <c r="F109" s="17"/>
      <c r="G109" s="146" t="s">
        <v>2698</v>
      </c>
      <c r="H109" s="31" t="s">
        <v>873</v>
      </c>
      <c r="I109" s="281"/>
      <c r="J109" s="294" t="str">
        <f>IF(ISBLANK(HLOOKUP(CaseName,CaseData,MATCH($G109,cases!$G$4:$G$2458,0),FALSE)),"",HLOOKUP(CaseName,CaseData,MATCH($G109,cases!$G$4:$G$2458,0),FALSE))</f>
        <v/>
      </c>
      <c r="K109" s="428">
        <f>IF(L110*L62/(L26*RHOsolid)&gt;L111,L110*L62/(L26*RHOsolid),L111)</f>
        <v>2.893518518518519E-10</v>
      </c>
      <c r="L109" s="298">
        <f t="shared" si="7"/>
        <v>2.893518518518519E-10</v>
      </c>
      <c r="M109" s="17" t="s">
        <v>697</v>
      </c>
      <c r="N109" s="17"/>
    </row>
    <row r="110" spans="1:14" ht="12.75" customHeight="1" x14ac:dyDescent="0.2">
      <c r="A110" s="38"/>
      <c r="B110" s="38"/>
      <c r="C110" s="17"/>
      <c r="D110" s="38" t="s">
        <v>1272</v>
      </c>
      <c r="E110" s="146"/>
      <c r="F110" s="146"/>
      <c r="G110" s="146" t="s">
        <v>2699</v>
      </c>
      <c r="H110" s="31" t="s">
        <v>873</v>
      </c>
      <c r="I110" s="281"/>
      <c r="J110" s="294" t="str">
        <f>IF(ISBLANK(HLOOKUP(CaseName,CaseData,MATCH($G110,cases!$G$4:$G$2458,0),FALSE)),"",HLOOKUP(CaseName,CaseData,MATCH($G110,cases!$G$4:$G$2458,0),FALSE))</f>
        <v/>
      </c>
      <c r="K110" s="428">
        <f>2.5/(24*3600)</f>
        <v>2.8935185185185186E-5</v>
      </c>
      <c r="L110" s="298">
        <f t="shared" si="7"/>
        <v>2.8935185185185186E-5</v>
      </c>
      <c r="M110" s="17" t="s">
        <v>697</v>
      </c>
      <c r="N110" s="17"/>
    </row>
    <row r="111" spans="1:14" ht="12.75" customHeight="1" x14ac:dyDescent="0.2">
      <c r="A111" s="38"/>
      <c r="B111" s="38"/>
      <c r="C111" s="17"/>
      <c r="D111" s="38" t="s">
        <v>2700</v>
      </c>
      <c r="E111" s="146"/>
      <c r="F111" s="146"/>
      <c r="G111" s="146" t="s">
        <v>2701</v>
      </c>
      <c r="H111" s="31" t="s">
        <v>873</v>
      </c>
      <c r="I111" s="281"/>
      <c r="J111" s="294" t="str">
        <f>IF(ISBLANK(HLOOKUP(CaseName,CaseData,MATCH($G111,cases!$G$4:$G$2458,0),FALSE)),"",HLOOKUP(CaseName,CaseData,MATCH($G111,cases!$G$4:$G$2458,0),FALSE))</f>
        <v/>
      </c>
      <c r="K111" s="428">
        <v>8.9518029439684741E-14</v>
      </c>
      <c r="L111" s="298">
        <f t="shared" si="7"/>
        <v>8.9518029439684741E-14</v>
      </c>
      <c r="M111" s="17" t="s">
        <v>697</v>
      </c>
      <c r="N111" s="17" t="s">
        <v>1279</v>
      </c>
    </row>
    <row r="112" spans="1:14" ht="12.75" customHeight="1" x14ac:dyDescent="0.2">
      <c r="A112" s="38"/>
      <c r="B112" s="38"/>
      <c r="C112" s="38"/>
      <c r="D112" s="17"/>
      <c r="E112" s="38" t="s">
        <v>2702</v>
      </c>
      <c r="F112" s="38"/>
      <c r="G112" s="146" t="s">
        <v>2703</v>
      </c>
      <c r="H112" s="38" t="s">
        <v>2704</v>
      </c>
      <c r="I112" s="281"/>
      <c r="J112" s="294" t="str">
        <f>IF(ISBLANK(HLOOKUP(CaseName,CaseData,MATCH($G112,cases!$G$4:$G$2458,0),FALSE)),"",HLOOKUP(CaseName,CaseData,MATCH($G112,cases!$G$4:$G$2458,0),FALSE))</f>
        <v/>
      </c>
      <c r="K112" s="428">
        <v>1</v>
      </c>
      <c r="L112" s="298">
        <f>IF(ISBLANK(I112),IF(ISNUMBER(J112)=FALSE,K112/(1000*3600*24*365)*L12*L11,J112/(1000*3600*24*365)*L12*L11),I112/(1000*3600*24*365)*L12*L11)</f>
        <v>1229.8829908675798</v>
      </c>
      <c r="M112" s="38" t="s">
        <v>1285</v>
      </c>
      <c r="N112" s="17"/>
    </row>
    <row r="113" spans="1:14" ht="12.75" customHeight="1" x14ac:dyDescent="0.2">
      <c r="A113" s="17"/>
      <c r="B113" s="17" t="s">
        <v>2705</v>
      </c>
      <c r="C113" s="38"/>
      <c r="D113" s="17"/>
      <c r="E113" s="146"/>
      <c r="F113" s="146"/>
      <c r="G113" s="38" t="s">
        <v>2706</v>
      </c>
      <c r="H113" s="17" t="s">
        <v>873</v>
      </c>
      <c r="I113" s="276"/>
      <c r="J113" s="294" t="str">
        <f>IF(ISBLANK(HLOOKUP(CaseName,CaseData,MATCH($G113,cases!$G$4:$G$2458,0),FALSE)),"",HLOOKUP(CaseName,CaseData,MATCH($G113,cases!$G$4:$G$2458,0),FALSE))</f>
        <v/>
      </c>
      <c r="K113" s="428">
        <f>(L115*L116)/(L115+L116)*L55</f>
        <v>2.7485161179000623E-8</v>
      </c>
      <c r="L113" s="298">
        <f>IF(ISBLANK(I113),IF(ISNUMBER(J113)=FALSE,K113,J113),I113)</f>
        <v>2.7485161179000623E-8</v>
      </c>
      <c r="M113" s="17" t="s">
        <v>1066</v>
      </c>
      <c r="N113" s="17"/>
    </row>
    <row r="114" spans="1:14" ht="12.75" customHeight="1" x14ac:dyDescent="0.2">
      <c r="A114" s="17"/>
      <c r="B114" s="17" t="s">
        <v>2707</v>
      </c>
      <c r="C114" s="38"/>
      <c r="D114" s="17"/>
      <c r="E114" s="146"/>
      <c r="F114" s="146"/>
      <c r="G114" s="38" t="s">
        <v>2708</v>
      </c>
      <c r="H114" s="17" t="s">
        <v>873</v>
      </c>
      <c r="I114" s="276"/>
      <c r="J114" s="294" t="str">
        <f>IF(ISBLANK(HLOOKUP(CaseName,CaseData,MATCH($G114,cases!$G$4:$G$2458,0),FALSE)),"",HLOOKUP(CaseName,CaseData,MATCH($G114,cases!$G$4:$G$2458,0),FALSE))</f>
        <v/>
      </c>
      <c r="K114" s="428">
        <f>(L115*L116/(L115+L116))/L67</f>
        <v>1.0660833525212988E-9</v>
      </c>
      <c r="L114" s="298">
        <f>IF(ISBLANK(I114),IF(ISNUMBER(J114)=FALSE,K114,J114),I114)</f>
        <v>1.0660833525212988E-9</v>
      </c>
      <c r="M114" s="17" t="s">
        <v>1066</v>
      </c>
      <c r="N114" s="17"/>
    </row>
    <row r="115" spans="1:14" ht="12.75" customHeight="1" x14ac:dyDescent="0.2">
      <c r="A115" s="38"/>
      <c r="B115" s="38"/>
      <c r="C115" s="17" t="s">
        <v>1296</v>
      </c>
      <c r="D115" s="17"/>
      <c r="E115" s="17"/>
      <c r="F115" s="17"/>
      <c r="G115" s="17" t="s">
        <v>2709</v>
      </c>
      <c r="H115" s="31" t="s">
        <v>873</v>
      </c>
      <c r="I115" s="281"/>
      <c r="J115" s="294" t="str">
        <f>IF(ISBLANK(HLOOKUP(CaseName,CaseData,MATCH($G115,cases!$G$4:$G$2458,0),FALSE)),"",HLOOKUP(CaseName,CaseData,MATCH($G115,cases!$G$4:$G$2458,0),FALSE))</f>
        <v/>
      </c>
      <c r="K115" s="405">
        <v>2.7779999999999999E-6</v>
      </c>
      <c r="L115" s="298">
        <f>IF(ISBLANK(I115),IF(ISNUMBER(J115)=FALSE,K115,J115),I115)</f>
        <v>2.7779999999999999E-6</v>
      </c>
      <c r="M115" s="17" t="s">
        <v>697</v>
      </c>
      <c r="N115" s="17"/>
    </row>
    <row r="116" spans="1:14" ht="12.75" customHeight="1" x14ac:dyDescent="0.2">
      <c r="A116" s="38"/>
      <c r="B116" s="38"/>
      <c r="C116" s="17" t="s">
        <v>1298</v>
      </c>
      <c r="D116" s="17"/>
      <c r="E116" s="17"/>
      <c r="F116" s="17"/>
      <c r="G116" s="17" t="s">
        <v>2710</v>
      </c>
      <c r="H116" s="31" t="s">
        <v>873</v>
      </c>
      <c r="I116" s="281"/>
      <c r="J116" s="294" t="str">
        <f>IF(ISBLANK(HLOOKUP(CaseName,CaseData,MATCH($G116,cases!$G$4:$G$2458,0),FALSE)),"",HLOOKUP(CaseName,CaseData,MATCH($G116,cases!$G$4:$G$2458,0),FALSE))</f>
        <v/>
      </c>
      <c r="K116" s="405">
        <v>2.7779999999999998E-8</v>
      </c>
      <c r="L116" s="298">
        <f>IF(ISBLANK(I116),IF(ISNUMBER(J116)=FALSE,K116,J116),I116)</f>
        <v>2.7779999999999998E-8</v>
      </c>
      <c r="M116" s="17" t="s">
        <v>697</v>
      </c>
      <c r="N116" s="17"/>
    </row>
    <row r="117" spans="1:14" ht="12.75" customHeight="1" x14ac:dyDescent="0.2">
      <c r="A117" s="17"/>
      <c r="B117" s="17"/>
      <c r="C117" s="17"/>
      <c r="D117" s="17"/>
      <c r="E117" s="17"/>
      <c r="F117" s="17"/>
      <c r="G117" s="17"/>
      <c r="H117" s="17"/>
      <c r="I117" s="215"/>
      <c r="J117" s="294"/>
      <c r="K117" s="165"/>
      <c r="L117" s="165"/>
      <c r="M117" s="17"/>
      <c r="N117" s="17"/>
    </row>
    <row r="118" spans="1:14" ht="12.75" customHeight="1" x14ac:dyDescent="0.2">
      <c r="A118" s="38" t="s">
        <v>2711</v>
      </c>
      <c r="B118" s="17"/>
      <c r="C118" s="17"/>
      <c r="D118" s="17"/>
      <c r="E118" s="17"/>
      <c r="F118" s="17"/>
      <c r="G118" s="38" t="s">
        <v>2712</v>
      </c>
      <c r="H118" s="38" t="s">
        <v>624</v>
      </c>
      <c r="I118" s="276"/>
      <c r="J118" s="294" t="str">
        <f>IF(ISBLANK(HLOOKUP(CaseName,CaseData,MATCH($G118,cases!$G$4:$G$2458,0),FALSE)),"",HLOOKUP(CaseName,CaseData,MATCH($G118,cases!$G$4:$G$2458,0),FALSE))</f>
        <v/>
      </c>
      <c r="K118" s="428">
        <f>(L92*L120/L70+L119)*L121/L18</f>
        <v>4.6941418162982244E-9</v>
      </c>
      <c r="L118" s="298">
        <f>IF(ISBLANK(I118),IF(ISNUMBER(J118)=FALSE,K118,J118),I118)</f>
        <v>4.6941418162982244E-9</v>
      </c>
      <c r="M118" s="17" t="s">
        <v>1048</v>
      </c>
      <c r="N118" s="17"/>
    </row>
    <row r="119" spans="1:14" ht="12.75" customHeight="1" x14ac:dyDescent="0.2">
      <c r="A119" s="17"/>
      <c r="B119" s="146" t="s">
        <v>2713</v>
      </c>
      <c r="C119" s="17"/>
      <c r="D119" s="17"/>
      <c r="E119" s="17"/>
      <c r="F119" s="17"/>
      <c r="G119" s="146" t="s">
        <v>2714</v>
      </c>
      <c r="H119" s="31" t="s">
        <v>1202</v>
      </c>
      <c r="I119" s="281"/>
      <c r="J119" s="294" t="str">
        <f>IF(ISBLANK(HLOOKUP(CaseName,CaseData,MATCH($G119,cases!$G$4:$G$2458,0),FALSE)),"",HLOOKUP(CaseName,CaseData,MATCH($G119,cases!$G$4:$G$2458,0),FALSE))</f>
        <v/>
      </c>
      <c r="K119" s="428">
        <f>EROSION.C</f>
        <v>9.5129375951293754E-13</v>
      </c>
      <c r="L119" s="298">
        <f>IF(ISBLANK(I119),IF(ISNUMBER(J119)=FALSE,K119,J119),I119)</f>
        <v>9.5129375951293754E-13</v>
      </c>
      <c r="M119" s="17" t="s">
        <v>697</v>
      </c>
      <c r="N119" s="17"/>
    </row>
    <row r="120" spans="1:14" ht="12.75" customHeight="1" x14ac:dyDescent="0.2">
      <c r="A120" s="17"/>
      <c r="B120" s="38" t="s">
        <v>2715</v>
      </c>
      <c r="C120" s="17"/>
      <c r="D120" s="17"/>
      <c r="E120" s="17"/>
      <c r="F120" s="17"/>
      <c r="G120" s="146" t="s">
        <v>2716</v>
      </c>
      <c r="H120" s="38" t="s">
        <v>296</v>
      </c>
      <c r="I120" s="281"/>
      <c r="J120" s="294" t="str">
        <f>IF(ISBLANK(HLOOKUP(CaseName,CaseData,MATCH($G120,cases!$G$4:$G$2458,0),FALSE)),"",HLOOKUP(CaseName,CaseData,MATCH($G120,cases!$G$4:$G$2458,0),FALSE))</f>
        <v/>
      </c>
      <c r="K120" s="428">
        <f>FRACrun.C</f>
        <v>0.25</v>
      </c>
      <c r="L120" s="298">
        <f>IF(ISBLANK(I120),IF(ISNUMBER(J120)=FALSE,K120,J120),I120)</f>
        <v>0.25</v>
      </c>
      <c r="M120" s="17" t="s">
        <v>297</v>
      </c>
      <c r="N120" s="17"/>
    </row>
    <row r="121" spans="1:14" ht="12.75" customHeight="1" x14ac:dyDescent="0.2">
      <c r="A121" s="38"/>
      <c r="B121" s="17" t="s">
        <v>1236</v>
      </c>
      <c r="C121" s="17"/>
      <c r="D121" s="146"/>
      <c r="E121" s="146"/>
      <c r="F121" s="17"/>
      <c r="G121" s="38" t="s">
        <v>2717</v>
      </c>
      <c r="H121" s="17" t="s">
        <v>296</v>
      </c>
      <c r="I121" s="276"/>
      <c r="J121" s="294" t="str">
        <f>IF(ISBLANK(HLOOKUP(CaseName,CaseData,MATCH($G121,cases!$G$4:$G$2458,0),FALSE)),"",HLOOKUP(CaseName,CaseData,MATCH($G121,cases!$G$4:$G$2458,0),FALSE))</f>
        <v/>
      </c>
      <c r="K121" s="428">
        <f>(EXP((-1/0.1)*0)*(1/0.1)*L18/(1-EXP((-1/0.1)*L18)))</f>
        <v>1.2707470412683992</v>
      </c>
      <c r="L121" s="298">
        <f>IF(ISBLANK(I121),IF(ISNUMBER(J121)=FALSE,K121,J121),I121)</f>
        <v>1.2707470412683992</v>
      </c>
      <c r="M121" s="38" t="s">
        <v>297</v>
      </c>
      <c r="N121" s="17" t="s">
        <v>1238</v>
      </c>
    </row>
    <row r="122" spans="1:14" ht="12.75" customHeight="1" x14ac:dyDescent="0.2">
      <c r="A122" s="17"/>
      <c r="B122" s="17"/>
      <c r="C122" s="17"/>
      <c r="D122" s="17"/>
      <c r="E122" s="17"/>
      <c r="F122" s="17"/>
      <c r="G122" s="17"/>
      <c r="H122" s="38"/>
      <c r="I122" s="13"/>
      <c r="J122" s="294"/>
      <c r="K122" s="165"/>
      <c r="L122" s="165"/>
      <c r="M122" s="17"/>
      <c r="N122" s="17"/>
    </row>
    <row r="123" spans="1:14" customFormat="1" ht="12.75" customHeight="1" x14ac:dyDescent="0.2">
      <c r="A123" s="148" t="s">
        <v>1321</v>
      </c>
      <c r="B123" s="147"/>
      <c r="C123" s="147"/>
      <c r="D123" s="147"/>
      <c r="E123" s="147"/>
      <c r="F123" s="147"/>
      <c r="G123" s="148" t="s">
        <v>263</v>
      </c>
      <c r="H123" s="148" t="s">
        <v>279</v>
      </c>
      <c r="I123" s="147" t="s">
        <v>264</v>
      </c>
      <c r="J123" s="271" t="s">
        <v>280</v>
      </c>
      <c r="K123" s="331" t="s">
        <v>265</v>
      </c>
      <c r="L123" s="331" t="s">
        <v>266</v>
      </c>
      <c r="M123" s="147"/>
      <c r="N123" s="148" t="s">
        <v>267</v>
      </c>
    </row>
    <row r="124" spans="1:14" ht="12.75" customHeight="1" x14ac:dyDescent="0.2">
      <c r="A124" s="38"/>
      <c r="B124" s="17"/>
      <c r="C124" s="17"/>
      <c r="D124" s="17"/>
      <c r="E124" s="17"/>
      <c r="F124" s="17"/>
      <c r="G124" s="17"/>
      <c r="H124" s="38"/>
      <c r="I124" s="13"/>
      <c r="J124" s="294"/>
      <c r="K124" s="189"/>
      <c r="L124" s="124"/>
      <c r="M124" s="17"/>
      <c r="N124" s="17"/>
    </row>
    <row r="125" spans="1:14" ht="12.75" customHeight="1" x14ac:dyDescent="0.2">
      <c r="A125" s="38" t="s">
        <v>1322</v>
      </c>
      <c r="B125" s="17"/>
      <c r="C125" s="17"/>
      <c r="D125" s="17"/>
      <c r="E125" s="17"/>
      <c r="F125" s="17"/>
      <c r="G125" s="38" t="s">
        <v>2718</v>
      </c>
      <c r="H125" s="38" t="s">
        <v>624</v>
      </c>
      <c r="I125" s="276"/>
      <c r="J125" s="294" t="str">
        <f>IF(ISBLANK(HLOOKUP(CaseName,CaseData,MATCH($G125,cases!$G$4:$G$2458,0),FALSE)),"",HLOOKUP(CaseName,CaseData,MATCH($G125,cases!$G$4:$G$2458,0),FALSE))</f>
        <v/>
      </c>
      <c r="K125" s="428">
        <f>L130+L48*kdegG.air*(L132/C.OHrad)*L133</f>
        <v>3.663258818281463E-10</v>
      </c>
      <c r="L125" s="298">
        <f t="shared" ref="L125:L142" si="8">IF(ISBLANK(I125),IF(ISNUMBER(J125)=FALSE,K125,J125),I125)</f>
        <v>3.663258818281463E-10</v>
      </c>
      <c r="M125" s="17" t="s">
        <v>1048</v>
      </c>
      <c r="N125" s="17"/>
    </row>
    <row r="126" spans="1:14" ht="12.75" customHeight="1" x14ac:dyDescent="0.2">
      <c r="A126" s="38" t="s">
        <v>2719</v>
      </c>
      <c r="B126" s="17"/>
      <c r="C126" s="17"/>
      <c r="D126" s="17"/>
      <c r="E126" s="17"/>
      <c r="F126" s="17"/>
      <c r="G126" s="38" t="s">
        <v>2720</v>
      </c>
      <c r="H126" s="38" t="s">
        <v>624</v>
      </c>
      <c r="I126" s="276"/>
      <c r="J126" s="294" t="str">
        <f>IF(ISBLANK(HLOOKUP(CaseName,CaseData,MATCH($G126,cases!$G$4:$G$2458,0),FALSE)),"",HLOOKUP(CaseName,CaseData,MATCH($G126,cases!$G$4:$G$2458,0),FALSE))</f>
        <v/>
      </c>
      <c r="K126" s="428">
        <f>kdeg.water*L138*(L136/BACT.test)*L55</f>
        <v>4.0583399769977389E-21</v>
      </c>
      <c r="L126" s="298">
        <f t="shared" si="8"/>
        <v>4.0583399769977389E-21</v>
      </c>
      <c r="M126" s="17" t="s">
        <v>1048</v>
      </c>
      <c r="N126" s="17"/>
    </row>
    <row r="127" spans="1:14" ht="12.75" customHeight="1" x14ac:dyDescent="0.2">
      <c r="A127" s="38" t="s">
        <v>2721</v>
      </c>
      <c r="B127" s="17"/>
      <c r="C127" s="17"/>
      <c r="D127" s="17"/>
      <c r="E127" s="17"/>
      <c r="F127" s="17"/>
      <c r="G127" s="38" t="s">
        <v>2722</v>
      </c>
      <c r="H127" s="38" t="s">
        <v>624</v>
      </c>
      <c r="I127" s="276"/>
      <c r="J127" s="294" t="str">
        <f>IF(ISBLANK(HLOOKUP(CaseName,CaseData,MATCH($G127,cases!$G$4:$G$2458,0),FALSE)),"",HLOOKUP(CaseName,CaseData,MATCH($G127,cases!$G$4:$G$2458,0),FALSE))</f>
        <v/>
      </c>
      <c r="K127" s="428">
        <f>kdeg.water*L138*(L137/BACT.test)*L56</f>
        <v>4.0583399769977389E-21</v>
      </c>
      <c r="L127" s="298">
        <f t="shared" si="8"/>
        <v>4.0583399769977389E-21</v>
      </c>
      <c r="M127" s="17" t="s">
        <v>1048</v>
      </c>
      <c r="N127" s="17"/>
    </row>
    <row r="128" spans="1:14" ht="12.75" customHeight="1" x14ac:dyDescent="0.2">
      <c r="A128" s="38" t="s">
        <v>2723</v>
      </c>
      <c r="B128" s="17"/>
      <c r="C128" s="17"/>
      <c r="D128" s="17"/>
      <c r="E128" s="17"/>
      <c r="F128" s="17"/>
      <c r="G128" s="38" t="s">
        <v>2724</v>
      </c>
      <c r="H128" s="38" t="s">
        <v>624</v>
      </c>
      <c r="I128" s="276"/>
      <c r="J128" s="294" t="str">
        <f>IF(ISBLANK(HLOOKUP(CaseName,CaseData,MATCH($G128,cases!$G$4:$G$2458,0),FALSE)),"",HLOOKUP(CaseName,CaseData,MATCH($G128,cases!$G$4:$G$2458,0),FALSE))</f>
        <v/>
      </c>
      <c r="K128" s="428">
        <f>L138*kdeg.sed+L111*L11*L12/L9</f>
        <v>2.9839343187174201E-12</v>
      </c>
      <c r="L128" s="298">
        <f t="shared" si="8"/>
        <v>2.9839343187174201E-12</v>
      </c>
      <c r="M128" s="17" t="s">
        <v>1048</v>
      </c>
      <c r="N128" s="17"/>
    </row>
    <row r="129" spans="1:14" ht="12.75" customHeight="1" x14ac:dyDescent="0.2">
      <c r="A129" s="38" t="s">
        <v>2725</v>
      </c>
      <c r="B129" s="17"/>
      <c r="C129" s="17"/>
      <c r="D129" s="17"/>
      <c r="E129" s="17"/>
      <c r="F129" s="17"/>
      <c r="G129" s="38" t="s">
        <v>2726</v>
      </c>
      <c r="H129" s="38" t="s">
        <v>624</v>
      </c>
      <c r="I129" s="276"/>
      <c r="J129" s="294" t="str">
        <f>IF(ISBLANK(HLOOKUP(CaseName,CaseData,MATCH($G129,cases!$G$4:$G$2458,0),FALSE)),"",HLOOKUP(CaseName,CaseData,MATCH($G129,cases!$G$4:$G$2458,0),FALSE))</f>
        <v/>
      </c>
      <c r="K129" s="428">
        <f>L138*kdeg.soil+L141*L92/L70*L142*L11*L13/L10</f>
        <v>3.1465974921184272E-11</v>
      </c>
      <c r="L129" s="298">
        <f t="shared" si="8"/>
        <v>3.1465974921184272E-11</v>
      </c>
      <c r="M129" s="17" t="s">
        <v>1048</v>
      </c>
      <c r="N129" s="17"/>
    </row>
    <row r="130" spans="1:14" ht="12.75" customHeight="1" x14ac:dyDescent="0.2">
      <c r="A130" s="38"/>
      <c r="B130" s="38" t="s">
        <v>1342</v>
      </c>
      <c r="C130" s="146"/>
      <c r="D130" s="17"/>
      <c r="E130" s="17"/>
      <c r="F130" s="17"/>
      <c r="G130" s="146" t="s">
        <v>2727</v>
      </c>
      <c r="H130" s="38" t="s">
        <v>624</v>
      </c>
      <c r="I130" s="281"/>
      <c r="J130" s="294" t="str">
        <f>IF(ISBLANK(HLOOKUP(CaseName,CaseData,MATCH($G130,cases!$G$4:$G$2458,0),FALSE)),"",HLOOKUP(CaseName,CaseData,MATCH($G130,cases!$G$4:$G$2458,0),FALSE))</f>
        <v/>
      </c>
      <c r="K130" s="428">
        <f>LN(2)/(60*365*24*3600)</f>
        <v>3.663258818281463E-10</v>
      </c>
      <c r="L130" s="298">
        <f t="shared" si="8"/>
        <v>3.663258818281463E-10</v>
      </c>
      <c r="M130" s="38" t="s">
        <v>1048</v>
      </c>
      <c r="N130" s="17"/>
    </row>
    <row r="131" spans="1:14" ht="12.75" customHeight="1" x14ac:dyDescent="0.2">
      <c r="A131" s="38"/>
      <c r="B131" s="38" t="s">
        <v>1344</v>
      </c>
      <c r="C131" s="17"/>
      <c r="D131" s="17"/>
      <c r="E131" s="17"/>
      <c r="F131" s="17"/>
      <c r="G131" s="38" t="s">
        <v>2728</v>
      </c>
      <c r="H131" s="38" t="s">
        <v>624</v>
      </c>
      <c r="I131" s="281"/>
      <c r="J131" s="294" t="str">
        <f>IF(ISBLANK(HLOOKUP(CaseName,CaseData,MATCH($G131,cases!$G$4:$G$2458,0),FALSE)),"",HLOOKUP(CaseName,CaseData,MATCH($G131,cases!$G$4:$G$2458,0),FALSE))</f>
        <v/>
      </c>
      <c r="K131" s="428">
        <f>L48*kdegG.air*(L132/C.OHrad)*L133</f>
        <v>3.8083662994282794E-33</v>
      </c>
      <c r="L131" s="298">
        <f t="shared" si="8"/>
        <v>3.8083662994282794E-33</v>
      </c>
      <c r="M131" s="38" t="s">
        <v>1048</v>
      </c>
      <c r="N131" s="17"/>
    </row>
    <row r="132" spans="1:14" ht="12.75" customHeight="1" x14ac:dyDescent="0.2">
      <c r="A132" s="146"/>
      <c r="B132" s="146"/>
      <c r="C132" s="38" t="s">
        <v>2729</v>
      </c>
      <c r="D132" s="17"/>
      <c r="E132" s="17"/>
      <c r="F132" s="17"/>
      <c r="G132" s="38" t="s">
        <v>2730</v>
      </c>
      <c r="H132" s="38" t="s">
        <v>627</v>
      </c>
      <c r="I132" s="281"/>
      <c r="J132" s="294" t="str">
        <f>IF(ISBLANK(HLOOKUP(CaseName,CaseData,MATCH($G132,cases!$G$4:$G$2458,0),FALSE)),"",HLOOKUP(CaseName,CaseData,MATCH($G132,cases!$G$4:$G$2458,0),FALSE))</f>
        <v/>
      </c>
      <c r="K132" s="428">
        <v>500000</v>
      </c>
      <c r="L132" s="298">
        <f t="shared" si="8"/>
        <v>500000</v>
      </c>
      <c r="M132" s="38" t="s">
        <v>1348</v>
      </c>
      <c r="N132" s="17"/>
    </row>
    <row r="133" spans="1:14" ht="12.75" customHeight="1" x14ac:dyDescent="0.2">
      <c r="A133" s="146"/>
      <c r="B133" s="146"/>
      <c r="C133" s="38" t="s">
        <v>2190</v>
      </c>
      <c r="D133" s="17"/>
      <c r="E133" s="17"/>
      <c r="F133" s="17"/>
      <c r="G133" s="38" t="s">
        <v>2731</v>
      </c>
      <c r="H133" s="38" t="s">
        <v>296</v>
      </c>
      <c r="I133" s="281"/>
      <c r="J133" s="294" t="str">
        <f>IF(ISBLANK(HLOOKUP(CaseName,CaseData,MATCH($G133,cases!$G$4:$G$2458,0),FALSE)),"",HLOOKUP(CaseName,CaseData,MATCH($G133,cases!$G$4:$G$2458,0),FALSE))</f>
        <v/>
      </c>
      <c r="K133" s="428">
        <f>EXP((Ea.OHrad/8.314)*(L52-298)/298^2)</f>
        <v>0.89974332049812744</v>
      </c>
      <c r="L133" s="298">
        <f t="shared" si="8"/>
        <v>0.89974332049812744</v>
      </c>
      <c r="M133" s="38" t="s">
        <v>297</v>
      </c>
      <c r="N133" s="17"/>
    </row>
    <row r="134" spans="1:14" ht="12.75" customHeight="1" x14ac:dyDescent="0.2">
      <c r="A134" s="38"/>
      <c r="B134" s="38" t="s">
        <v>2732</v>
      </c>
      <c r="C134" s="17"/>
      <c r="D134" s="17"/>
      <c r="E134" s="17"/>
      <c r="F134" s="17"/>
      <c r="G134" s="38" t="s">
        <v>2733</v>
      </c>
      <c r="H134" s="38" t="s">
        <v>624</v>
      </c>
      <c r="I134" s="281"/>
      <c r="J134" s="294" t="str">
        <f>IF(ISBLANK(HLOOKUP(CaseName,CaseData,MATCH($G134,cases!$G$4:$G$2458,0),FALSE)),"",HLOOKUP(CaseName,CaseData,MATCH($G134,cases!$G$4:$G$2458,0),FALSE))</f>
        <v/>
      </c>
      <c r="K134" s="428">
        <f>kdeg.water*L138*(L136/BACT.test)*L55</f>
        <v>4.0583399769977389E-21</v>
      </c>
      <c r="L134" s="298">
        <f t="shared" si="8"/>
        <v>4.0583399769977389E-21</v>
      </c>
      <c r="M134" s="38" t="s">
        <v>1048</v>
      </c>
      <c r="N134" s="17"/>
    </row>
    <row r="135" spans="1:14" ht="12.75" customHeight="1" x14ac:dyDescent="0.2">
      <c r="A135" s="38"/>
      <c r="B135" s="38" t="s">
        <v>2734</v>
      </c>
      <c r="C135" s="17"/>
      <c r="D135" s="17"/>
      <c r="E135" s="17"/>
      <c r="F135" s="17"/>
      <c r="G135" s="38" t="s">
        <v>2735</v>
      </c>
      <c r="H135" s="38" t="s">
        <v>624</v>
      </c>
      <c r="I135" s="281"/>
      <c r="J135" s="294" t="str">
        <f>IF(ISBLANK(HLOOKUP(CaseName,CaseData,MATCH($G135,cases!$G$4:$G$2458,0),FALSE)),"",HLOOKUP(CaseName,CaseData,MATCH($G135,cases!$G$4:$G$2458,0),FALSE))</f>
        <v/>
      </c>
      <c r="K135" s="428">
        <f>kdeg.water*L138*(L137/BACT.test)*L56</f>
        <v>4.0583399769977389E-21</v>
      </c>
      <c r="L135" s="298">
        <f t="shared" si="8"/>
        <v>4.0583399769977389E-21</v>
      </c>
      <c r="M135" s="38" t="s">
        <v>1048</v>
      </c>
      <c r="N135" s="17"/>
    </row>
    <row r="136" spans="1:14" ht="12.75" customHeight="1" x14ac:dyDescent="0.2">
      <c r="A136" s="38"/>
      <c r="B136" s="38"/>
      <c r="C136" s="38" t="s">
        <v>2736</v>
      </c>
      <c r="D136" s="17"/>
      <c r="E136" s="17"/>
      <c r="F136" s="17"/>
      <c r="G136" s="146" t="s">
        <v>2737</v>
      </c>
      <c r="H136" s="38" t="s">
        <v>1359</v>
      </c>
      <c r="I136" s="281"/>
      <c r="J136" s="294" t="str">
        <f>IF(ISBLANK(HLOOKUP(CaseName,CaseData,MATCH($G136,cases!$G$4:$G$2458,0),FALSE)),"",HLOOKUP(CaseName,CaseData,MATCH($G136,cases!$G$4:$G$2458,0),FALSE))</f>
        <v/>
      </c>
      <c r="K136" s="428">
        <v>40000</v>
      </c>
      <c r="L136" s="298">
        <f t="shared" si="8"/>
        <v>40000</v>
      </c>
      <c r="M136" s="38" t="s">
        <v>645</v>
      </c>
      <c r="N136" s="17"/>
    </row>
    <row r="137" spans="1:14" ht="12.75" customHeight="1" x14ac:dyDescent="0.2">
      <c r="A137" s="38"/>
      <c r="B137" s="38"/>
      <c r="C137" s="38" t="s">
        <v>2738</v>
      </c>
      <c r="D137" s="17"/>
      <c r="E137" s="17"/>
      <c r="F137" s="17"/>
      <c r="G137" s="146" t="s">
        <v>2739</v>
      </c>
      <c r="H137" s="38" t="s">
        <v>1359</v>
      </c>
      <c r="I137" s="281"/>
      <c r="J137" s="294" t="str">
        <f>IF(ISBLANK(HLOOKUP(CaseName,CaseData,MATCH($G137,cases!$G$4:$G$2458,0),FALSE)),"",HLOOKUP(CaseName,CaseData,MATCH($G137,cases!$G$4:$G$2458,0),FALSE))</f>
        <v/>
      </c>
      <c r="K137" s="428">
        <v>40000</v>
      </c>
      <c r="L137" s="298">
        <f t="shared" si="8"/>
        <v>40000</v>
      </c>
      <c r="M137" s="38" t="s">
        <v>645</v>
      </c>
      <c r="N137" s="17"/>
    </row>
    <row r="138" spans="1:14" ht="12.75" customHeight="1" x14ac:dyDescent="0.2">
      <c r="A138" s="146"/>
      <c r="B138" s="146"/>
      <c r="C138" s="38" t="s">
        <v>1365</v>
      </c>
      <c r="D138" s="17"/>
      <c r="E138" s="17"/>
      <c r="F138" s="17"/>
      <c r="G138" s="38" t="s">
        <v>2740</v>
      </c>
      <c r="H138" s="38" t="s">
        <v>296</v>
      </c>
      <c r="I138" s="281"/>
      <c r="J138" s="294" t="str">
        <f>IF(ISBLANK(HLOOKUP(CaseName,CaseData,MATCH($G138,cases!$G$4:$G$2458,0),FALSE)),"",HLOOKUP(CaseName,CaseData,MATCH($G138,cases!$G$4:$G$2458,0),FALSE))</f>
        <v/>
      </c>
      <c r="K138" s="428">
        <f>Q.10^((L52-298)/10)</f>
        <v>0.40612619817811774</v>
      </c>
      <c r="L138" s="298">
        <f t="shared" si="8"/>
        <v>0.40612619817811774</v>
      </c>
      <c r="M138" s="38" t="s">
        <v>297</v>
      </c>
      <c r="N138" s="17"/>
    </row>
    <row r="139" spans="1:14" ht="12.75" customHeight="1" x14ac:dyDescent="0.2">
      <c r="A139" s="38"/>
      <c r="B139" s="38" t="s">
        <v>2741</v>
      </c>
      <c r="C139" s="17"/>
      <c r="D139" s="17"/>
      <c r="E139" s="17"/>
      <c r="F139" s="17"/>
      <c r="G139" s="38" t="s">
        <v>2742</v>
      </c>
      <c r="H139" s="38" t="s">
        <v>624</v>
      </c>
      <c r="I139" s="281"/>
      <c r="J139" s="294" t="str">
        <f>IF(ISBLANK(HLOOKUP(CaseName,CaseData,MATCH($G139,cases!$G$4:$G$2458,0),FALSE)),"",HLOOKUP(CaseName,CaseData,MATCH($G139,cases!$G$4:$G$2458,0),FALSE))</f>
        <v/>
      </c>
      <c r="K139" s="428">
        <f>L138*kdeg.sed</f>
        <v>4.0612619817811774E-21</v>
      </c>
      <c r="L139" s="298">
        <f t="shared" si="8"/>
        <v>4.0612619817811774E-21</v>
      </c>
      <c r="M139" s="38" t="s">
        <v>1048</v>
      </c>
      <c r="N139" s="17"/>
    </row>
    <row r="140" spans="1:14" ht="12.75" customHeight="1" x14ac:dyDescent="0.2">
      <c r="A140" s="38"/>
      <c r="B140" s="38" t="s">
        <v>2743</v>
      </c>
      <c r="C140" s="17"/>
      <c r="D140" s="17"/>
      <c r="E140" s="17"/>
      <c r="F140" s="17"/>
      <c r="G140" s="38" t="s">
        <v>2744</v>
      </c>
      <c r="H140" s="216" t="s">
        <v>624</v>
      </c>
      <c r="I140" s="281"/>
      <c r="J140" s="294" t="str">
        <f>IF(ISBLANK(HLOOKUP(CaseName,CaseData,MATCH($G140,cases!$G$4:$G$2458,0),FALSE)),"",HLOOKUP(CaseName,CaseData,MATCH($G140,cases!$G$4:$G$2458,0),FALSE))</f>
        <v/>
      </c>
      <c r="K140" s="428">
        <f>L138*kdeg.soil</f>
        <v>4.0612619817811774E-21</v>
      </c>
      <c r="L140" s="298">
        <f t="shared" si="8"/>
        <v>4.0612619817811774E-21</v>
      </c>
      <c r="M140" s="38" t="s">
        <v>1048</v>
      </c>
      <c r="N140" s="17"/>
    </row>
    <row r="141" spans="1:14" ht="12.75" customHeight="1" x14ac:dyDescent="0.2">
      <c r="A141" s="17"/>
      <c r="B141" s="17"/>
      <c r="C141" s="38" t="s">
        <v>2745</v>
      </c>
      <c r="D141" s="17"/>
      <c r="E141" s="17"/>
      <c r="F141" s="17"/>
      <c r="G141" s="146" t="s">
        <v>2746</v>
      </c>
      <c r="H141" s="38" t="s">
        <v>296</v>
      </c>
      <c r="I141" s="281"/>
      <c r="J141" s="294" t="str">
        <f>IF(ISBLANK(HLOOKUP(CaseName,CaseData,MATCH($G141,cases!$G$4:$G$2458,0),FALSE)),"",HLOOKUP(CaseName,CaseData,MATCH($G141,cases!$G$4:$G$2458,0),FALSE))</f>
        <v/>
      </c>
      <c r="K141" s="428">
        <v>0.25</v>
      </c>
      <c r="L141" s="298">
        <f t="shared" si="8"/>
        <v>0.25</v>
      </c>
      <c r="M141" s="17" t="s">
        <v>297</v>
      </c>
      <c r="N141" s="17"/>
    </row>
    <row r="142" spans="1:14" ht="12.75" customHeight="1" x14ac:dyDescent="0.2">
      <c r="A142" s="38"/>
      <c r="B142" s="38"/>
      <c r="C142" s="17" t="s">
        <v>1236</v>
      </c>
      <c r="D142" s="17"/>
      <c r="E142" s="146"/>
      <c r="F142" s="146"/>
      <c r="G142" s="38" t="s">
        <v>2747</v>
      </c>
      <c r="H142" s="17" t="s">
        <v>296</v>
      </c>
      <c r="I142" s="276"/>
      <c r="J142" s="294" t="str">
        <f>IF(ISBLANK(HLOOKUP(CaseName,CaseData,MATCH($G142,cases!$G$4:$G$2458,0),FALSE)),"",HLOOKUP(CaseName,CaseData,MATCH($G142,cases!$G$4:$G$2458,0),FALSE))</f>
        <v/>
      </c>
      <c r="K142" s="428">
        <f>(EXP((-1/0.1)*0.5)*(1/0.1)*L18/(1-EXP((-1/0.1)*L18)))</f>
        <v>8.5622262133111474E-3</v>
      </c>
      <c r="L142" s="298">
        <f t="shared" si="8"/>
        <v>8.5622262133111474E-3</v>
      </c>
      <c r="M142" s="38" t="s">
        <v>297</v>
      </c>
      <c r="N142" s="17" t="s">
        <v>1238</v>
      </c>
    </row>
    <row r="144" spans="1:14" ht="12.75" customHeight="1" x14ac:dyDescent="0.2">
      <c r="A144" s="487"/>
      <c r="B144" s="487"/>
      <c r="C144" s="487"/>
      <c r="D144" s="487"/>
      <c r="E144" s="487"/>
      <c r="F144" s="487"/>
      <c r="G144" s="487"/>
      <c r="H144" s="651"/>
      <c r="I144" s="679"/>
      <c r="J144" s="641"/>
      <c r="K144" s="654"/>
      <c r="L144" s="654"/>
      <c r="M144" s="487"/>
      <c r="N144" s="487"/>
    </row>
    <row r="145" spans="1:16" s="413" customFormat="1" ht="12.75" customHeight="1" x14ac:dyDescent="0.2">
      <c r="A145" s="631" t="s">
        <v>1389</v>
      </c>
      <c r="G145" s="631" t="s">
        <v>263</v>
      </c>
      <c r="H145" s="631" t="s">
        <v>279</v>
      </c>
      <c r="I145" s="413" t="s">
        <v>264</v>
      </c>
      <c r="J145" s="498" t="s">
        <v>280</v>
      </c>
      <c r="K145" s="648" t="s">
        <v>265</v>
      </c>
      <c r="L145" s="649" t="s">
        <v>266</v>
      </c>
      <c r="N145" s="631" t="s">
        <v>267</v>
      </c>
      <c r="O145" s="209" t="s">
        <v>1390</v>
      </c>
      <c r="P145" s="413" t="s">
        <v>1391</v>
      </c>
    </row>
    <row r="146" spans="1:16" s="410" customFormat="1" ht="12.75" customHeight="1" x14ac:dyDescent="0.2">
      <c r="A146" s="410" t="s">
        <v>2748</v>
      </c>
      <c r="G146" s="655"/>
      <c r="H146" s="655"/>
      <c r="J146" s="657"/>
      <c r="K146" s="658"/>
      <c r="L146" s="659"/>
      <c r="O146" s="417"/>
    </row>
    <row r="147" spans="1:16" customFormat="1" ht="12.75" customHeight="1" x14ac:dyDescent="0.2">
      <c r="A147" s="567" t="s">
        <v>1393</v>
      </c>
      <c r="B147" s="567"/>
      <c r="C147" s="567"/>
      <c r="D147" s="567"/>
      <c r="E147" s="567"/>
      <c r="F147" s="567"/>
      <c r="G147" s="567" t="s">
        <v>2749</v>
      </c>
      <c r="H147" s="568" t="s">
        <v>340</v>
      </c>
      <c r="I147" s="678"/>
      <c r="J147" s="294" t="str">
        <f>IF(ISBLANK(HLOOKUP(CaseName,CaseData,MATCH($G147,cases!$G$4:$G$2458,0),FALSE)),"",HLOOKUP(CaseName,CaseData,MATCH($G147,cases!$G$4:$G$2458,0),FALSE))</f>
        <v/>
      </c>
      <c r="K147" s="626">
        <f>L148+L153</f>
        <v>5.2255041078331695E-5</v>
      </c>
      <c r="L147" s="298">
        <f t="shared" ref="L147:L162" si="9">IF(ISBLANK(I147),IF(ISNUMBER(J147)=FALSE,K147,J147),I147)</f>
        <v>5.2255041078331695E-5</v>
      </c>
      <c r="M147" s="568" t="s">
        <v>340</v>
      </c>
      <c r="N147" s="567"/>
      <c r="O147" s="605">
        <v>2</v>
      </c>
      <c r="P147" s="567" t="s">
        <v>1395</v>
      </c>
    </row>
    <row r="148" spans="1:16" customFormat="1" ht="12.75" customHeight="1" x14ac:dyDescent="0.2">
      <c r="A148" s="567"/>
      <c r="B148" s="567" t="s">
        <v>1396</v>
      </c>
      <c r="C148" s="567"/>
      <c r="D148" s="567"/>
      <c r="E148" s="567"/>
      <c r="F148" s="567"/>
      <c r="G148" s="567" t="s">
        <v>2750</v>
      </c>
      <c r="H148" s="567" t="s">
        <v>340</v>
      </c>
      <c r="I148" s="678"/>
      <c r="J148" s="294" t="str">
        <f>IF(ISBLANK(HLOOKUP(CaseName,CaseData,MATCH($G148,cases!$G$4:$G$2458,0),FALSE)),"",HLOOKUP(CaseName,CaseData,MATCH($G148,cases!$G$4:$G$2458,0),FALSE))</f>
        <v/>
      </c>
      <c r="K148" s="577">
        <f>L152*(4*PI()*(RadNuc+RadS)*(L151+DiffS.aM))*L149</f>
        <v>4.9939710008047184E-6</v>
      </c>
      <c r="L148" s="298">
        <f t="shared" si="9"/>
        <v>4.9939710008047184E-6</v>
      </c>
      <c r="M148" s="567" t="s">
        <v>340</v>
      </c>
      <c r="N148" s="567"/>
      <c r="O148" s="605">
        <v>10</v>
      </c>
      <c r="P148" s="567" t="s">
        <v>915</v>
      </c>
    </row>
    <row r="149" spans="1:16" customFormat="1" ht="12.75" customHeight="1" x14ac:dyDescent="0.2">
      <c r="A149" s="567"/>
      <c r="B149" s="567"/>
      <c r="C149" s="567" t="s">
        <v>713</v>
      </c>
      <c r="D149" s="567"/>
      <c r="E149" s="567"/>
      <c r="F149" s="567"/>
      <c r="G149" s="567" t="s">
        <v>2751</v>
      </c>
      <c r="H149" s="568" t="s">
        <v>715</v>
      </c>
      <c r="I149" s="678"/>
      <c r="J149" s="294" t="str">
        <f>IF(ISBLANK(HLOOKUP(CaseName,CaseData,MATCH($G149,cases!$G$4:$G$2458,0),FALSE)),"",HLOOKUP(CaseName,CaseData,MATCH($G149,cases!$G$4:$G$2458,0),FALSE))</f>
        <v/>
      </c>
      <c r="K149" s="577">
        <f>3.2*10^9</f>
        <v>3200000000</v>
      </c>
      <c r="L149" s="298">
        <f t="shared" si="9"/>
        <v>3200000000</v>
      </c>
      <c r="M149" s="568" t="s">
        <v>715</v>
      </c>
      <c r="N149" s="567"/>
      <c r="O149" s="675"/>
      <c r="P149" s="567" t="s">
        <v>716</v>
      </c>
    </row>
    <row r="150" spans="1:16" customFormat="1" ht="12.75" customHeight="1" x14ac:dyDescent="0.2">
      <c r="A150" s="567"/>
      <c r="B150" s="567"/>
      <c r="C150" s="567" t="s">
        <v>1403</v>
      </c>
      <c r="D150" s="567"/>
      <c r="E150" s="567"/>
      <c r="F150" s="567"/>
      <c r="G150" s="568" t="s">
        <v>2752</v>
      </c>
      <c r="H150" s="568" t="s">
        <v>873</v>
      </c>
      <c r="I150" s="678"/>
      <c r="J150" s="294" t="str">
        <f>IF(ISBLANK(HLOOKUP(CaseName,CaseData,MATCH($G150,cases!$G$4:$G$2458,0),FALSE)),"",HLOOKUP(CaseName,CaseData,MATCH($G150,cases!$G$4:$G$2458,0),FALSE))</f>
        <v/>
      </c>
      <c r="K150" s="577">
        <f>((8*kboltz*L52)/((PI()*(4/3*PI()*(RadNuc)^3)*RhoNuc)))^0.5</f>
        <v>1.3564947467752155</v>
      </c>
      <c r="L150" s="298">
        <f t="shared" si="9"/>
        <v>1.3564947467752155</v>
      </c>
      <c r="M150" s="568" t="s">
        <v>873</v>
      </c>
      <c r="N150" s="567"/>
      <c r="O150" s="605"/>
      <c r="P150" s="567"/>
    </row>
    <row r="151" spans="1:16" customFormat="1" ht="12.75" customHeight="1" x14ac:dyDescent="0.2">
      <c r="A151" s="567"/>
      <c r="B151" s="567"/>
      <c r="C151" s="567" t="s">
        <v>1401</v>
      </c>
      <c r="D151" s="567"/>
      <c r="E151" s="567"/>
      <c r="F151" s="567"/>
      <c r="G151" s="567" t="s">
        <v>2753</v>
      </c>
      <c r="H151" s="567" t="s">
        <v>907</v>
      </c>
      <c r="I151" s="678"/>
      <c r="J151" s="294" t="str">
        <f>IF(ISBLANK(HLOOKUP(CaseName,CaseData,MATCH($G151,cases!$G$4:$G$2458,0),FALSE)),"",HLOOKUP(CaseName,CaseData,MATCH($G151,cases!$G$4:$G$2458,0),FALSE))</f>
        <v/>
      </c>
      <c r="K151" s="577">
        <f>(kboltz*L52*(1+(66*10^-9/RadNuc)*(1.142+0.558*EXP(-0.999/(66*10^-9/RadNuc)))))/(6*PI()*DYNVISC.a*RadNuc)</f>
        <v>1.349690832911066E-8</v>
      </c>
      <c r="L151" s="298">
        <f t="shared" si="9"/>
        <v>1.349690832911066E-8</v>
      </c>
      <c r="M151" s="567" t="s">
        <v>907</v>
      </c>
      <c r="N151" s="567"/>
      <c r="O151" s="605"/>
      <c r="P151" s="567"/>
    </row>
    <row r="152" spans="1:16" customFormat="1" ht="12.75" customHeight="1" x14ac:dyDescent="0.2">
      <c r="A152" s="567"/>
      <c r="B152" s="567"/>
      <c r="C152" s="567" t="s">
        <v>1398</v>
      </c>
      <c r="D152" s="567"/>
      <c r="E152" s="567"/>
      <c r="F152" s="567"/>
      <c r="G152" s="568" t="s">
        <v>2754</v>
      </c>
      <c r="H152" s="568" t="s">
        <v>296</v>
      </c>
      <c r="I152" s="678"/>
      <c r="J152" s="294" t="str">
        <f>IF(ISBLANK(HLOOKUP(CaseName,CaseData,MATCH($G152,cases!$G$4:$G$2458,0),FALSE)),"",HLOOKUP(CaseName,CaseData,MATCH($G152,cases!$G$4:$G$2458,0),FALSE))</f>
        <v/>
      </c>
      <c r="K152" s="577">
        <f>(1+(4*(DiffS.aM+L151))/((RadS+RadNuc)*(ThermvelS^2+L150^2)^0.5))^-1</f>
        <v>0.12482772414131724</v>
      </c>
      <c r="L152" s="298">
        <f t="shared" si="9"/>
        <v>0.12482772414131724</v>
      </c>
      <c r="M152" s="568" t="s">
        <v>296</v>
      </c>
      <c r="N152" s="567"/>
      <c r="O152" s="676" t="s">
        <v>1400</v>
      </c>
      <c r="P152" s="567"/>
    </row>
    <row r="153" spans="1:16" customFormat="1" ht="12.75" customHeight="1" x14ac:dyDescent="0.2">
      <c r="A153" s="567" t="s">
        <v>1405</v>
      </c>
      <c r="B153" s="567"/>
      <c r="C153" s="567"/>
      <c r="D153" s="567"/>
      <c r="E153" s="567"/>
      <c r="F153" s="567"/>
      <c r="G153" s="567" t="s">
        <v>2755</v>
      </c>
      <c r="H153" s="567" t="s">
        <v>340</v>
      </c>
      <c r="I153" s="678"/>
      <c r="J153" s="294" t="str">
        <f>IF(ISBLANK(HLOOKUP(CaseName,CaseData,MATCH($G153,cases!$G$4:$G$2458,0),FALSE)),"",HLOOKUP(CaseName,CaseData,MATCH($G153,cases!$G$4:$G$2458,0),FALSE))</f>
        <v/>
      </c>
      <c r="K153" s="577">
        <f>L157*(4*PI()*(RadAcc+RadS)*(L156+DiffS.aM))*L154</f>
        <v>4.7261070077526979E-5</v>
      </c>
      <c r="L153" s="298">
        <f t="shared" si="9"/>
        <v>4.7261070077526979E-5</v>
      </c>
      <c r="M153" s="567" t="s">
        <v>340</v>
      </c>
      <c r="N153" s="567"/>
      <c r="O153" s="605"/>
      <c r="P153" s="567"/>
    </row>
    <row r="154" spans="1:16" customFormat="1" ht="12.75" customHeight="1" x14ac:dyDescent="0.2">
      <c r="A154" s="567"/>
      <c r="B154" s="567"/>
      <c r="C154" s="567" t="s">
        <v>717</v>
      </c>
      <c r="D154" s="567"/>
      <c r="E154" s="567"/>
      <c r="F154" s="567"/>
      <c r="G154" s="567" t="s">
        <v>2756</v>
      </c>
      <c r="H154" s="568" t="s">
        <v>715</v>
      </c>
      <c r="I154" s="678"/>
      <c r="J154" s="294" t="str">
        <f>IF(ISBLANK(HLOOKUP(CaseName,CaseData,MATCH($G154,cases!$G$4:$G$2458,0),FALSE)),"",HLOOKUP(CaseName,CaseData,MATCH($G154,cases!$G$4:$G$2458,0),FALSE))</f>
        <v/>
      </c>
      <c r="K154" s="577">
        <f>2.9*10^9</f>
        <v>2900000000</v>
      </c>
      <c r="L154" s="298">
        <f t="shared" si="9"/>
        <v>2900000000</v>
      </c>
      <c r="M154" s="568" t="s">
        <v>715</v>
      </c>
      <c r="N154" s="567"/>
      <c r="O154" s="675"/>
      <c r="P154" s="567" t="s">
        <v>716</v>
      </c>
    </row>
    <row r="155" spans="1:16" customFormat="1" ht="12.75" customHeight="1" x14ac:dyDescent="0.2">
      <c r="A155" s="567"/>
      <c r="B155" s="567"/>
      <c r="C155" s="567" t="s">
        <v>1407</v>
      </c>
      <c r="D155" s="567"/>
      <c r="E155" s="567"/>
      <c r="F155" s="567"/>
      <c r="G155" s="568" t="s">
        <v>2757</v>
      </c>
      <c r="H155" s="568" t="s">
        <v>873</v>
      </c>
      <c r="I155" s="678"/>
      <c r="J155" s="294" t="str">
        <f>IF(ISBLANK(HLOOKUP(CaseName,CaseData,MATCH($G155,cases!$G$4:$G$2458,0),FALSE)),"",HLOOKUP(CaseName,CaseData,MATCH($G155,cases!$G$4:$G$2458,0),FALSE))</f>
        <v/>
      </c>
      <c r="K155" s="577">
        <f>((8*kboltz*L52)/((PI()*(4/3*PI()*(RadAcc)^3)*RhoAcc)))^0.5</f>
        <v>7.8294779293570968E-2</v>
      </c>
      <c r="L155" s="298">
        <f t="shared" si="9"/>
        <v>7.8294779293570968E-2</v>
      </c>
      <c r="M155" s="568" t="s">
        <v>873</v>
      </c>
      <c r="N155" s="567"/>
      <c r="O155" s="605"/>
      <c r="P155" s="567"/>
    </row>
    <row r="156" spans="1:16" customFormat="1" ht="12.75" customHeight="1" x14ac:dyDescent="0.2">
      <c r="A156" s="567"/>
      <c r="B156" s="567"/>
      <c r="C156" s="567" t="s">
        <v>1409</v>
      </c>
      <c r="D156" s="567"/>
      <c r="E156" s="567"/>
      <c r="F156" s="567"/>
      <c r="G156" s="567" t="s">
        <v>2758</v>
      </c>
      <c r="H156" s="567" t="s">
        <v>907</v>
      </c>
      <c r="I156" s="678"/>
      <c r="J156" s="294" t="str">
        <f>IF(ISBLANK(HLOOKUP(CaseName,CaseData,MATCH($G156,cases!$G$4:$G$2458,0),FALSE)),"",HLOOKUP(CaseName,CaseData,MATCH($G156,cases!$G$4:$G$2458,0),FALSE))</f>
        <v/>
      </c>
      <c r="K156" s="577">
        <f>(kboltz*L52*(1+(66*10^-9/RadAcc)*(1.142+0.558*EXP(-0.999/(66*10^-9/RadAcc)))))/(6*PI()*DYNVISC.a*RadAcc)</f>
        <v>5.097342013000671E-10</v>
      </c>
      <c r="L156" s="298">
        <f t="shared" si="9"/>
        <v>5.097342013000671E-10</v>
      </c>
      <c r="M156" s="567" t="s">
        <v>907</v>
      </c>
      <c r="N156" s="567"/>
      <c r="O156" s="605"/>
      <c r="P156" s="567"/>
    </row>
    <row r="157" spans="1:16" customFormat="1" ht="12.75" customHeight="1" x14ac:dyDescent="0.2">
      <c r="A157" s="567"/>
      <c r="B157" s="567"/>
      <c r="C157" s="567" t="s">
        <v>1411</v>
      </c>
      <c r="D157" s="567"/>
      <c r="E157" s="567"/>
      <c r="F157" s="567"/>
      <c r="G157" s="568" t="s">
        <v>2759</v>
      </c>
      <c r="H157" s="568" t="s">
        <v>296</v>
      </c>
      <c r="I157" s="678"/>
      <c r="J157" s="294" t="str">
        <f>IF(ISBLANK(HLOOKUP(CaseName,CaseData,MATCH($G157,cases!$G$4:$G$2458,0),FALSE)),"",HLOOKUP(CaseName,CaseData,MATCH($G157,cases!$G$4:$G$2458,0),FALSE))</f>
        <v/>
      </c>
      <c r="K157" s="577">
        <f>(1+(4*(DiffS.aM+L156))/((RadS+RadAcc)*(L155^2+ThermvelS^2)^0.5))^-1</f>
        <v>0.38593273622626317</v>
      </c>
      <c r="L157" s="298">
        <f t="shared" si="9"/>
        <v>0.38593273622626317</v>
      </c>
      <c r="M157" s="568" t="s">
        <v>296</v>
      </c>
      <c r="N157" s="567"/>
      <c r="O157" s="605"/>
      <c r="P157" s="567"/>
    </row>
    <row r="158" spans="1:16" customFormat="1" ht="12.75" customHeight="1" x14ac:dyDescent="0.2">
      <c r="A158" s="567" t="s">
        <v>1413</v>
      </c>
      <c r="B158" s="567"/>
      <c r="C158" s="567"/>
      <c r="D158" s="567"/>
      <c r="E158" s="567"/>
      <c r="F158" s="567"/>
      <c r="G158" s="568" t="s">
        <v>2760</v>
      </c>
      <c r="H158" s="568" t="s">
        <v>340</v>
      </c>
      <c r="I158" s="678"/>
      <c r="J158" s="294" t="str">
        <f>IF(ISBLANK(HLOOKUP(CaseName,CaseData,MATCH($G158,cases!$G$4:$G$2458,0),FALSE)),"",HLOOKUP(CaseName,CaseData,MATCH($G158,cases!$G$4:$G$2458,0),FALSE))</f>
        <v/>
      </c>
      <c r="K158" s="577">
        <f>L162*(4*PI()*(RadCP.a+RadS)*(L161+DiffS.aM))*L159</f>
        <v>1.6244683507574773E-7</v>
      </c>
      <c r="L158" s="298">
        <f t="shared" si="9"/>
        <v>1.6244683507574773E-7</v>
      </c>
      <c r="M158" s="567" t="s">
        <v>340</v>
      </c>
      <c r="N158" s="567"/>
      <c r="O158" s="605"/>
      <c r="P158" s="567"/>
    </row>
    <row r="159" spans="1:16" customFormat="1" ht="12.75" customHeight="1" x14ac:dyDescent="0.2">
      <c r="A159" s="567"/>
      <c r="B159" s="567" t="s">
        <v>719</v>
      </c>
      <c r="C159" s="567"/>
      <c r="D159" s="567"/>
      <c r="E159" s="567"/>
      <c r="F159" s="567"/>
      <c r="G159" s="567" t="s">
        <v>2761</v>
      </c>
      <c r="H159" s="568" t="s">
        <v>715</v>
      </c>
      <c r="I159" s="678"/>
      <c r="J159" s="294" t="str">
        <f>IF(ISBLANK(HLOOKUP(CaseName,CaseData,MATCH($G159,cases!$G$4:$G$2458,0),FALSE)),"",HLOOKUP(CaseName,CaseData,MATCH($G159,cases!$G$4:$G$2458,0),FALSE))</f>
        <v/>
      </c>
      <c r="K159" s="577">
        <f>3*10^5</f>
        <v>300000</v>
      </c>
      <c r="L159" s="298">
        <f t="shared" si="9"/>
        <v>300000</v>
      </c>
      <c r="M159" s="568" t="s">
        <v>715</v>
      </c>
      <c r="N159" s="567"/>
      <c r="O159" s="675"/>
      <c r="P159" s="567" t="s">
        <v>716</v>
      </c>
    </row>
    <row r="160" spans="1:16" customFormat="1" ht="12.75" customHeight="1" x14ac:dyDescent="0.2">
      <c r="A160" s="567"/>
      <c r="B160" s="567" t="s">
        <v>1415</v>
      </c>
      <c r="C160" s="567"/>
      <c r="D160" s="567"/>
      <c r="E160" s="567"/>
      <c r="F160" s="567"/>
      <c r="G160" s="568" t="s">
        <v>2762</v>
      </c>
      <c r="H160" s="568" t="s">
        <v>873</v>
      </c>
      <c r="I160" s="678"/>
      <c r="J160" s="294" t="str">
        <f>IF(ISBLANK(HLOOKUP(CaseName,CaseData,MATCH($G160,cases!$G$4:$G$2458,0),FALSE)),"",HLOOKUP(CaseName,CaseData,MATCH($G160,cases!$G$4:$G$2458,0),FALSE))</f>
        <v/>
      </c>
      <c r="K160" s="577">
        <f>((8*kboltz*L52)/((PI()*(4/3*PI()*(RadCP.a)^3)*RhoCP.a)))^0.5</f>
        <v>1.2808876266468387E-3</v>
      </c>
      <c r="L160" s="298">
        <f t="shared" si="9"/>
        <v>1.2808876266468387E-3</v>
      </c>
      <c r="M160" s="568" t="s">
        <v>873</v>
      </c>
      <c r="N160" s="567"/>
      <c r="O160" s="605"/>
      <c r="P160" s="567"/>
    </row>
    <row r="161" spans="1:16" customFormat="1" ht="12.75" customHeight="1" x14ac:dyDescent="0.2">
      <c r="A161" s="567"/>
      <c r="B161" s="567" t="s">
        <v>1417</v>
      </c>
      <c r="C161" s="567"/>
      <c r="D161" s="567"/>
      <c r="E161" s="567"/>
      <c r="F161" s="567"/>
      <c r="G161" s="567" t="s">
        <v>2763</v>
      </c>
      <c r="H161" s="567" t="s">
        <v>907</v>
      </c>
      <c r="I161" s="678"/>
      <c r="J161" s="294" t="str">
        <f>IF(ISBLANK(HLOOKUP(CaseName,CaseData,MATCH($G161,cases!$G$4:$G$2458,0),FALSE)),"",HLOOKUP(CaseName,CaseData,MATCH($G161,cases!$G$4:$G$2458,0),FALSE))</f>
        <v/>
      </c>
      <c r="K161" s="577">
        <f>(kboltz*L52)/(6*PI()*DYNVISC.a*RadCP.a)</f>
        <v>1.2814624133468318E-11</v>
      </c>
      <c r="L161" s="298">
        <f t="shared" si="9"/>
        <v>1.2814624133468318E-11</v>
      </c>
      <c r="M161" s="567" t="s">
        <v>907</v>
      </c>
      <c r="N161" s="567"/>
      <c r="O161" s="605"/>
      <c r="P161" s="567"/>
    </row>
    <row r="162" spans="1:16" customFormat="1" ht="12.75" customHeight="1" x14ac:dyDescent="0.2">
      <c r="A162" s="567"/>
      <c r="B162" s="567" t="s">
        <v>1419</v>
      </c>
      <c r="C162" s="567"/>
      <c r="D162" s="567"/>
      <c r="E162" s="567"/>
      <c r="F162" s="567"/>
      <c r="G162" s="568" t="s">
        <v>2764</v>
      </c>
      <c r="H162" s="568" t="s">
        <v>296</v>
      </c>
      <c r="I162" s="678"/>
      <c r="J162" s="294" t="str">
        <f>IF(ISBLANK(HLOOKUP(CaseName,CaseData,MATCH($G162,cases!$G$4:$G$2458,0),FALSE)),"",HLOOKUP(CaseName,CaseData,MATCH($G162,cases!$G$4:$G$2458,0),FALSE))</f>
        <v/>
      </c>
      <c r="K162" s="627">
        <f>(1+(4*(DiffS.aM+L161))/((RadS+RadCP.a)*(L160^2+ThermvelS^2)^0.5))^-1</f>
        <v>0.90105854612877101</v>
      </c>
      <c r="L162" s="298">
        <f t="shared" si="9"/>
        <v>0.90105854612877101</v>
      </c>
      <c r="M162" s="568" t="s">
        <v>296</v>
      </c>
      <c r="N162" s="567"/>
      <c r="O162" s="605"/>
      <c r="P162" s="567"/>
    </row>
    <row r="163" spans="1:16" s="410" customFormat="1" ht="12.75" customHeight="1" x14ac:dyDescent="0.2">
      <c r="A163" s="410" t="s">
        <v>2765</v>
      </c>
      <c r="G163" s="655"/>
      <c r="H163" s="655"/>
      <c r="J163" s="657"/>
      <c r="K163" s="658"/>
      <c r="L163" s="659"/>
      <c r="O163" s="417"/>
    </row>
    <row r="164" spans="1:16" customFormat="1" ht="12.75" customHeight="1" x14ac:dyDescent="0.2">
      <c r="A164" s="567" t="s">
        <v>1444</v>
      </c>
      <c r="B164" s="567"/>
      <c r="C164" s="567"/>
      <c r="D164" s="567"/>
      <c r="E164" s="567"/>
      <c r="F164" s="567"/>
      <c r="G164" s="568" t="s">
        <v>2766</v>
      </c>
      <c r="H164" s="568" t="s">
        <v>340</v>
      </c>
      <c r="I164" s="678"/>
      <c r="J164" s="294" t="str">
        <f>IF(ISBLANK(HLOOKUP(CaseName,CaseData,MATCH($G164,cases!$G$4:$G$2458,0),FALSE)),"",HLOOKUP(CaseName,CaseData,MATCH($G164,cases!$G$4:$G$2458,0),FALSE))</f>
        <v/>
      </c>
      <c r="K164" s="626">
        <f>L166*L165*AtefSA.w2</f>
        <v>5.935878290892988E-3</v>
      </c>
      <c r="L164" s="298">
        <f t="shared" ref="L164:L185" si="10">IF(ISBLANK(I164),IF(ISNUMBER(J164)=FALSE,K164,J164),I164)</f>
        <v>5.935878290892988E-3</v>
      </c>
      <c r="M164" s="567" t="s">
        <v>340</v>
      </c>
      <c r="N164" s="567"/>
      <c r="O164" s="605"/>
      <c r="P164" s="567"/>
    </row>
    <row r="165" spans="1:16" customFormat="1" ht="12.75" customHeight="1" x14ac:dyDescent="0.2">
      <c r="A165" s="567"/>
      <c r="B165" s="567" t="s">
        <v>1446</v>
      </c>
      <c r="C165" s="567"/>
      <c r="D165" s="567"/>
      <c r="E165" s="567"/>
      <c r="F165" s="567"/>
      <c r="G165" s="568" t="s">
        <v>2767</v>
      </c>
      <c r="H165" s="568" t="s">
        <v>715</v>
      </c>
      <c r="I165" s="678"/>
      <c r="J165" s="294" t="str">
        <f>IF(ISBLANK(HLOOKUP(CaseName,CaseData,MATCH($G165,cases!$G$4:$G$2458,0),FALSE)),"",HLOOKUP(CaseName,CaseData,MATCH($G165,cases!$G$4:$G$2458,0),FALSE))</f>
        <v/>
      </c>
      <c r="K165" s="577">
        <f>2*L65/(SingleVolNC.w*RhoNC.w)</f>
        <v>70735530263064.578</v>
      </c>
      <c r="L165" s="298">
        <f t="shared" si="10"/>
        <v>70735530263064.578</v>
      </c>
      <c r="M165" s="568" t="s">
        <v>715</v>
      </c>
      <c r="N165" s="567"/>
      <c r="O165" s="605"/>
      <c r="P165" s="587" t="s">
        <v>1448</v>
      </c>
    </row>
    <row r="166" spans="1:16" customFormat="1" ht="12.75" customHeight="1" x14ac:dyDescent="0.2">
      <c r="A166" s="567"/>
      <c r="B166" s="567" t="s">
        <v>1449</v>
      </c>
      <c r="C166" s="567"/>
      <c r="D166" s="567"/>
      <c r="E166" s="567"/>
      <c r="F166" s="567"/>
      <c r="G166" s="568" t="s">
        <v>2768</v>
      </c>
      <c r="H166" s="568" t="s">
        <v>340</v>
      </c>
      <c r="I166" s="678"/>
      <c r="J166" s="294" t="str">
        <f>IF(ISBLANK(HLOOKUP(CaseName,CaseData,MATCH($G166,cases!$G$4:$G$2458,0),FALSE)),"",HLOOKUP(CaseName,CaseData,MATCH($G166,cases!$G$4:$G$2458,0),FALSE))</f>
        <v/>
      </c>
      <c r="K166" s="577">
        <f>L167+L174+L175</f>
        <v>8.3916502340726485E-17</v>
      </c>
      <c r="L166" s="298">
        <f t="shared" si="10"/>
        <v>8.3916502340726485E-17</v>
      </c>
      <c r="M166" s="567" t="s">
        <v>340</v>
      </c>
      <c r="N166" s="567"/>
      <c r="O166" s="605"/>
      <c r="P166" s="567"/>
    </row>
    <row r="167" spans="1:16" customFormat="1" ht="12.75" customHeight="1" x14ac:dyDescent="0.2">
      <c r="A167" s="567"/>
      <c r="B167" s="567"/>
      <c r="C167" s="567" t="s">
        <v>1428</v>
      </c>
      <c r="D167" s="567"/>
      <c r="E167" s="567"/>
      <c r="F167" s="567"/>
      <c r="G167" s="568" t="s">
        <v>2769</v>
      </c>
      <c r="H167" s="568" t="s">
        <v>340</v>
      </c>
      <c r="I167" s="678"/>
      <c r="J167" s="294" t="str">
        <f>IF(ISBLANK(HLOOKUP(CaseName,CaseData,MATCH($G167,cases!$G$4:$G$2458,0),FALSE)),"",HLOOKUP(CaseName,CaseData,MATCH($G167,cases!$G$4:$G$2458,0),FALSE))</f>
        <v/>
      </c>
      <c r="K167" s="577">
        <f>(4/3)*L168*(RadS+RadNC.w)^3</f>
        <v>4.9651666666666685E-20</v>
      </c>
      <c r="L167" s="298">
        <f t="shared" si="10"/>
        <v>4.9651666666666685E-20</v>
      </c>
      <c r="M167" s="567" t="s">
        <v>340</v>
      </c>
      <c r="N167" s="567"/>
      <c r="O167" s="605"/>
      <c r="P167" s="567"/>
    </row>
    <row r="168" spans="1:16" customFormat="1" ht="12.75" customHeight="1" x14ac:dyDescent="0.2">
      <c r="A168" s="567"/>
      <c r="B168" s="567"/>
      <c r="C168" s="567"/>
      <c r="D168" s="567" t="s">
        <v>1452</v>
      </c>
      <c r="E168" s="567"/>
      <c r="F168" s="567"/>
      <c r="G168" s="568" t="s">
        <v>2770</v>
      </c>
      <c r="H168" s="568" t="s">
        <v>340</v>
      </c>
      <c r="I168" s="678"/>
      <c r="J168" s="294" t="str">
        <f>IF(ISBLANK(HLOOKUP(CaseName,CaseData,MATCH($G168,cases!$G$4:$G$2458,0),FALSE)),"",HLOOKUP(CaseName,CaseData,MATCH($G168,cases!$G$4:$G$2458,0),FALSE))</f>
        <v/>
      </c>
      <c r="K168" s="577">
        <v>10</v>
      </c>
      <c r="L168" s="298">
        <f t="shared" si="10"/>
        <v>10</v>
      </c>
      <c r="M168" s="568" t="s">
        <v>340</v>
      </c>
      <c r="N168" s="567"/>
      <c r="O168" s="605"/>
      <c r="P168" s="587" t="s">
        <v>1432</v>
      </c>
    </row>
    <row r="169" spans="1:16" customFormat="1" ht="12.75" customHeight="1" x14ac:dyDescent="0.2">
      <c r="A169" s="567" t="s">
        <v>1444</v>
      </c>
      <c r="B169" s="567"/>
      <c r="C169" s="567"/>
      <c r="D169" s="567"/>
      <c r="E169" s="567"/>
      <c r="F169" s="567"/>
      <c r="G169" s="568" t="s">
        <v>2771</v>
      </c>
      <c r="H169" s="568" t="s">
        <v>340</v>
      </c>
      <c r="I169" s="678"/>
      <c r="J169" s="294" t="str">
        <f>IF(ISBLANK(HLOOKUP(CaseName,CaseData,MATCH($G169,cases!$G$4:$G$2458,0),FALSE)),"",HLOOKUP(CaseName,CaseData,MATCH($G169,cases!$G$4:$G$2458,0),FALSE))</f>
        <v/>
      </c>
      <c r="K169" s="577">
        <f>L171*L170*AtefSA.w3</f>
        <v>5.935878290892988E-3</v>
      </c>
      <c r="L169" s="298">
        <f t="shared" si="10"/>
        <v>5.935878290892988E-3</v>
      </c>
      <c r="M169" s="567" t="s">
        <v>340</v>
      </c>
      <c r="N169" s="567"/>
      <c r="O169" s="605"/>
      <c r="P169" s="567"/>
    </row>
    <row r="170" spans="1:16" customFormat="1" ht="12.75" customHeight="1" x14ac:dyDescent="0.2">
      <c r="A170" s="567"/>
      <c r="B170" s="567" t="s">
        <v>1446</v>
      </c>
      <c r="C170" s="567"/>
      <c r="D170" s="567"/>
      <c r="E170" s="567"/>
      <c r="F170" s="567"/>
      <c r="G170" s="568" t="s">
        <v>2772</v>
      </c>
      <c r="H170" s="568" t="s">
        <v>715</v>
      </c>
      <c r="I170" s="678"/>
      <c r="J170" s="294" t="str">
        <f>IF(ISBLANK(HLOOKUP(CaseName,CaseData,MATCH($G170,cases!$G$4:$G$2458,0),FALSE)),"",HLOOKUP(CaseName,CaseData,MATCH($G170,cases!$G$4:$G$2458,0),FALSE))</f>
        <v/>
      </c>
      <c r="K170" s="577">
        <f>2*L66/(SingleVolNC.w*RhoNC.w)</f>
        <v>70735530263064.578</v>
      </c>
      <c r="L170" s="298">
        <f t="shared" si="10"/>
        <v>70735530263064.578</v>
      </c>
      <c r="M170" s="568" t="s">
        <v>715</v>
      </c>
      <c r="N170" s="567"/>
      <c r="O170" s="605"/>
      <c r="P170" s="587" t="s">
        <v>1448</v>
      </c>
    </row>
    <row r="171" spans="1:16" customFormat="1" ht="12.75" customHeight="1" x14ac:dyDescent="0.2">
      <c r="A171" s="567"/>
      <c r="B171" s="567" t="s">
        <v>1449</v>
      </c>
      <c r="C171" s="567"/>
      <c r="D171" s="567"/>
      <c r="E171" s="567"/>
      <c r="F171" s="567"/>
      <c r="G171" s="568" t="s">
        <v>2773</v>
      </c>
      <c r="H171" s="568" t="s">
        <v>340</v>
      </c>
      <c r="I171" s="678"/>
      <c r="J171" s="294" t="str">
        <f>IF(ISBLANK(HLOOKUP(CaseName,CaseData,MATCH($G171,cases!$G$4:$G$2458,0),FALSE)),"",HLOOKUP(CaseName,CaseData,MATCH($G171,cases!$G$4:$G$2458,0),FALSE))</f>
        <v/>
      </c>
      <c r="K171" s="577">
        <f>L172+L174+L175</f>
        <v>8.3916502340726485E-17</v>
      </c>
      <c r="L171" s="298">
        <f t="shared" si="10"/>
        <v>8.3916502340726485E-17</v>
      </c>
      <c r="M171" s="567" t="s">
        <v>340</v>
      </c>
      <c r="N171" s="567"/>
      <c r="O171" s="605"/>
      <c r="P171" s="567"/>
    </row>
    <row r="172" spans="1:16" customFormat="1" ht="12.75" customHeight="1" x14ac:dyDescent="0.2">
      <c r="A172" s="567"/>
      <c r="B172" s="567"/>
      <c r="C172" s="567" t="s">
        <v>1428</v>
      </c>
      <c r="D172" s="567"/>
      <c r="E172" s="567"/>
      <c r="F172" s="567"/>
      <c r="G172" s="568" t="s">
        <v>2774</v>
      </c>
      <c r="H172" s="568" t="s">
        <v>340</v>
      </c>
      <c r="I172" s="678"/>
      <c r="J172" s="294" t="str">
        <f>IF(ISBLANK(HLOOKUP(CaseName,CaseData,MATCH($G172,cases!$G$4:$G$2458,0),FALSE)),"",HLOOKUP(CaseName,CaseData,MATCH($G172,cases!$G$4:$G$2458,0),FALSE))</f>
        <v/>
      </c>
      <c r="K172" s="577">
        <f>(4/3)*L173*(RadS+RadNC.w)^3</f>
        <v>4.9651666666666685E-20</v>
      </c>
      <c r="L172" s="298">
        <f t="shared" si="10"/>
        <v>4.9651666666666685E-20</v>
      </c>
      <c r="M172" s="567" t="s">
        <v>340</v>
      </c>
      <c r="N172" s="567"/>
      <c r="O172" s="605"/>
      <c r="P172" s="567"/>
    </row>
    <row r="173" spans="1:16" customFormat="1" ht="12.75" customHeight="1" x14ac:dyDescent="0.2">
      <c r="A173" s="567"/>
      <c r="B173" s="567"/>
      <c r="C173" s="567"/>
      <c r="D173" s="567" t="s">
        <v>1452</v>
      </c>
      <c r="E173" s="567"/>
      <c r="F173" s="567"/>
      <c r="G173" s="568" t="s">
        <v>2775</v>
      </c>
      <c r="H173" s="568" t="s">
        <v>340</v>
      </c>
      <c r="I173" s="678"/>
      <c r="J173" s="294" t="str">
        <f>IF(ISBLANK(HLOOKUP(CaseName,CaseData,MATCH($G173,cases!$G$4:$G$2458,0),FALSE)),"",HLOOKUP(CaseName,CaseData,MATCH($G173,cases!$G$4:$G$2458,0),FALSE))</f>
        <v/>
      </c>
      <c r="K173" s="577">
        <v>10</v>
      </c>
      <c r="L173" s="298">
        <f t="shared" si="10"/>
        <v>10</v>
      </c>
      <c r="M173" s="568" t="s">
        <v>340</v>
      </c>
      <c r="N173" s="567"/>
      <c r="O173" s="605"/>
      <c r="P173" s="587" t="s">
        <v>1432</v>
      </c>
    </row>
    <row r="174" spans="1:16" customFormat="1" ht="12.75" customHeight="1" x14ac:dyDescent="0.2">
      <c r="A174" s="567"/>
      <c r="B174" s="567"/>
      <c r="C174" s="567" t="s">
        <v>1454</v>
      </c>
      <c r="D174" s="567"/>
      <c r="E174" s="567"/>
      <c r="F174" s="567"/>
      <c r="G174" s="567" t="s">
        <v>2776</v>
      </c>
      <c r="H174" s="567" t="s">
        <v>340</v>
      </c>
      <c r="I174" s="678"/>
      <c r="J174" s="294" t="str">
        <f>IF(ISBLANK(HLOOKUP(CaseName,CaseData,MATCH($G174,cases!$G$4:$G$2458,0),FALSE)),"",HLOOKUP(CaseName,CaseData,MATCH($G174,cases!$G$4:$G$2458,0),FALSE))</f>
        <v/>
      </c>
      <c r="K174" s="577">
        <f>(2*kboltz*L52)/(3*DYNVISC.w)*(RadS+RadNC.w)^2/(RadS*RadNC.w)</f>
        <v>8.3863161807052569E-17</v>
      </c>
      <c r="L174" s="552">
        <f t="shared" si="10"/>
        <v>8.3863161807052569E-17</v>
      </c>
      <c r="M174" s="567" t="s">
        <v>340</v>
      </c>
      <c r="N174" s="567"/>
      <c r="O174" s="605"/>
      <c r="P174" s="567"/>
    </row>
    <row r="175" spans="1:16" customFormat="1" ht="12.75" customHeight="1" x14ac:dyDescent="0.2">
      <c r="A175" s="567"/>
      <c r="B175" s="567"/>
      <c r="C175" s="567" t="s">
        <v>1456</v>
      </c>
      <c r="D175" s="567"/>
      <c r="E175" s="567"/>
      <c r="F175" s="567"/>
      <c r="G175" s="568" t="s">
        <v>2777</v>
      </c>
      <c r="H175" s="568" t="s">
        <v>340</v>
      </c>
      <c r="I175" s="678"/>
      <c r="J175" s="294" t="str">
        <f>IF(ISBLANK(HLOOKUP(CaseName,CaseData,MATCH($G175,cases!$G$4:$G$2458,0),FALSE)),"",HLOOKUP(CaseName,CaseData,MATCH($G175,cases!$G$4:$G$2458,0),FALSE))</f>
        <v/>
      </c>
      <c r="K175" s="577">
        <f>PI()*(RadS+RadNC.w)^2*ABS(SetVelS.w-SetVelNC.w)</f>
        <v>3.6888670072520785E-21</v>
      </c>
      <c r="L175" s="298">
        <f t="shared" si="10"/>
        <v>3.6888670072520785E-21</v>
      </c>
      <c r="M175" s="567" t="s">
        <v>340</v>
      </c>
      <c r="N175" s="567"/>
      <c r="O175" s="605"/>
      <c r="P175" s="567"/>
    </row>
    <row r="176" spans="1:16" customFormat="1" ht="12.75" customHeight="1" x14ac:dyDescent="0.2">
      <c r="A176" s="567" t="s">
        <v>1476</v>
      </c>
      <c r="B176" s="567"/>
      <c r="C176" s="567"/>
      <c r="D176" s="567"/>
      <c r="E176" s="567"/>
      <c r="F176" s="567"/>
      <c r="G176" s="568" t="s">
        <v>2778</v>
      </c>
      <c r="H176" s="568" t="s">
        <v>340</v>
      </c>
      <c r="I176" s="678"/>
      <c r="J176" s="294" t="str">
        <f>IF(ISBLANK(HLOOKUP(CaseName,CaseData,MATCH($G176,cases!$G$4:$G$2458,0),FALSE)),"",HLOOKUP(CaseName,CaseData,MATCH($G176,cases!$G$4:$G$2458,0),FALSE))</f>
        <v/>
      </c>
      <c r="K176" s="577">
        <f>L177*L178*AtefSP.w2</f>
        <v>4.9022739253694927E-5</v>
      </c>
      <c r="L176" s="298">
        <f t="shared" si="10"/>
        <v>4.9022739253694927E-5</v>
      </c>
      <c r="M176" s="567" t="s">
        <v>340</v>
      </c>
      <c r="N176" s="567"/>
      <c r="O176" s="605"/>
      <c r="P176" s="567"/>
    </row>
    <row r="177" spans="1:16" customFormat="1" ht="12.75" customHeight="1" x14ac:dyDescent="0.2">
      <c r="A177" s="567"/>
      <c r="B177" s="567" t="s">
        <v>1478</v>
      </c>
      <c r="C177" s="567"/>
      <c r="D177" s="567"/>
      <c r="E177" s="567"/>
      <c r="F177" s="567"/>
      <c r="G177" s="568" t="s">
        <v>2779</v>
      </c>
      <c r="H177" s="568" t="s">
        <v>715</v>
      </c>
      <c r="I177" s="678"/>
      <c r="J177" s="294" t="str">
        <f>IF(ISBLANK(HLOOKUP(CaseName,CaseData,MATCH($G177,cases!$G$4:$G$2458,0),FALSE)),"",HLOOKUP(CaseName,CaseData,MATCH($G177,cases!$G$4:$G$2458,0),FALSE))</f>
        <v/>
      </c>
      <c r="K177" s="577">
        <f>(L61)/(SingleVolSPM.w*RhoSPM.w)</f>
        <v>17683882565.766148</v>
      </c>
      <c r="L177" s="298">
        <f t="shared" si="10"/>
        <v>17683882565.766148</v>
      </c>
      <c r="M177" s="567" t="s">
        <v>715</v>
      </c>
      <c r="N177" s="567"/>
      <c r="O177" s="605"/>
      <c r="P177" s="567"/>
    </row>
    <row r="178" spans="1:16" customFormat="1" ht="12.75" customHeight="1" x14ac:dyDescent="0.2">
      <c r="A178" s="567"/>
      <c r="B178" s="567" t="s">
        <v>1481</v>
      </c>
      <c r="C178" s="567"/>
      <c r="D178" s="567"/>
      <c r="E178" s="567"/>
      <c r="F178" s="567"/>
      <c r="G178" s="568" t="s">
        <v>2780</v>
      </c>
      <c r="H178" s="567" t="s">
        <v>340</v>
      </c>
      <c r="I178" s="678"/>
      <c r="J178" s="294" t="str">
        <f>IF(ISBLANK(HLOOKUP(CaseName,CaseData,MATCH($G178,cases!$G$4:$G$2458,0),FALSE)),"",HLOOKUP(CaseName,CaseData,MATCH($G178,cases!$G$4:$G$2458,0),FALSE))</f>
        <v/>
      </c>
      <c r="K178" s="577">
        <f>L184+L185+L179</f>
        <v>2.7721705949686074E-15</v>
      </c>
      <c r="L178" s="298">
        <f t="shared" si="10"/>
        <v>2.7721705949686074E-15</v>
      </c>
      <c r="M178" s="567" t="s">
        <v>340</v>
      </c>
      <c r="N178" s="567"/>
      <c r="O178" s="605"/>
      <c r="P178" s="567"/>
    </row>
    <row r="179" spans="1:16" customFormat="1" ht="12.75" customHeight="1" x14ac:dyDescent="0.2">
      <c r="A179" s="567"/>
      <c r="B179" s="567"/>
      <c r="C179" s="567" t="s">
        <v>1466</v>
      </c>
      <c r="D179" s="567"/>
      <c r="E179" s="567"/>
      <c r="F179" s="567"/>
      <c r="G179" s="568" t="s">
        <v>2781</v>
      </c>
      <c r="H179" s="568" t="s">
        <v>340</v>
      </c>
      <c r="I179" s="678"/>
      <c r="J179" s="294" t="str">
        <f>IF(ISBLANK(HLOOKUP(CaseName,CaseData,MATCH($G179,cases!$G$4:$G$2458,0),FALSE)),"",HLOOKUP(CaseName,CaseData,MATCH($G179,cases!$G$4:$G$2458,0),FALSE))</f>
        <v/>
      </c>
      <c r="K179" s="577">
        <f>(4/3)*L168*(RadS+RadSPM.w)^3</f>
        <v>3.6180300166666665E-16</v>
      </c>
      <c r="L179" s="298">
        <f t="shared" si="10"/>
        <v>3.6180300166666665E-16</v>
      </c>
      <c r="M179" s="567" t="s">
        <v>340</v>
      </c>
      <c r="N179" s="567"/>
      <c r="O179" s="605"/>
      <c r="P179" s="567"/>
    </row>
    <row r="180" spans="1:16" customFormat="1" ht="12.75" customHeight="1" x14ac:dyDescent="0.2">
      <c r="A180" s="567" t="s">
        <v>1476</v>
      </c>
      <c r="B180" s="567"/>
      <c r="C180" s="567"/>
      <c r="D180" s="567"/>
      <c r="E180" s="567"/>
      <c r="F180" s="567"/>
      <c r="G180" s="568" t="s">
        <v>2782</v>
      </c>
      <c r="H180" s="568" t="s">
        <v>340</v>
      </c>
      <c r="I180" s="678"/>
      <c r="J180" s="294" t="str">
        <f>IF(ISBLANK(HLOOKUP(CaseName,CaseData,MATCH($G180,cases!$G$4:$G$2458,0),FALSE)),"",HLOOKUP(CaseName,CaseData,MATCH($G180,cases!$G$4:$G$2458,0),FALSE))</f>
        <v/>
      </c>
      <c r="K180" s="577">
        <f>L181*L182*AtefSP.w3</f>
        <v>4.9022739253694927E-5</v>
      </c>
      <c r="L180" s="298">
        <f t="shared" si="10"/>
        <v>4.9022739253694927E-5</v>
      </c>
      <c r="M180" s="567" t="s">
        <v>340</v>
      </c>
      <c r="N180" s="567"/>
      <c r="O180" s="605"/>
      <c r="P180" s="567"/>
    </row>
    <row r="181" spans="1:16" customFormat="1" ht="12.75" customHeight="1" x14ac:dyDescent="0.2">
      <c r="A181" s="567"/>
      <c r="B181" s="567" t="s">
        <v>1478</v>
      </c>
      <c r="C181" s="567"/>
      <c r="D181" s="567"/>
      <c r="E181" s="567"/>
      <c r="F181" s="567"/>
      <c r="G181" s="568" t="s">
        <v>2783</v>
      </c>
      <c r="H181" s="568" t="s">
        <v>715</v>
      </c>
      <c r="I181" s="678"/>
      <c r="J181" s="294" t="str">
        <f>IF(ISBLANK(HLOOKUP(CaseName,CaseData,MATCH($G181,cases!$G$4:$G$2458,0),FALSE)),"",HLOOKUP(CaseName,CaseData,MATCH($G181,cases!$G$4:$G$2458,0),FALSE))</f>
        <v/>
      </c>
      <c r="K181" s="577">
        <f>(L62)/(SingleVolSPM.w*RhoSPM.w)</f>
        <v>17683882565.766148</v>
      </c>
      <c r="L181" s="298">
        <f t="shared" si="10"/>
        <v>17683882565.766148</v>
      </c>
      <c r="M181" s="567" t="s">
        <v>715</v>
      </c>
      <c r="N181" s="567"/>
      <c r="O181" s="605"/>
      <c r="P181" s="567"/>
    </row>
    <row r="182" spans="1:16" customFormat="1" ht="12.75" customHeight="1" x14ac:dyDescent="0.2">
      <c r="A182" s="567"/>
      <c r="B182" s="567" t="s">
        <v>1481</v>
      </c>
      <c r="C182" s="567"/>
      <c r="D182" s="567"/>
      <c r="E182" s="567"/>
      <c r="F182" s="567"/>
      <c r="G182" s="568" t="s">
        <v>2784</v>
      </c>
      <c r="H182" s="567" t="s">
        <v>340</v>
      </c>
      <c r="I182" s="678"/>
      <c r="J182" s="294" t="str">
        <f>IF(ISBLANK(HLOOKUP(CaseName,CaseData,MATCH($G182,cases!$G$4:$G$2458,0),FALSE)),"",HLOOKUP(CaseName,CaseData,MATCH($G182,cases!$G$4:$G$2458,0),FALSE))</f>
        <v/>
      </c>
      <c r="K182" s="577">
        <f>L184+L185+L183</f>
        <v>2.7721705949686074E-15</v>
      </c>
      <c r="L182" s="298">
        <f t="shared" si="10"/>
        <v>2.7721705949686074E-15</v>
      </c>
      <c r="M182" s="567" t="s">
        <v>340</v>
      </c>
      <c r="N182" s="567"/>
      <c r="O182" s="605"/>
      <c r="P182" s="567"/>
    </row>
    <row r="183" spans="1:16" customFormat="1" ht="12.75" customHeight="1" x14ac:dyDescent="0.2">
      <c r="A183" s="567"/>
      <c r="B183" s="567"/>
      <c r="C183" s="567" t="s">
        <v>1466</v>
      </c>
      <c r="D183" s="567"/>
      <c r="E183" s="567"/>
      <c r="F183" s="567"/>
      <c r="G183" s="568" t="s">
        <v>2785</v>
      </c>
      <c r="H183" s="568" t="s">
        <v>340</v>
      </c>
      <c r="I183" s="678"/>
      <c r="J183" s="294" t="str">
        <f>IF(ISBLANK(HLOOKUP(CaseName,CaseData,MATCH($G183,cases!$G$4:$G$2458,0),FALSE)),"",HLOOKUP(CaseName,CaseData,MATCH($G183,cases!$G$4:$G$2458,0),FALSE))</f>
        <v/>
      </c>
      <c r="K183" s="577">
        <f>(4/3)*L173*(RadS+RadSPM.w)^3</f>
        <v>3.6180300166666665E-16</v>
      </c>
      <c r="L183" s="298">
        <f t="shared" si="10"/>
        <v>3.6180300166666665E-16</v>
      </c>
      <c r="M183" s="567" t="s">
        <v>340</v>
      </c>
      <c r="N183" s="567"/>
      <c r="O183" s="605"/>
      <c r="P183" s="567"/>
    </row>
    <row r="184" spans="1:16" customFormat="1" ht="12.75" customHeight="1" x14ac:dyDescent="0.2">
      <c r="A184" s="567"/>
      <c r="B184" s="567"/>
      <c r="C184" s="567" t="s">
        <v>1484</v>
      </c>
      <c r="D184" s="567"/>
      <c r="E184" s="567"/>
      <c r="F184" s="567"/>
      <c r="G184" s="568" t="s">
        <v>2786</v>
      </c>
      <c r="H184" s="568" t="s">
        <v>340</v>
      </c>
      <c r="I184" s="678"/>
      <c r="J184" s="294" t="str">
        <f>IF(ISBLANK(HLOOKUP(CaseName,CaseData,MATCH($G184,cases!$G$4:$G$2458,0),FALSE)),"",HLOOKUP(CaseName,CaseData,MATCH($G184,cases!$G$4:$G$2458,0),FALSE))</f>
        <v/>
      </c>
      <c r="K184" s="577">
        <f>((2*kboltz*L52)/(3*DYNVISC.w))*(RadS+RadSPM.w)^2/(RadS*RadSPM.w)</f>
        <v>1.5760383927091152E-15</v>
      </c>
      <c r="L184" s="298">
        <f t="shared" si="10"/>
        <v>1.5760383927091152E-15</v>
      </c>
      <c r="M184" s="567" t="s">
        <v>340</v>
      </c>
      <c r="N184" s="567"/>
      <c r="O184" s="605"/>
      <c r="P184" s="567"/>
    </row>
    <row r="185" spans="1:16" customFormat="1" ht="12.75" customHeight="1" x14ac:dyDescent="0.2">
      <c r="A185" s="567"/>
      <c r="B185" s="567"/>
      <c r="C185" s="567" t="s">
        <v>2255</v>
      </c>
      <c r="D185" s="567"/>
      <c r="E185" s="567"/>
      <c r="F185" s="567"/>
      <c r="G185" s="568" t="s">
        <v>2787</v>
      </c>
      <c r="H185" s="568" t="s">
        <v>340</v>
      </c>
      <c r="I185" s="678"/>
      <c r="J185" s="294" t="str">
        <f>IF(ISBLANK(HLOOKUP(CaseName,CaseData,MATCH($G185,cases!$G$4:$G$2458,0),FALSE)),"",HLOOKUP(CaseName,CaseData,MATCH($G185,cases!$G$4:$G$2458,0),FALSE))</f>
        <v/>
      </c>
      <c r="K185" s="627">
        <f>PI()*(RadS+RadSPM.w)^2*ABS(SetVelS.w-SetVelSPM.w)</f>
        <v>8.3432920059282575E-16</v>
      </c>
      <c r="L185" s="298">
        <f t="shared" si="10"/>
        <v>8.3432920059282575E-16</v>
      </c>
      <c r="M185" s="567" t="s">
        <v>340</v>
      </c>
      <c r="N185" s="567"/>
      <c r="O185" s="605"/>
      <c r="P185" s="567"/>
    </row>
    <row r="186" spans="1:16" customFormat="1" ht="12.75" customHeight="1" x14ac:dyDescent="0.2">
      <c r="A186" s="410" t="s">
        <v>2788</v>
      </c>
      <c r="G186" s="172"/>
      <c r="H186" s="172"/>
      <c r="J186" s="294" t="str">
        <f>IF(ISBLANK(HLOOKUP(CaseName,CaseData,MATCH($G186,cases!$G$4:$G$2458,0),FALSE)),"",HLOOKUP(CaseName,CaseData,MATCH($G186,cases!$G$4:$G$2458,0),FALSE))</f>
        <v/>
      </c>
      <c r="K186" s="335"/>
      <c r="L186" s="332"/>
      <c r="O186" s="176"/>
    </row>
    <row r="187" spans="1:16" customFormat="1" ht="12.75" customHeight="1" x14ac:dyDescent="0.2">
      <c r="A187" s="567" t="s">
        <v>2789</v>
      </c>
      <c r="B187" s="567"/>
      <c r="C187" s="567"/>
      <c r="D187" s="567"/>
      <c r="E187" s="567"/>
      <c r="F187" s="567"/>
      <c r="G187" s="568" t="s">
        <v>2790</v>
      </c>
      <c r="H187" s="568" t="s">
        <v>340</v>
      </c>
      <c r="I187" s="678"/>
      <c r="J187" s="294" t="str">
        <f>IF(ISBLANK(HLOOKUP(CaseName,CaseData,MATCH($G187,cases!$G$4:$G$2458,0),FALSE)),"",HLOOKUP(CaseName,CaseData,MATCH($G187,cases!$G$4:$G$2458,0),FALSE))</f>
        <v/>
      </c>
      <c r="K187" s="626">
        <f>AtefSA.sd2*L188*(L189+L190)</f>
        <v>5.9323661539228767E-3</v>
      </c>
      <c r="L187" s="298">
        <f t="shared" ref="L187:L204" si="11">IF(ISBLANK(I187),IF(ISNUMBER(J187)=FALSE,K187,J187),I187)</f>
        <v>5.9323661539228767E-3</v>
      </c>
      <c r="M187" s="568" t="s">
        <v>340</v>
      </c>
      <c r="N187" s="567" t="s">
        <v>2791</v>
      </c>
      <c r="O187" s="605"/>
      <c r="P187" s="567"/>
    </row>
    <row r="188" spans="1:16" customFormat="1" ht="12.75" customHeight="1" x14ac:dyDescent="0.2">
      <c r="A188" s="567"/>
      <c r="B188" s="567" t="s">
        <v>1500</v>
      </c>
      <c r="C188" s="567"/>
      <c r="D188" s="567"/>
      <c r="E188" s="567"/>
      <c r="F188" s="567"/>
      <c r="G188" s="568" t="s">
        <v>2792</v>
      </c>
      <c r="H188" s="568" t="s">
        <v>715</v>
      </c>
      <c r="I188" s="678"/>
      <c r="J188" s="294" t="str">
        <f>IF(ISBLANK(HLOOKUP(CaseName,CaseData,MATCH($G188,cases!$G$4:$G$2458,0),FALSE)),"",HLOOKUP(CaseName,CaseData,MATCH($G188,cases!$G$4:$G$2458,0),FALSE))</f>
        <v/>
      </c>
      <c r="K188" s="577">
        <f>L165</f>
        <v>70735530263064.578</v>
      </c>
      <c r="L188" s="298">
        <f t="shared" si="11"/>
        <v>70735530263064.578</v>
      </c>
      <c r="M188" s="568" t="s">
        <v>715</v>
      </c>
      <c r="N188" s="567" t="s">
        <v>2260</v>
      </c>
      <c r="O188" s="605"/>
      <c r="P188" s="587"/>
    </row>
    <row r="189" spans="1:16" customFormat="1" ht="12.75" customHeight="1" x14ac:dyDescent="0.2">
      <c r="A189" s="567"/>
      <c r="B189" s="567"/>
      <c r="C189" s="567" t="s">
        <v>1454</v>
      </c>
      <c r="D189" s="567"/>
      <c r="E189" s="567"/>
      <c r="F189" s="567"/>
      <c r="G189" s="567" t="s">
        <v>2793</v>
      </c>
      <c r="H189" s="567" t="s">
        <v>340</v>
      </c>
      <c r="I189" s="678"/>
      <c r="J189" s="294" t="str">
        <f>IF(ISBLANK(HLOOKUP(CaseName,CaseData,MATCH($G189,cases!$G$4:$G$2458,0),FALSE)),"",HLOOKUP(CaseName,CaseData,MATCH($G189,cases!$G$4:$G$2458,0),FALSE))</f>
        <v/>
      </c>
      <c r="K189" s="577">
        <f>((2*kboltz*L52)/(3*DYNVISC.w))*(RadS+RadNC.sd)^2/(RadS*RadNC.sd)</f>
        <v>8.3863161807052569E-17</v>
      </c>
      <c r="L189" s="552">
        <f t="shared" si="11"/>
        <v>8.3863161807052569E-17</v>
      </c>
      <c r="M189" s="567" t="s">
        <v>340</v>
      </c>
      <c r="N189" s="567"/>
      <c r="O189" s="605"/>
      <c r="P189" s="567"/>
    </row>
    <row r="190" spans="1:16" customFormat="1" ht="12.75" customHeight="1" x14ac:dyDescent="0.2">
      <c r="A190" s="567"/>
      <c r="B190" s="567"/>
      <c r="C190" s="567" t="s">
        <v>1456</v>
      </c>
      <c r="D190" s="567"/>
      <c r="E190" s="567"/>
      <c r="F190" s="567"/>
      <c r="G190" s="568" t="s">
        <v>2794</v>
      </c>
      <c r="H190" s="568" t="s">
        <v>340</v>
      </c>
      <c r="I190" s="678"/>
      <c r="J190" s="294" t="str">
        <f>IF(ISBLANK(HLOOKUP(CaseName,CaseData,MATCH($G190,cases!$G$4:$G$2458,0),FALSE)),"",HLOOKUP(CaseName,CaseData,MATCH($G190,cases!$G$4:$G$2458,0),FALSE))</f>
        <v/>
      </c>
      <c r="K190" s="577">
        <f>PI()*(RadS+RadNC.sd)^2*ABS(SetVelS.w-SetVelNC.sd)</f>
        <v>3.6888670072520785E-21</v>
      </c>
      <c r="L190" s="298">
        <f t="shared" si="11"/>
        <v>3.6888670072520785E-21</v>
      </c>
      <c r="M190" s="567" t="s">
        <v>340</v>
      </c>
      <c r="N190" s="567"/>
      <c r="O190" s="605"/>
      <c r="P190" s="567"/>
    </row>
    <row r="191" spans="1:16" customFormat="1" ht="12.75" customHeight="1" x14ac:dyDescent="0.2">
      <c r="A191" s="567" t="s">
        <v>2795</v>
      </c>
      <c r="B191" s="567"/>
      <c r="C191" s="567"/>
      <c r="D191" s="567"/>
      <c r="E191" s="567"/>
      <c r="F191" s="567"/>
      <c r="G191" s="568" t="s">
        <v>2796</v>
      </c>
      <c r="H191" s="568" t="s">
        <v>340</v>
      </c>
      <c r="I191" s="678"/>
      <c r="J191" s="294" t="str">
        <f>IF(ISBLANK(HLOOKUP(CaseName,CaseData,MATCH($G191,cases!$G$4:$G$2458,0),FALSE)),"",HLOOKUP(CaseName,CaseData,MATCH($G191,cases!$G$4:$G$2458,0),FALSE))</f>
        <v/>
      </c>
      <c r="K191" s="577">
        <f>L192*L194*L193*AtefSP.sd2</f>
        <v>1.6036806223326702E-2</v>
      </c>
      <c r="L191" s="298">
        <f t="shared" si="11"/>
        <v>1.6036806223326702E-2</v>
      </c>
      <c r="M191" s="568" t="s">
        <v>340</v>
      </c>
      <c r="N191" s="567" t="s">
        <v>2791</v>
      </c>
      <c r="O191" s="605"/>
      <c r="P191" s="567"/>
    </row>
    <row r="192" spans="1:16" customFormat="1" ht="12.75" customHeight="1" x14ac:dyDescent="0.2">
      <c r="A192" s="567"/>
      <c r="B192" s="567" t="s">
        <v>1511</v>
      </c>
      <c r="C192" s="567"/>
      <c r="D192" s="567"/>
      <c r="E192" s="567"/>
      <c r="F192" s="567"/>
      <c r="G192" s="568" t="s">
        <v>2797</v>
      </c>
      <c r="H192" s="568" t="s">
        <v>1513</v>
      </c>
      <c r="I192" s="678"/>
      <c r="J192" s="294" t="str">
        <f>IF(ISBLANK(HLOOKUP(CaseName,CaseData,MATCH($G192,cases!$G$4:$G$2458,0),FALSE)),"",HLOOKUP(CaseName,CaseData,MATCH($G192,cases!$G$4:$G$2458,0),FALSE))</f>
        <v/>
      </c>
      <c r="K192" s="577">
        <f>(3/2)*((1-L198)/(2*RadFP.sd*L198))</f>
        <v>1464.8437499999995</v>
      </c>
      <c r="L192" s="298">
        <f t="shared" si="11"/>
        <v>1464.8437499999995</v>
      </c>
      <c r="M192" s="568" t="s">
        <v>1513</v>
      </c>
      <c r="N192" s="567"/>
      <c r="O192" s="605"/>
      <c r="P192" s="567"/>
    </row>
    <row r="193" spans="1:16" customFormat="1" ht="12.75" customHeight="1" x14ac:dyDescent="0.2">
      <c r="A193" s="567"/>
      <c r="B193" s="567" t="s">
        <v>1514</v>
      </c>
      <c r="C193" s="567"/>
      <c r="D193" s="567"/>
      <c r="E193" s="567"/>
      <c r="F193" s="567"/>
      <c r="G193" s="567" t="s">
        <v>2798</v>
      </c>
      <c r="H193" s="568" t="s">
        <v>873</v>
      </c>
      <c r="I193" s="678"/>
      <c r="J193" s="294" t="str">
        <f>IF(ISBLANK(HLOOKUP(CaseName,CaseData,MATCH($G193,cases!$G$4:$G$2458,0),FALSE)),"",HLOOKUP(CaseName,CaseData,MATCH($G193,cases!$G$4:$G$2458,0),FALSE))</f>
        <v/>
      </c>
      <c r="K193" s="628">
        <f>9*10^-6</f>
        <v>9.0000000000000002E-6</v>
      </c>
      <c r="L193" s="298">
        <f t="shared" si="11"/>
        <v>9.0000000000000002E-6</v>
      </c>
      <c r="M193" s="568" t="s">
        <v>873</v>
      </c>
      <c r="N193" s="567"/>
      <c r="O193" s="605"/>
      <c r="P193" s="567" t="s">
        <v>1516</v>
      </c>
    </row>
    <row r="194" spans="1:16" customFormat="1" ht="12.75" customHeight="1" x14ac:dyDescent="0.2">
      <c r="A194" s="567"/>
      <c r="B194" s="567" t="s">
        <v>1517</v>
      </c>
      <c r="C194" s="567"/>
      <c r="D194" s="567"/>
      <c r="E194" s="567"/>
      <c r="F194" s="567"/>
      <c r="G194" s="568" t="s">
        <v>2799</v>
      </c>
      <c r="H194" s="568" t="s">
        <v>296</v>
      </c>
      <c r="I194" s="678"/>
      <c r="J194" s="294" t="str">
        <f>IF(ISBLANK(HLOOKUP(CaseName,CaseData,MATCH($G194,cases!$G$4:$G$2458,0),FALSE)),"",HLOOKUP(CaseName,CaseData,MATCH($G194,cases!$G$4:$G$2458,0),FALSE))</f>
        <v/>
      </c>
      <c r="K194" s="577">
        <f>L195+L199+L200</f>
        <v>1.216421449828633</v>
      </c>
      <c r="L194" s="298">
        <f t="shared" si="11"/>
        <v>1.216421449828633</v>
      </c>
      <c r="M194" s="568" t="s">
        <v>296</v>
      </c>
      <c r="N194" s="567"/>
      <c r="O194" s="605"/>
      <c r="P194" s="567" t="s">
        <v>1516</v>
      </c>
    </row>
    <row r="195" spans="1:16" customFormat="1" ht="12.75" customHeight="1" x14ac:dyDescent="0.2">
      <c r="A195" s="567"/>
      <c r="B195" s="567"/>
      <c r="C195" s="567" t="s">
        <v>1519</v>
      </c>
      <c r="D195" s="567"/>
      <c r="E195" s="567"/>
      <c r="F195" s="567"/>
      <c r="G195" s="568" t="s">
        <v>2800</v>
      </c>
      <c r="H195" s="568" t="s">
        <v>296</v>
      </c>
      <c r="I195" s="678"/>
      <c r="J195" s="294" t="str">
        <f>IF(ISBLANK(HLOOKUP(CaseName,CaseData,MATCH($G195,cases!$G$4:$G$2458,0),FALSE)),"",HLOOKUP(CaseName,CaseData,MATCH($G195,cases!$G$4:$G$2458,0),FALSE))</f>
        <v/>
      </c>
      <c r="K195" s="577">
        <f>2.4*L203^(1/3)*L202^(-0.081)*L203^(-0.715)*L201^(0.053)</f>
        <v>1.2164060487084727</v>
      </c>
      <c r="L195" s="298">
        <f t="shared" si="11"/>
        <v>1.2164060487084727</v>
      </c>
      <c r="M195" s="568" t="s">
        <v>296</v>
      </c>
      <c r="N195" s="567"/>
      <c r="O195" s="605"/>
      <c r="P195" s="567" t="s">
        <v>1516</v>
      </c>
    </row>
    <row r="196" spans="1:16" customFormat="1" ht="12.75" customHeight="1" x14ac:dyDescent="0.2">
      <c r="A196" s="567"/>
      <c r="B196" s="567"/>
      <c r="C196" s="567"/>
      <c r="D196" s="567" t="s">
        <v>1521</v>
      </c>
      <c r="E196" s="567"/>
      <c r="F196" s="567"/>
      <c r="G196" s="567" t="s">
        <v>2801</v>
      </c>
      <c r="H196" s="568" t="s">
        <v>296</v>
      </c>
      <c r="I196" s="678"/>
      <c r="J196" s="294" t="str">
        <f>IF(ISBLANK(HLOOKUP(CaseName,CaseData,MATCH($G196,cases!$G$4:$G$2458,0),FALSE)),"",HLOOKUP(CaseName,CaseData,MATCH($G196,cases!$G$4:$G$2458,0),FALSE))</f>
        <v/>
      </c>
      <c r="K196" s="628">
        <f>(2*(1-L197^5))/(2-3*L197+3*L197^5-2*L197^6)</f>
        <v>5.0249997549306684</v>
      </c>
      <c r="L196" s="298">
        <f t="shared" si="11"/>
        <v>5.0249997549306684</v>
      </c>
      <c r="M196" s="568" t="s">
        <v>296</v>
      </c>
      <c r="N196" s="567"/>
      <c r="O196" s="605"/>
      <c r="P196" s="567" t="s">
        <v>1516</v>
      </c>
    </row>
    <row r="197" spans="1:16" customFormat="1" ht="12.75" customHeight="1" x14ac:dyDescent="0.2">
      <c r="A197" s="567"/>
      <c r="B197" s="567"/>
      <c r="C197" s="567"/>
      <c r="D197" s="567"/>
      <c r="E197" s="567" t="s">
        <v>1523</v>
      </c>
      <c r="F197" s="567"/>
      <c r="G197" s="567" t="s">
        <v>2802</v>
      </c>
      <c r="H197" s="568" t="s">
        <v>296</v>
      </c>
      <c r="I197" s="678"/>
      <c r="J197" s="294" t="str">
        <f>IF(ISBLANK(HLOOKUP(CaseName,CaseData,MATCH($G197,cases!$G$4:$G$2458,0),FALSE)),"",HLOOKUP(CaseName,CaseData,MATCH($G197,cases!$G$4:$G$2458,0),FALSE))</f>
        <v/>
      </c>
      <c r="K197" s="628">
        <f>(1-L198)^(1/3)</f>
        <v>0.58480354764257325</v>
      </c>
      <c r="L197" s="298">
        <f t="shared" si="11"/>
        <v>0.58480354764257325</v>
      </c>
      <c r="M197" s="568" t="s">
        <v>296</v>
      </c>
      <c r="N197" s="567"/>
      <c r="O197" s="605"/>
      <c r="P197" s="567" t="s">
        <v>1516</v>
      </c>
    </row>
    <row r="198" spans="1:16" customFormat="1" ht="12.75" customHeight="1" x14ac:dyDescent="0.2">
      <c r="A198" s="567"/>
      <c r="B198" s="567"/>
      <c r="C198" s="567"/>
      <c r="D198" s="567"/>
      <c r="E198" s="567"/>
      <c r="F198" s="567" t="s">
        <v>1525</v>
      </c>
      <c r="G198" s="567" t="s">
        <v>2803</v>
      </c>
      <c r="H198" s="568" t="s">
        <v>1527</v>
      </c>
      <c r="I198" s="678"/>
      <c r="J198" s="294" t="str">
        <f>IF(ISBLANK(HLOOKUP(CaseName,CaseData,MATCH($G198,cases!$G$4:$G$2458,0),FALSE)),"",HLOOKUP(CaseName,CaseData,MATCH($G198,cases!$G$4:$G$2458,0),FALSE))</f>
        <v/>
      </c>
      <c r="K198" s="577">
        <f>L25</f>
        <v>0.8</v>
      </c>
      <c r="L198" s="298">
        <f t="shared" si="11"/>
        <v>0.8</v>
      </c>
      <c r="M198" s="568" t="s">
        <v>1527</v>
      </c>
      <c r="N198" s="567" t="s">
        <v>1528</v>
      </c>
      <c r="O198" s="605"/>
      <c r="P198" s="567"/>
    </row>
    <row r="199" spans="1:16" customFormat="1" ht="12.75" customHeight="1" x14ac:dyDescent="0.2">
      <c r="A199" s="567"/>
      <c r="B199" s="567"/>
      <c r="C199" s="567" t="s">
        <v>1529</v>
      </c>
      <c r="D199" s="567"/>
      <c r="E199" s="567"/>
      <c r="F199" s="567"/>
      <c r="G199" s="568" t="s">
        <v>2804</v>
      </c>
      <c r="H199" s="568" t="s">
        <v>296</v>
      </c>
      <c r="I199" s="678"/>
      <c r="J199" s="294" t="str">
        <f>IF(ISBLANK(HLOOKUP(CaseName,CaseData,MATCH($G199,cases!$G$4:$G$2458,0),FALSE)),"",HLOOKUP(CaseName,CaseData,MATCH($G199,cases!$G$4:$G$2458,0),FALSE))</f>
        <v/>
      </c>
      <c r="K199" s="577">
        <f>0.55*L202^1.55*L203^-0.125*L201^0.125</f>
        <v>5.2510265498612906E-8</v>
      </c>
      <c r="L199" s="298">
        <f t="shared" si="11"/>
        <v>5.2510265498612906E-8</v>
      </c>
      <c r="M199" s="568" t="s">
        <v>296</v>
      </c>
      <c r="N199" s="567"/>
      <c r="O199" s="605"/>
      <c r="P199" s="567" t="s">
        <v>1516</v>
      </c>
    </row>
    <row r="200" spans="1:16" customFormat="1" ht="12.75" customHeight="1" x14ac:dyDescent="0.2">
      <c r="A200" s="567"/>
      <c r="B200" s="567"/>
      <c r="C200" s="567" t="s">
        <v>1531</v>
      </c>
      <c r="D200" s="567"/>
      <c r="E200" s="567"/>
      <c r="F200" s="567"/>
      <c r="G200" s="568" t="s">
        <v>2805</v>
      </c>
      <c r="H200" s="568" t="s">
        <v>296</v>
      </c>
      <c r="I200" s="678"/>
      <c r="J200" s="294" t="str">
        <f>IF(ISBLANK(HLOOKUP(CaseName,CaseData,MATCH($G200,cases!$G$4:$G$2458,0),FALSE)),"",HLOOKUP(CaseName,CaseData,MATCH($G200,cases!$G$4:$G$2458,0),FALSE))</f>
        <v/>
      </c>
      <c r="K200" s="577">
        <f>0.22*L202^-0.24*L204^1.11*L201^0.053</f>
        <v>1.5348609894728741E-5</v>
      </c>
      <c r="L200" s="298">
        <f t="shared" si="11"/>
        <v>1.5348609894728741E-5</v>
      </c>
      <c r="M200" s="568" t="s">
        <v>296</v>
      </c>
      <c r="N200" s="567"/>
      <c r="O200" s="605"/>
      <c r="P200" s="567" t="s">
        <v>1516</v>
      </c>
    </row>
    <row r="201" spans="1:16" customFormat="1" ht="12.75" customHeight="1" x14ac:dyDescent="0.2">
      <c r="A201" s="567"/>
      <c r="B201" s="567"/>
      <c r="C201" s="567"/>
      <c r="D201" s="567" t="s">
        <v>1533</v>
      </c>
      <c r="E201" s="567"/>
      <c r="F201" s="567"/>
      <c r="G201" s="567" t="s">
        <v>2806</v>
      </c>
      <c r="H201" s="568" t="s">
        <v>296</v>
      </c>
      <c r="I201" s="678"/>
      <c r="J201" s="294" t="str">
        <f>IF(ISBLANK(HLOOKUP(CaseName,CaseData,MATCH($G201,cases!$G$4:$G$2458,0),FALSE)),"",HLOOKUP(CaseName,CaseData,MATCH($G201,cases!$G$4:$G$2458,0),FALSE))</f>
        <v/>
      </c>
      <c r="K201" s="628">
        <f>AHamakerSP.w/(kboltz*L52)</f>
        <v>1.7535615368506079</v>
      </c>
      <c r="L201" s="298">
        <f t="shared" si="11"/>
        <v>1.7535615368506079</v>
      </c>
      <c r="M201" s="568" t="s">
        <v>296</v>
      </c>
      <c r="N201" s="567"/>
      <c r="O201" s="605"/>
      <c r="P201" s="567" t="s">
        <v>1516</v>
      </c>
    </row>
    <row r="202" spans="1:16" customFormat="1" ht="12.75" customHeight="1" x14ac:dyDescent="0.2">
      <c r="A202" s="567"/>
      <c r="B202" s="567"/>
      <c r="C202" s="567"/>
      <c r="D202" s="567" t="s">
        <v>1535</v>
      </c>
      <c r="E202" s="567"/>
      <c r="F202" s="567"/>
      <c r="G202" s="567" t="s">
        <v>2807</v>
      </c>
      <c r="H202" s="568" t="s">
        <v>1537</v>
      </c>
      <c r="I202" s="678"/>
      <c r="J202" s="294" t="str">
        <f>IF(ISBLANK(HLOOKUP(CaseName,CaseData,MATCH($G202,cases!$G$4:$G$2458,0),FALSE)),"",HLOOKUP(CaseName,CaseData,MATCH($G202,cases!$G$4:$G$2458,0),FALSE))</f>
        <v/>
      </c>
      <c r="K202" s="628">
        <f>RadS/RadFP.sd</f>
        <v>3.9062500000000001E-5</v>
      </c>
      <c r="L202" s="298">
        <f t="shared" si="11"/>
        <v>3.9062500000000001E-5</v>
      </c>
      <c r="M202" s="568" t="s">
        <v>1537</v>
      </c>
      <c r="N202" s="567"/>
      <c r="O202" s="605"/>
      <c r="P202" s="567" t="s">
        <v>1516</v>
      </c>
    </row>
    <row r="203" spans="1:16" customFormat="1" ht="12.75" customHeight="1" x14ac:dyDescent="0.2">
      <c r="A203" s="567"/>
      <c r="B203" s="567"/>
      <c r="C203" s="567"/>
      <c r="D203" s="567" t="s">
        <v>1538</v>
      </c>
      <c r="E203" s="567"/>
      <c r="F203" s="567"/>
      <c r="G203" s="567" t="s">
        <v>2808</v>
      </c>
      <c r="H203" s="568" t="s">
        <v>296</v>
      </c>
      <c r="I203" s="678"/>
      <c r="J203" s="294" t="str">
        <f>IF(ISBLANK(HLOOKUP(CaseName,CaseData,MATCH($G203,cases!$G$4:$G$2458,0),FALSE)),"",HLOOKUP(CaseName,CaseData,MATCH($G203,cases!$G$4:$G$2458,0),FALSE))</f>
        <v/>
      </c>
      <c r="K203" s="628">
        <f>(L193*2*RadFP.sd)/DiffS.wC</f>
        <v>55.295939834256309</v>
      </c>
      <c r="L203" s="298">
        <f t="shared" si="11"/>
        <v>55.295939834256309</v>
      </c>
      <c r="M203" s="568" t="s">
        <v>296</v>
      </c>
      <c r="N203" s="567"/>
      <c r="O203" s="605"/>
      <c r="P203" s="567" t="s">
        <v>1516</v>
      </c>
    </row>
    <row r="204" spans="1:16" customFormat="1" ht="12.75" customHeight="1" x14ac:dyDescent="0.2">
      <c r="A204" s="567"/>
      <c r="B204" s="567"/>
      <c r="C204" s="567"/>
      <c r="D204" s="567" t="s">
        <v>1540</v>
      </c>
      <c r="E204" s="567"/>
      <c r="F204" s="567"/>
      <c r="G204" s="568" t="s">
        <v>2809</v>
      </c>
      <c r="H204" s="568" t="s">
        <v>296</v>
      </c>
      <c r="I204" s="678"/>
      <c r="J204" s="294" t="str">
        <f>IF(ISBLANK(HLOOKUP(CaseName,CaseData,MATCH($G204,cases!$G$4:$G$2458,0),FALSE)),"",HLOOKUP(CaseName,CaseData,MATCH($G204,cases!$G$4:$G$2458,0),FALSE))</f>
        <v/>
      </c>
      <c r="K204" s="629">
        <f>(2*RadS^2*(ABS(RhoS-Rho.w))*9.81)/(9*DYNVISC.w*L193)</f>
        <v>1.9532490574406746E-5</v>
      </c>
      <c r="L204" s="298">
        <f t="shared" si="11"/>
        <v>1.9532490574406746E-5</v>
      </c>
      <c r="M204" s="568" t="s">
        <v>296</v>
      </c>
      <c r="N204" s="567"/>
      <c r="O204" s="605"/>
      <c r="P204" s="567" t="s">
        <v>1516</v>
      </c>
    </row>
    <row r="205" spans="1:16" customFormat="1" ht="12.75" customHeight="1" x14ac:dyDescent="0.2">
      <c r="A205" s="410" t="s">
        <v>2810</v>
      </c>
      <c r="G205" s="172"/>
      <c r="H205" s="172"/>
      <c r="J205" s="294" t="str">
        <f>IF(ISBLANK(HLOOKUP(CaseName,CaseData,MATCH($G205,cases!$G$4:$G$2458,0),FALSE)),"",HLOOKUP(CaseName,CaseData,MATCH($G205,cases!$G$4:$G$2458,0),FALSE))</f>
        <v/>
      </c>
      <c r="K205" s="335"/>
      <c r="L205" s="332"/>
      <c r="M205" s="172"/>
      <c r="O205" s="176"/>
    </row>
    <row r="206" spans="1:16" customFormat="1" ht="12.75" customHeight="1" x14ac:dyDescent="0.2">
      <c r="A206" s="567" t="s">
        <v>2811</v>
      </c>
      <c r="B206" s="567"/>
      <c r="C206" s="567"/>
      <c r="D206" s="567"/>
      <c r="E206" s="567"/>
      <c r="F206" s="567"/>
      <c r="G206" s="568" t="s">
        <v>2812</v>
      </c>
      <c r="H206" s="568" t="s">
        <v>340</v>
      </c>
      <c r="I206" s="678"/>
      <c r="J206" s="294" t="str">
        <f>IF(ISBLANK(HLOOKUP(CaseName,CaseData,MATCH($G206,cases!$G$4:$G$2458,0),FALSE)),"",HLOOKUP(CaseName,CaseData,MATCH($G206,cases!$G$4:$G$2458,0),FALSE))</f>
        <v/>
      </c>
      <c r="K206" s="626">
        <f>AtefSA.s1*L207*(L209+L210)</f>
        <v>9.9663751385904359E-2</v>
      </c>
      <c r="L206" s="298">
        <f>IF(ISBLANK(I206),IF(ISNUMBER(J206)=FALSE,K206,J206),I206)</f>
        <v>9.9663751385904359E-2</v>
      </c>
      <c r="M206" s="568" t="s">
        <v>340</v>
      </c>
      <c r="N206" s="567" t="s">
        <v>2813</v>
      </c>
      <c r="O206" s="605"/>
      <c r="P206" s="567"/>
    </row>
    <row r="207" spans="1:16" customFormat="1" ht="12.75" customHeight="1" x14ac:dyDescent="0.2">
      <c r="A207" s="567"/>
      <c r="B207" s="567" t="s">
        <v>1549</v>
      </c>
      <c r="C207" s="567"/>
      <c r="D207" s="567"/>
      <c r="E207" s="567"/>
      <c r="F207" s="567"/>
      <c r="G207" s="568" t="s">
        <v>2814</v>
      </c>
      <c r="H207" s="568" t="s">
        <v>715</v>
      </c>
      <c r="I207" s="678"/>
      <c r="J207" s="294" t="str">
        <f>IF(ISBLANK(HLOOKUP(CaseName,CaseData,MATCH($G207,cases!$G$4:$G$2458,0),FALSE)),"",HLOOKUP(CaseName,CaseData,MATCH($G207,cases!$G$4:$G$2458,0),FALSE))</f>
        <v/>
      </c>
      <c r="K207" s="577">
        <f>(L208)/(SingleVolNC.s*RhoNC.s)</f>
        <v>3536776513153229.5</v>
      </c>
      <c r="L207" s="298">
        <f>IF(ISBLANK(I207),IF(ISNUMBER(J207)=FALSE,K207,J207),I207)</f>
        <v>3536776513153229.5</v>
      </c>
      <c r="M207" s="568" t="s">
        <v>715</v>
      </c>
      <c r="N207" s="567"/>
      <c r="O207" s="605"/>
      <c r="P207" s="567"/>
    </row>
    <row r="208" spans="1:16" customFormat="1" ht="12.75" customHeight="1" x14ac:dyDescent="0.2">
      <c r="A208" s="567"/>
      <c r="B208" s="567" t="s">
        <v>734</v>
      </c>
      <c r="C208" s="567"/>
      <c r="D208" s="567"/>
      <c r="E208" s="567"/>
      <c r="F208" s="567"/>
      <c r="G208" s="568" t="s">
        <v>2815</v>
      </c>
      <c r="H208" s="568" t="s">
        <v>736</v>
      </c>
      <c r="I208" s="678"/>
      <c r="J208" s="294" t="str">
        <f>IF(ISBLANK(HLOOKUP(CaseName,CaseData,MATCH($G208,cases!$G$4:$G$2458,0),FALSE)),"",HLOOKUP(CaseName,CaseData,MATCH($G208,cases!$G$4:$G$2458,0),FALSE))</f>
        <v/>
      </c>
      <c r="K208" s="577">
        <v>100</v>
      </c>
      <c r="L208" s="298">
        <f>IF(ISBLANK(I208),IF(ISNUMBER(J208)=FALSE,K208/1000,J208/1000),I208/1000)</f>
        <v>0.1</v>
      </c>
      <c r="M208" s="568" t="s">
        <v>737</v>
      </c>
      <c r="N208" s="567" t="s">
        <v>738</v>
      </c>
      <c r="O208" s="605"/>
      <c r="P208" s="567"/>
    </row>
    <row r="209" spans="1:16" customFormat="1" ht="12.75" customHeight="1" x14ac:dyDescent="0.2">
      <c r="A209" s="567"/>
      <c r="B209" s="567" t="s">
        <v>1454</v>
      </c>
      <c r="C209" s="567"/>
      <c r="D209" s="567"/>
      <c r="E209" s="567"/>
      <c r="F209" s="567"/>
      <c r="G209" s="568" t="s">
        <v>2816</v>
      </c>
      <c r="H209" s="568" t="s">
        <v>340</v>
      </c>
      <c r="I209" s="678"/>
      <c r="J209" s="294" t="str">
        <f>IF(ISBLANK(HLOOKUP(CaseName,CaseData,MATCH($G209,cases!$G$4:$G$2458,0),FALSE)),"",HLOOKUP(CaseName,CaseData,MATCH($G209,cases!$G$4:$G$2458,0),FALSE))</f>
        <v/>
      </c>
      <c r="K209" s="577">
        <f>((2*kboltz*L52)/(3*DYNVISC.w))*(RadS+RadNC.s)^2/(RadS*RadNC.s)</f>
        <v>8.3863161807052569E-17</v>
      </c>
      <c r="L209" s="298">
        <f t="shared" ref="L209:L224" si="12">IF(ISBLANK(I209),IF(ISNUMBER(J209)=FALSE,K209,J209),I209)</f>
        <v>8.3863161807052569E-17</v>
      </c>
      <c r="M209" s="567" t="s">
        <v>340</v>
      </c>
      <c r="N209" s="567"/>
      <c r="O209" s="605"/>
      <c r="P209" s="567"/>
    </row>
    <row r="210" spans="1:16" customFormat="1" ht="12.75" customHeight="1" x14ac:dyDescent="0.2">
      <c r="A210" s="567"/>
      <c r="B210" s="567" t="s">
        <v>1456</v>
      </c>
      <c r="C210" s="567"/>
      <c r="D210" s="567"/>
      <c r="E210" s="567"/>
      <c r="F210" s="567"/>
      <c r="G210" s="568" t="s">
        <v>2817</v>
      </c>
      <c r="H210" s="568" t="s">
        <v>340</v>
      </c>
      <c r="I210" s="678"/>
      <c r="J210" s="294" t="str">
        <f>IF(ISBLANK(HLOOKUP(CaseName,CaseData,MATCH($G210,cases!$G$4:$G$2458,0),FALSE)),"",HLOOKUP(CaseName,CaseData,MATCH($G210,cases!$G$4:$G$2458,0),FALSE))</f>
        <v/>
      </c>
      <c r="K210" s="577">
        <f>PI()*(RadS+RadNC.s)^2*ABS(SetVelS.w-SetVelNC.s)</f>
        <v>3.6888670072520785E-21</v>
      </c>
      <c r="L210" s="298">
        <f t="shared" si="12"/>
        <v>3.6888670072520785E-21</v>
      </c>
      <c r="M210" s="567" t="s">
        <v>340</v>
      </c>
      <c r="N210" s="567"/>
      <c r="O210" s="605"/>
      <c r="P210" s="567"/>
    </row>
    <row r="211" spans="1:16" customFormat="1" ht="12.75" customHeight="1" x14ac:dyDescent="0.2">
      <c r="A211" s="567" t="s">
        <v>2818</v>
      </c>
      <c r="B211" s="567"/>
      <c r="C211" s="567"/>
      <c r="D211" s="567"/>
      <c r="E211" s="567"/>
      <c r="F211" s="567"/>
      <c r="G211" s="568" t="s">
        <v>2819</v>
      </c>
      <c r="H211" s="568" t="s">
        <v>340</v>
      </c>
      <c r="I211" s="678"/>
      <c r="J211" s="294" t="str">
        <f>IF(ISBLANK(HLOOKUP(CaseName,CaseData,MATCH($G211,cases!$G$4:$G$2458,0),FALSE)),"",HLOOKUP(CaseName,CaseData,MATCH($G211,cases!$G$4:$G$2458,0),FALSE))</f>
        <v/>
      </c>
      <c r="K211" s="577">
        <f>L212*L213*L214*AtefSP.s1</f>
        <v>2.8525040501634097E-2</v>
      </c>
      <c r="L211" s="298">
        <f t="shared" si="12"/>
        <v>2.8525040501634097E-2</v>
      </c>
      <c r="M211" s="568" t="s">
        <v>340</v>
      </c>
      <c r="N211" s="567"/>
      <c r="O211" s="605"/>
      <c r="P211" s="567"/>
    </row>
    <row r="212" spans="1:16" customFormat="1" ht="12.75" customHeight="1" x14ac:dyDescent="0.2">
      <c r="A212" s="567"/>
      <c r="B212" s="567" t="s">
        <v>1556</v>
      </c>
      <c r="C212" s="567"/>
      <c r="D212" s="567"/>
      <c r="E212" s="567"/>
      <c r="F212" s="567"/>
      <c r="G212" s="568" t="s">
        <v>2820</v>
      </c>
      <c r="H212" s="568" t="s">
        <v>1513</v>
      </c>
      <c r="I212" s="678"/>
      <c r="J212" s="294" t="str">
        <f>IF(ISBLANK(HLOOKUP(CaseName,CaseData,MATCH($G212,cases!$G$4:$G$2458,0),FALSE)),"",HLOOKUP(CaseName,CaseData,MATCH($G212,cases!$G$4:$G$2458,0),FALSE))</f>
        <v/>
      </c>
      <c r="K212" s="577">
        <f>(3/2)*(1-L218)/(2*RadFP.s*L218)</f>
        <v>8789.0625000000036</v>
      </c>
      <c r="L212" s="298">
        <f t="shared" si="12"/>
        <v>8789.0625000000036</v>
      </c>
      <c r="M212" s="568" t="s">
        <v>1513</v>
      </c>
      <c r="N212" s="567"/>
      <c r="O212" s="605"/>
      <c r="P212" s="567"/>
    </row>
    <row r="213" spans="1:16" customFormat="1" ht="12.75" customHeight="1" x14ac:dyDescent="0.2">
      <c r="A213" s="567"/>
      <c r="B213" s="567" t="s">
        <v>1558</v>
      </c>
      <c r="C213" s="567"/>
      <c r="D213" s="567"/>
      <c r="E213" s="567"/>
      <c r="F213" s="567"/>
      <c r="G213" s="567" t="s">
        <v>2821</v>
      </c>
      <c r="H213" s="568" t="s">
        <v>873</v>
      </c>
      <c r="I213" s="678"/>
      <c r="J213" s="294" t="str">
        <f>IF(ISBLANK(HLOOKUP(CaseName,CaseData,MATCH($G213,cases!$G$4:$G$2458,0),FALSE)),"",HLOOKUP(CaseName,CaseData,MATCH($G213,cases!$G$4:$G$2458,0),FALSE))</f>
        <v/>
      </c>
      <c r="K213" s="628">
        <f>9*10^-6</f>
        <v>9.0000000000000002E-6</v>
      </c>
      <c r="L213" s="298">
        <f t="shared" si="12"/>
        <v>9.0000000000000002E-6</v>
      </c>
      <c r="M213" s="568" t="s">
        <v>873</v>
      </c>
      <c r="N213" s="567"/>
      <c r="O213" s="605"/>
      <c r="P213" s="567" t="s">
        <v>1516</v>
      </c>
    </row>
    <row r="214" spans="1:16" customFormat="1" ht="12.75" customHeight="1" x14ac:dyDescent="0.2">
      <c r="A214" s="567"/>
      <c r="B214" s="567" t="s">
        <v>1517</v>
      </c>
      <c r="C214" s="567"/>
      <c r="D214" s="567"/>
      <c r="E214" s="567"/>
      <c r="F214" s="567"/>
      <c r="G214" s="568" t="s">
        <v>2822</v>
      </c>
      <c r="H214" s="568" t="s">
        <v>296</v>
      </c>
      <c r="I214" s="678"/>
      <c r="J214" s="294" t="str">
        <f>IF(ISBLANK(HLOOKUP(CaseName,CaseData,MATCH($G214,cases!$G$4:$G$2458,0),FALSE)),"",HLOOKUP(CaseName,CaseData,MATCH($G214,cases!$G$4:$G$2458,0),FALSE))</f>
        <v/>
      </c>
      <c r="K214" s="577">
        <f>L215+L219+L220</f>
        <v>1.0732525526775902</v>
      </c>
      <c r="L214" s="298">
        <f t="shared" si="12"/>
        <v>1.0732525526775902</v>
      </c>
      <c r="M214" s="568" t="s">
        <v>296</v>
      </c>
      <c r="N214" s="567"/>
      <c r="O214" s="605"/>
      <c r="P214" s="567" t="s">
        <v>1516</v>
      </c>
    </row>
    <row r="215" spans="1:16" customFormat="1" ht="12.75" customHeight="1" x14ac:dyDescent="0.2">
      <c r="A215" s="567"/>
      <c r="B215" s="567"/>
      <c r="C215" s="567" t="s">
        <v>1519</v>
      </c>
      <c r="D215" s="567"/>
      <c r="E215" s="567"/>
      <c r="F215" s="567"/>
      <c r="G215" s="568" t="s">
        <v>2823</v>
      </c>
      <c r="H215" s="568" t="s">
        <v>296</v>
      </c>
      <c r="I215" s="678"/>
      <c r="J215" s="294" t="str">
        <f>IF(ISBLANK(HLOOKUP(CaseName,CaseData,MATCH($G215,cases!$G$4:$G$2458,0),FALSE)),"",HLOOKUP(CaseName,CaseData,MATCH($G215,cases!$G$4:$G$2458,0),FALSE))</f>
        <v/>
      </c>
      <c r="K215" s="577">
        <f>2.4*L216^(1/3)*L221^(-0.081)*L222^-0.715*L223^0.053</f>
        <v>1.0732371515574299</v>
      </c>
      <c r="L215" s="298">
        <f t="shared" si="12"/>
        <v>1.0732371515574299</v>
      </c>
      <c r="M215" s="568" t="s">
        <v>296</v>
      </c>
      <c r="N215" s="567"/>
      <c r="O215" s="605"/>
      <c r="P215" s="567" t="s">
        <v>1516</v>
      </c>
    </row>
    <row r="216" spans="1:16" customFormat="1" ht="12.75" customHeight="1" x14ac:dyDescent="0.2">
      <c r="A216" s="567"/>
      <c r="B216" s="567"/>
      <c r="C216" s="567"/>
      <c r="D216" s="567" t="s">
        <v>1521</v>
      </c>
      <c r="E216" s="567"/>
      <c r="F216" s="567"/>
      <c r="G216" s="567" t="s">
        <v>2824</v>
      </c>
      <c r="H216" s="568" t="s">
        <v>296</v>
      </c>
      <c r="I216" s="678"/>
      <c r="J216" s="294" t="str">
        <f>IF(ISBLANK(HLOOKUP(CaseName,CaseData,MATCH($G216,cases!$G$4:$G$2458,0),FALSE)),"",HLOOKUP(CaseName,CaseData,MATCH($G216,cases!$G$4:$G$2458,0),FALSE))</f>
        <v/>
      </c>
      <c r="K216" s="628">
        <f>(2*(1-L217^5))/(2-3*L217+3*L217^5-2*L217^6)</f>
        <v>37.979096123930859</v>
      </c>
      <c r="L216" s="298">
        <f t="shared" si="12"/>
        <v>37.979096123930859</v>
      </c>
      <c r="M216" s="568" t="s">
        <v>296</v>
      </c>
      <c r="N216" s="567"/>
      <c r="O216" s="605"/>
      <c r="P216" s="567" t="s">
        <v>1516</v>
      </c>
    </row>
    <row r="217" spans="1:16" customFormat="1" ht="12.75" customHeight="1" x14ac:dyDescent="0.2">
      <c r="A217" s="567"/>
      <c r="B217" s="567"/>
      <c r="C217" s="567"/>
      <c r="D217" s="567"/>
      <c r="E217" s="567" t="s">
        <v>1563</v>
      </c>
      <c r="F217" s="567"/>
      <c r="G217" s="567" t="s">
        <v>2825</v>
      </c>
      <c r="H217" s="568" t="s">
        <v>296</v>
      </c>
      <c r="I217" s="678"/>
      <c r="J217" s="294" t="str">
        <f>IF(ISBLANK(HLOOKUP(CaseName,CaseData,MATCH($G217,cases!$G$4:$G$2458,0),FALSE)),"",HLOOKUP(CaseName,CaseData,MATCH($G217,cases!$G$4:$G$2458,0),FALSE))</f>
        <v/>
      </c>
      <c r="K217" s="628">
        <f>(1-L218)^(1/3)</f>
        <v>0.84343266530174932</v>
      </c>
      <c r="L217" s="298">
        <f t="shared" si="12"/>
        <v>0.84343266530174932</v>
      </c>
      <c r="M217" s="568" t="s">
        <v>296</v>
      </c>
      <c r="N217" s="567"/>
      <c r="O217" s="605"/>
      <c r="P217" s="567" t="s">
        <v>1516</v>
      </c>
    </row>
    <row r="218" spans="1:16" customFormat="1" ht="12.75" customHeight="1" x14ac:dyDescent="0.2">
      <c r="A218" s="567"/>
      <c r="B218" s="567"/>
      <c r="C218" s="567"/>
      <c r="D218" s="567"/>
      <c r="E218" s="567"/>
      <c r="F218" s="567" t="s">
        <v>1565</v>
      </c>
      <c r="G218" s="567" t="s">
        <v>2826</v>
      </c>
      <c r="H218" s="568" t="s">
        <v>1527</v>
      </c>
      <c r="I218" s="678"/>
      <c r="J218" s="294" t="str">
        <f>IF(ISBLANK(HLOOKUP(CaseName,CaseData,MATCH($G218,cases!$G$4:$G$2458,0),FALSE)),"",HLOOKUP(CaseName,CaseData,MATCH($G218,cases!$G$4:$G$2458,0),FALSE))</f>
        <v/>
      </c>
      <c r="K218" s="577">
        <f>1-L24</f>
        <v>0.39999999999999991</v>
      </c>
      <c r="L218" s="298">
        <f t="shared" si="12"/>
        <v>0.39999999999999991</v>
      </c>
      <c r="M218" s="568" t="s">
        <v>1527</v>
      </c>
      <c r="N218" s="567"/>
      <c r="O218" s="605"/>
      <c r="P218" s="567"/>
    </row>
    <row r="219" spans="1:16" customFormat="1" ht="12.75" customHeight="1" x14ac:dyDescent="0.2">
      <c r="A219" s="567"/>
      <c r="B219" s="567"/>
      <c r="C219" s="567" t="s">
        <v>1529</v>
      </c>
      <c r="D219" s="567"/>
      <c r="E219" s="567"/>
      <c r="F219" s="567"/>
      <c r="G219" s="568" t="s">
        <v>2827</v>
      </c>
      <c r="H219" s="568" t="s">
        <v>296</v>
      </c>
      <c r="I219" s="678"/>
      <c r="J219" s="294" t="str">
        <f>IF(ISBLANK(HLOOKUP(CaseName,CaseData,MATCH($G219,cases!$G$4:$G$2458,0),FALSE)),"",HLOOKUP(CaseName,CaseData,MATCH($G219,cases!$G$4:$G$2458,0),FALSE))</f>
        <v/>
      </c>
      <c r="K219" s="577">
        <f>0.55*L221^1.55*L222^-0.125*L223^0.125</f>
        <v>5.2510265498612906E-8</v>
      </c>
      <c r="L219" s="298">
        <f t="shared" si="12"/>
        <v>5.2510265498612906E-8</v>
      </c>
      <c r="M219" s="568" t="s">
        <v>296</v>
      </c>
      <c r="N219" s="567"/>
      <c r="O219" s="605"/>
      <c r="P219" s="567" t="s">
        <v>1516</v>
      </c>
    </row>
    <row r="220" spans="1:16" customFormat="1" ht="12.75" customHeight="1" x14ac:dyDescent="0.2">
      <c r="A220" s="567"/>
      <c r="B220" s="567"/>
      <c r="C220" s="567" t="s">
        <v>1531</v>
      </c>
      <c r="D220" s="567"/>
      <c r="E220" s="567"/>
      <c r="F220" s="567"/>
      <c r="G220" s="568" t="s">
        <v>2828</v>
      </c>
      <c r="H220" s="568" t="s">
        <v>296</v>
      </c>
      <c r="I220" s="678"/>
      <c r="J220" s="294" t="str">
        <f>IF(ISBLANK(HLOOKUP(CaseName,CaseData,MATCH($G220,cases!$G$4:$G$2458,0),FALSE)),"",HLOOKUP(CaseName,CaseData,MATCH($G220,cases!$G$4:$G$2458,0),FALSE))</f>
        <v/>
      </c>
      <c r="K220" s="577">
        <f>0.22*L221^-0.24*L224^1.11*L223^0.053</f>
        <v>1.5348609894728741E-5</v>
      </c>
      <c r="L220" s="298">
        <f t="shared" si="12"/>
        <v>1.5348609894728741E-5</v>
      </c>
      <c r="M220" s="568" t="s">
        <v>296</v>
      </c>
      <c r="N220" s="567"/>
      <c r="O220" s="605"/>
      <c r="P220" s="567" t="s">
        <v>1516</v>
      </c>
    </row>
    <row r="221" spans="1:16" customFormat="1" ht="12.75" customHeight="1" x14ac:dyDescent="0.2">
      <c r="A221" s="567"/>
      <c r="B221" s="567"/>
      <c r="C221" s="567"/>
      <c r="D221" s="567" t="s">
        <v>1535</v>
      </c>
      <c r="E221" s="567"/>
      <c r="F221" s="567"/>
      <c r="G221" s="567" t="s">
        <v>2829</v>
      </c>
      <c r="H221" s="568" t="s">
        <v>1537</v>
      </c>
      <c r="I221" s="678"/>
      <c r="J221" s="294" t="str">
        <f>IF(ISBLANK(HLOOKUP(CaseName,CaseData,MATCH($G221,cases!$G$4:$G$2458,0),FALSE)),"",HLOOKUP(CaseName,CaseData,MATCH($G221,cases!$G$4:$G$2458,0),FALSE))</f>
        <v/>
      </c>
      <c r="K221" s="628">
        <f>RadS/RadFP.s</f>
        <v>3.9062500000000001E-5</v>
      </c>
      <c r="L221" s="298">
        <f t="shared" si="12"/>
        <v>3.9062500000000001E-5</v>
      </c>
      <c r="M221" s="568" t="s">
        <v>1537</v>
      </c>
      <c r="N221" s="567"/>
      <c r="O221" s="605"/>
      <c r="P221" s="567" t="s">
        <v>1516</v>
      </c>
    </row>
    <row r="222" spans="1:16" customFormat="1" ht="12.75" customHeight="1" x14ac:dyDescent="0.2">
      <c r="A222" s="567"/>
      <c r="B222" s="567"/>
      <c r="C222" s="567"/>
      <c r="D222" s="567" t="s">
        <v>1538</v>
      </c>
      <c r="E222" s="567"/>
      <c r="F222" s="567"/>
      <c r="G222" s="567" t="s">
        <v>2830</v>
      </c>
      <c r="H222" s="568" t="s">
        <v>296</v>
      </c>
      <c r="I222" s="678"/>
      <c r="J222" s="294" t="str">
        <f>IF(ISBLANK(HLOOKUP(CaseName,CaseData,MATCH($G222,cases!$G$4:$G$2458,0),FALSE)),"",HLOOKUP(CaseName,CaseData,MATCH($G222,cases!$G$4:$G$2458,0),FALSE))</f>
        <v/>
      </c>
      <c r="K222" s="628">
        <f>(L213*2*RadFP.s)/(DiffS.wC)</f>
        <v>55.295939834256309</v>
      </c>
      <c r="L222" s="298">
        <f t="shared" si="12"/>
        <v>55.295939834256309</v>
      </c>
      <c r="M222" s="568" t="s">
        <v>296</v>
      </c>
      <c r="N222" s="567"/>
      <c r="O222" s="605"/>
      <c r="P222" s="567" t="s">
        <v>1516</v>
      </c>
    </row>
    <row r="223" spans="1:16" customFormat="1" ht="12.75" customHeight="1" x14ac:dyDescent="0.2">
      <c r="A223" s="567"/>
      <c r="B223" s="567"/>
      <c r="C223" s="567"/>
      <c r="D223" s="567" t="s">
        <v>1533</v>
      </c>
      <c r="E223" s="567"/>
      <c r="F223" s="567"/>
      <c r="G223" s="567" t="s">
        <v>2831</v>
      </c>
      <c r="H223" s="568" t="s">
        <v>296</v>
      </c>
      <c r="I223" s="678"/>
      <c r="J223" s="294" t="str">
        <f>IF(ISBLANK(HLOOKUP(CaseName,CaseData,MATCH($G223,cases!$G$4:$G$2458,0),FALSE)),"",HLOOKUP(CaseName,CaseData,MATCH($G223,cases!$G$4:$G$2458,0),FALSE))</f>
        <v/>
      </c>
      <c r="K223" s="628">
        <f>AHamakerSP.w/(kboltz*L52)</f>
        <v>1.7535615368506079</v>
      </c>
      <c r="L223" s="298">
        <f t="shared" si="12"/>
        <v>1.7535615368506079</v>
      </c>
      <c r="M223" s="568" t="s">
        <v>296</v>
      </c>
      <c r="N223" s="567"/>
      <c r="O223" s="605"/>
      <c r="P223" s="567" t="s">
        <v>1516</v>
      </c>
    </row>
    <row r="224" spans="1:16" customFormat="1" ht="12.75" customHeight="1" x14ac:dyDescent="0.2">
      <c r="A224" s="567"/>
      <c r="B224" s="567"/>
      <c r="C224" s="567"/>
      <c r="D224" s="567" t="s">
        <v>1540</v>
      </c>
      <c r="E224" s="567"/>
      <c r="F224" s="567"/>
      <c r="G224" s="568" t="s">
        <v>2832</v>
      </c>
      <c r="H224" s="568" t="s">
        <v>296</v>
      </c>
      <c r="I224" s="678"/>
      <c r="J224" s="294" t="str">
        <f>IF(ISBLANK(HLOOKUP(CaseName,CaseData,MATCH($G224,cases!$G$4:$G$2458,0),FALSE)),"",HLOOKUP(CaseName,CaseData,MATCH($G224,cases!$G$4:$G$2458,0),FALSE))</f>
        <v/>
      </c>
      <c r="K224" s="629">
        <f>(2*RadS^2*(ABS(RhoS-Rho.w))*9.81)/(9*DYNVISC.w*L213)</f>
        <v>1.9532490574406746E-5</v>
      </c>
      <c r="L224" s="298">
        <f t="shared" si="12"/>
        <v>1.9532490574406746E-5</v>
      </c>
      <c r="M224" s="568" t="s">
        <v>296</v>
      </c>
      <c r="N224" s="567"/>
      <c r="O224" s="605"/>
      <c r="P224" s="567" t="s">
        <v>1516</v>
      </c>
    </row>
    <row r="225" spans="1:16" customFormat="1" ht="12.75" customHeight="1" x14ac:dyDescent="0.2">
      <c r="G225" s="172"/>
      <c r="H225" s="172"/>
      <c r="J225" s="273"/>
      <c r="K225" s="335"/>
      <c r="L225" s="332"/>
      <c r="O225" s="176"/>
    </row>
    <row r="226" spans="1:16" s="634" customFormat="1" ht="12.75" customHeight="1" x14ac:dyDescent="0.2">
      <c r="A226" s="633" t="s">
        <v>1605</v>
      </c>
      <c r="G226" s="633" t="s">
        <v>263</v>
      </c>
      <c r="H226" s="633" t="s">
        <v>279</v>
      </c>
      <c r="I226" s="634" t="s">
        <v>264</v>
      </c>
      <c r="J226" s="673" t="s">
        <v>280</v>
      </c>
      <c r="K226" s="661" t="s">
        <v>265</v>
      </c>
      <c r="L226" s="180" t="s">
        <v>266</v>
      </c>
      <c r="N226" s="633" t="s">
        <v>267</v>
      </c>
      <c r="O226" s="395" t="s">
        <v>1390</v>
      </c>
      <c r="P226" s="634" t="s">
        <v>1391</v>
      </c>
    </row>
    <row r="227" spans="1:16" customFormat="1" ht="12.75" customHeight="1" x14ac:dyDescent="0.2">
      <c r="A227" t="s">
        <v>2833</v>
      </c>
      <c r="G227" s="172"/>
      <c r="H227" s="172"/>
      <c r="J227" s="273"/>
      <c r="K227" s="335"/>
      <c r="L227" s="332"/>
      <c r="O227" s="176"/>
    </row>
    <row r="228" spans="1:16" customFormat="1" ht="12.75" customHeight="1" x14ac:dyDescent="0.2">
      <c r="A228" s="567"/>
      <c r="B228" s="567" t="s">
        <v>1607</v>
      </c>
      <c r="C228" s="567"/>
      <c r="D228" s="567"/>
      <c r="E228" s="567"/>
      <c r="F228" s="567"/>
      <c r="G228" s="568" t="s">
        <v>2834</v>
      </c>
      <c r="H228" s="568" t="s">
        <v>820</v>
      </c>
      <c r="I228" s="678"/>
      <c r="J228" s="294" t="str">
        <f>IF(ISBLANK(HLOOKUP(CaseName,CaseData,MATCH($G228,cases!$G$4:$G$2458,0),FALSE)),"",HLOOKUP(CaseName,CaseData,MATCH($G228,cases!$G$4:$G$2458,0),FALSE))</f>
        <v/>
      </c>
      <c r="K228" s="626">
        <f>((7*10^-4)*(60*6*10^4*L230)^0.25)/2</f>
        <v>1.8608721138940219E-4</v>
      </c>
      <c r="L228" s="298">
        <f t="shared" ref="L228:L234" si="13">IF(ISBLANK(I228),IF(ISNUMBER(J228)=FALSE,K228,J228),I228)</f>
        <v>1.8608721138940219E-4</v>
      </c>
      <c r="M228" s="568" t="s">
        <v>820</v>
      </c>
      <c r="N228" s="567"/>
      <c r="O228" s="605"/>
      <c r="P228" s="567" t="s">
        <v>1609</v>
      </c>
    </row>
    <row r="229" spans="1:16" customFormat="1" ht="12.75" customHeight="1" x14ac:dyDescent="0.2">
      <c r="A229" s="567"/>
      <c r="B229" s="567" t="s">
        <v>1610</v>
      </c>
      <c r="C229" s="567"/>
      <c r="D229" s="567"/>
      <c r="E229" s="567"/>
      <c r="F229" s="567"/>
      <c r="G229" s="568" t="s">
        <v>2835</v>
      </c>
      <c r="H229" s="568" t="s">
        <v>296</v>
      </c>
      <c r="I229" s="678">
        <v>1</v>
      </c>
      <c r="J229" s="294" t="str">
        <f>IF(ISBLANK(HLOOKUP(CaseName,CaseData,MATCH($G229,cases!$G$4:$G$2458,0),FALSE)),"",HLOOKUP(CaseName,CaseData,MATCH($G229,cases!$G$4:$G$2458,0),FALSE))</f>
        <v/>
      </c>
      <c r="K229" s="577">
        <f>L87/(L87+L86)</f>
        <v>0.06</v>
      </c>
      <c r="L229" s="298">
        <f t="shared" si="13"/>
        <v>1</v>
      </c>
      <c r="M229" s="568" t="s">
        <v>296</v>
      </c>
      <c r="N229" s="567"/>
      <c r="O229" s="605"/>
      <c r="P229" s="567"/>
    </row>
    <row r="230" spans="1:16" customFormat="1" ht="12.75" customHeight="1" x14ac:dyDescent="0.2">
      <c r="A230" s="567"/>
      <c r="B230" s="567" t="s">
        <v>1613</v>
      </c>
      <c r="C230" s="567"/>
      <c r="D230" s="567"/>
      <c r="E230" s="567"/>
      <c r="F230" s="567"/>
      <c r="G230" s="568" t="s">
        <v>2836</v>
      </c>
      <c r="H230" s="568" t="s">
        <v>873</v>
      </c>
      <c r="I230" s="678"/>
      <c r="J230" s="294" t="str">
        <f>IF(ISBLANK(HLOOKUP(CaseName,CaseData,MATCH($G230,cases!$G$4:$G$2458,0),FALSE)),"",HLOOKUP(CaseName,CaseData,MATCH($G230,cases!$G$4:$G$2458,0),FALSE))</f>
        <v/>
      </c>
      <c r="K230" s="577">
        <f>L92/L229</f>
        <v>2.219685438863521E-8</v>
      </c>
      <c r="L230" s="298">
        <f t="shared" si="13"/>
        <v>2.219685438863521E-8</v>
      </c>
      <c r="M230" s="568" t="s">
        <v>873</v>
      </c>
      <c r="N230" s="567"/>
      <c r="O230" s="605"/>
      <c r="P230" s="567"/>
    </row>
    <row r="231" spans="1:16" customFormat="1" ht="12.75" customHeight="1" x14ac:dyDescent="0.2">
      <c r="A231" s="567"/>
      <c r="B231" s="567" t="s">
        <v>1617</v>
      </c>
      <c r="C231" s="567"/>
      <c r="D231" s="567"/>
      <c r="E231" s="567"/>
      <c r="F231" s="567"/>
      <c r="G231" s="568" t="s">
        <v>2837</v>
      </c>
      <c r="H231" s="568" t="s">
        <v>873</v>
      </c>
      <c r="I231" s="678"/>
      <c r="J231" s="294" t="str">
        <f>IF(ISBLANK(HLOOKUP(CaseName,CaseData,MATCH($G231,cases!$G$4:$G$2458,0),FALSE)),"",HLOOKUP(CaseName,CaseData,MATCH($G231,cases!$G$4:$G$2458,0),FALSE))</f>
        <v/>
      </c>
      <c r="K231" s="577">
        <f>((2*L228)^2*(Rho.w-Rho.a)*g*L232)/(18*DYNVISC.a)</f>
        <v>4.1572688513602243</v>
      </c>
      <c r="L231" s="298">
        <f t="shared" si="13"/>
        <v>4.1572688513602243</v>
      </c>
      <c r="M231" s="568" t="s">
        <v>873</v>
      </c>
      <c r="N231" s="567"/>
      <c r="O231" s="605"/>
      <c r="P231" s="567"/>
    </row>
    <row r="232" spans="1:16" customFormat="1" ht="12.75" customHeight="1" x14ac:dyDescent="0.2">
      <c r="A232" s="567"/>
      <c r="B232" s="567" t="s">
        <v>1619</v>
      </c>
      <c r="C232" s="567"/>
      <c r="D232" s="567"/>
      <c r="E232" s="567"/>
      <c r="F232" s="567"/>
      <c r="G232" s="568" t="s">
        <v>2838</v>
      </c>
      <c r="H232" s="568" t="s">
        <v>296</v>
      </c>
      <c r="I232" s="678"/>
      <c r="J232" s="294" t="str">
        <f>IF(ISBLANK(HLOOKUP(CaseName,CaseData,MATCH($G232,cases!$G$4:$G$2458,0),FALSE)),"",HLOOKUP(CaseName,CaseData,MATCH($G232,cases!$G$4:$G$2458,0),FALSE))</f>
        <v/>
      </c>
      <c r="K232" s="577">
        <v>1</v>
      </c>
      <c r="L232" s="298">
        <f t="shared" si="13"/>
        <v>1</v>
      </c>
      <c r="M232" s="568" t="s">
        <v>296</v>
      </c>
      <c r="N232" s="567"/>
      <c r="O232" s="605"/>
      <c r="P232" s="567"/>
    </row>
    <row r="233" spans="1:16" customFormat="1" ht="12.75" customHeight="1" x14ac:dyDescent="0.2">
      <c r="A233" s="567"/>
      <c r="B233" s="567" t="s">
        <v>1621</v>
      </c>
      <c r="C233" s="567"/>
      <c r="D233" s="567"/>
      <c r="E233" s="567"/>
      <c r="F233" s="567"/>
      <c r="G233" s="568" t="s">
        <v>2839</v>
      </c>
      <c r="H233" s="568" t="s">
        <v>296</v>
      </c>
      <c r="I233" s="678"/>
      <c r="J233" s="294" t="str">
        <f>IF(ISBLANK(HLOOKUP(CaseName,CaseData,MATCH($G233,cases!$G$4:$G$2458,0),FALSE)),"",HLOOKUP(CaseName,CaseData,MATCH($G233,cases!$G$4:$G$2458,0),FALSE))</f>
        <v/>
      </c>
      <c r="K233" s="577">
        <f>((1.2+(1/12)*LN(1+L234))/(1+LN(L234)))</f>
        <v>0.30887187901809332</v>
      </c>
      <c r="L233" s="298">
        <f t="shared" si="13"/>
        <v>0.30887187901809332</v>
      </c>
      <c r="M233" s="568" t="s">
        <v>296</v>
      </c>
      <c r="N233" s="567"/>
      <c r="O233" s="605"/>
      <c r="P233" s="567"/>
    </row>
    <row r="234" spans="1:16" customFormat="1" ht="12.75" customHeight="1" x14ac:dyDescent="0.2">
      <c r="A234" s="567"/>
      <c r="B234" s="567" t="s">
        <v>1623</v>
      </c>
      <c r="C234" s="567"/>
      <c r="D234" s="567"/>
      <c r="E234" s="567"/>
      <c r="F234" s="567"/>
      <c r="G234" s="568" t="s">
        <v>2840</v>
      </c>
      <c r="H234" s="568" t="s">
        <v>296</v>
      </c>
      <c r="I234" s="678"/>
      <c r="J234" s="294" t="str">
        <f>IF(ISBLANK(HLOOKUP(CaseName,CaseData,MATCH($G234,cases!$G$4:$G$2458,0),FALSE)),"",HLOOKUP(CaseName,CaseData,MATCH($G234,cases!$G$4:$G$2458,0),FALSE))</f>
        <v/>
      </c>
      <c r="K234" s="627">
        <f>((2*L228)*L231*Rho.a)/(2*DYNVISC.a)</f>
        <v>52.357892002398778</v>
      </c>
      <c r="L234" s="298">
        <f t="shared" si="13"/>
        <v>52.357892002398778</v>
      </c>
      <c r="M234" s="568" t="s">
        <v>2341</v>
      </c>
      <c r="N234" s="567"/>
      <c r="O234" s="605"/>
      <c r="P234" s="567"/>
    </row>
    <row r="235" spans="1:16" customFormat="1" ht="12.75" customHeight="1" x14ac:dyDescent="0.2">
      <c r="A235" t="s">
        <v>2841</v>
      </c>
      <c r="J235" s="294" t="str">
        <f>IF(ISBLANK(HLOOKUP(CaseName,CaseData,MATCH($G235,cases!$G$4:$G$2458,0),FALSE)),"",HLOOKUP(CaseName,CaseData,MATCH($G235,cases!$G$4:$G$2458,0),FALSE))</f>
        <v/>
      </c>
      <c r="K235" s="335"/>
      <c r="L235" s="332"/>
      <c r="O235" s="176"/>
    </row>
    <row r="236" spans="1:16" customFormat="1" ht="12.75" customHeight="1" x14ac:dyDescent="0.2">
      <c r="A236" s="567"/>
      <c r="B236" s="567" t="s">
        <v>1626</v>
      </c>
      <c r="C236" s="567"/>
      <c r="D236" s="567"/>
      <c r="E236" s="567"/>
      <c r="F236" s="567"/>
      <c r="G236" s="567" t="s">
        <v>2842</v>
      </c>
      <c r="H236" s="567" t="s">
        <v>820</v>
      </c>
      <c r="I236" s="678"/>
      <c r="J236" s="294" t="str">
        <f>IF(ISBLANK(HLOOKUP(CaseName,CaseData,MATCH($G236,cases!$G$4:$G$2458,0),FALSE)),"",HLOOKUP(CaseName,CaseData,MATCH($G236,cases!$G$4:$G$2458,0),FALSE))</f>
        <v/>
      </c>
      <c r="K236" s="626">
        <f>(L238/((4/3)*PI()))^(1/3)</f>
        <v>4.5372667230498981E-8</v>
      </c>
      <c r="L236" s="298">
        <f>IF(ISBLANK(I236),IF(ISNUMBER(J236)=FALSE,K236,J236),I236)</f>
        <v>4.5372667230498981E-8</v>
      </c>
      <c r="M236" s="567" t="s">
        <v>820</v>
      </c>
      <c r="N236" s="567"/>
      <c r="O236" s="605"/>
      <c r="P236" s="567"/>
    </row>
    <row r="237" spans="1:16" customFormat="1" ht="12.75" customHeight="1" x14ac:dyDescent="0.2">
      <c r="A237" s="567"/>
      <c r="B237" s="567" t="s">
        <v>1628</v>
      </c>
      <c r="C237" s="567"/>
      <c r="D237" s="567"/>
      <c r="E237" s="567"/>
      <c r="F237" s="567"/>
      <c r="G237" s="567" t="s">
        <v>2843</v>
      </c>
      <c r="H237" s="567" t="s">
        <v>287</v>
      </c>
      <c r="I237" s="678"/>
      <c r="J237" s="294" t="str">
        <f>IF(ISBLANK(HLOOKUP(CaseName,CaseData,MATCH($G237,cases!$G$4:$G$2458,0),FALSE)),"",HLOOKUP(CaseName,CaseData,MATCH($G237,cases!$G$4:$G$2458,0),FALSE))</f>
        <v/>
      </c>
      <c r="K237" s="577">
        <f>(L239)/L238</f>
        <v>1999.052936069301</v>
      </c>
      <c r="L237" s="298">
        <f>IF(ISBLANK(I237),IF(ISNUMBER(J237)=FALSE,K237,J237),I237)</f>
        <v>1999.052936069301</v>
      </c>
      <c r="M237" s="567" t="s">
        <v>287</v>
      </c>
      <c r="N237" s="567"/>
      <c r="O237" s="605"/>
      <c r="P237" s="567"/>
    </row>
    <row r="238" spans="1:16" customFormat="1" ht="12.75" customHeight="1" x14ac:dyDescent="0.2">
      <c r="A238" s="567"/>
      <c r="B238" s="567"/>
      <c r="C238" s="567" t="s">
        <v>1630</v>
      </c>
      <c r="D238" s="567"/>
      <c r="E238" s="567"/>
      <c r="F238" s="567"/>
      <c r="G238" s="567" t="s">
        <v>2844</v>
      </c>
      <c r="H238" s="567" t="s">
        <v>864</v>
      </c>
      <c r="I238" s="678"/>
      <c r="J238" s="294" t="str">
        <f>IF(ISBLANK(HLOOKUP(CaseName,CaseData,MATCH($G238,cases!$G$4:$G$2458,0),FALSE)),"",HLOOKUP(CaseName,CaseData,MATCH($G238,cases!$G$4:$G$2458,0),FALSE))</f>
        <v/>
      </c>
      <c r="K238" s="577">
        <f>((L149*(SingleVolS+(((4/3)*PI()*(RadNuc)^3))))+(L154*(SingleVolS+(((4/3)*PI()*(RadAcc)^3)))))/(L149+L154)</f>
        <v>3.9126548541830902E-22</v>
      </c>
      <c r="L238" s="298">
        <f>IF(ISBLANK(I238),IF(ISNUMBER(J238)=FALSE,K238,J238),I238)</f>
        <v>3.9126548541830902E-22</v>
      </c>
      <c r="M238" s="567" t="s">
        <v>864</v>
      </c>
      <c r="N238" s="567"/>
      <c r="O238" s="605"/>
      <c r="P238" s="567"/>
    </row>
    <row r="239" spans="1:16" customFormat="1" ht="12.75" customHeight="1" x14ac:dyDescent="0.2">
      <c r="A239" s="567"/>
      <c r="B239" s="567"/>
      <c r="C239" s="567" t="s">
        <v>1632</v>
      </c>
      <c r="D239" s="567"/>
      <c r="E239" s="567"/>
      <c r="F239" s="567"/>
      <c r="G239" s="567" t="s">
        <v>2845</v>
      </c>
      <c r="H239" s="567" t="s">
        <v>895</v>
      </c>
      <c r="I239" s="678"/>
      <c r="J239" s="294" t="str">
        <f>IF(ISBLANK(HLOOKUP(CaseName,CaseData,MATCH($G239,cases!$G$4:$G$2458,0),FALSE)),"",HLOOKUP(CaseName,CaseData,MATCH($G239,cases!$G$4:$G$2458,0),FALSE))</f>
        <v/>
      </c>
      <c r="K239" s="577">
        <f>((L149*(RhoNuc*(4/3*PI()*(RadNuc)^3)+RhoS*SingleVolS))+(L154*(RhoAcc*(4/3*PI()*(RadAcc)^3)+RhoS*SingleVolS)))/(L149+L154)</f>
        <v>7.8216041740805096E-19</v>
      </c>
      <c r="L239" s="298">
        <f>IF(ISBLANK(I239),IF(ISNUMBER(J239)=FALSE,K239,J239),I239)</f>
        <v>7.8216041740805096E-19</v>
      </c>
      <c r="M239" s="567" t="s">
        <v>895</v>
      </c>
      <c r="N239" s="567"/>
      <c r="O239" s="605"/>
      <c r="P239" s="567"/>
    </row>
    <row r="240" spans="1:16" customFormat="1" ht="12.75" customHeight="1" x14ac:dyDescent="0.2">
      <c r="A240" t="s">
        <v>2846</v>
      </c>
      <c r="J240" s="294" t="str">
        <f>IF(ISBLANK(HLOOKUP(CaseName,CaseData,MATCH($G240,cases!$G$4:$G$2458,0),FALSE)),"",HLOOKUP(CaseName,CaseData,MATCH($G240,cases!$G$4:$G$2458,0),FALSE))</f>
        <v/>
      </c>
      <c r="K240" s="437"/>
      <c r="L240" s="332"/>
      <c r="O240" s="176"/>
    </row>
    <row r="241" spans="1:16" customFormat="1" ht="12.75" customHeight="1" x14ac:dyDescent="0.2">
      <c r="A241" s="567" t="s">
        <v>1635</v>
      </c>
      <c r="B241" s="567"/>
      <c r="C241" s="567"/>
      <c r="D241" s="567"/>
      <c r="E241" s="567"/>
      <c r="F241" s="567"/>
      <c r="G241" s="568" t="s">
        <v>2847</v>
      </c>
      <c r="H241" s="568" t="s">
        <v>340</v>
      </c>
      <c r="I241" s="678"/>
      <c r="J241" s="294" t="str">
        <f>IF(ISBLANK(HLOOKUP(CaseName,CaseData,MATCH($G241,cases!$G$4:$G$2458,0),FALSE)),"",HLOOKUP(CaseName,CaseData,MATCH($G241,cases!$G$4:$G$2458,0),FALSE))</f>
        <v/>
      </c>
      <c r="K241" s="577">
        <f>(3/2)*(L249*L230)/(2*L228)</f>
        <v>9.6991320673020219E-7</v>
      </c>
      <c r="L241" s="298">
        <f t="shared" ref="L241:L272" si="14">IF(ISBLANK(I241),IF(ISNUMBER(J241)=FALSE,K241,J241),I241)</f>
        <v>9.6991320673020219E-7</v>
      </c>
      <c r="M241" s="568" t="s">
        <v>340</v>
      </c>
      <c r="N241" s="567"/>
      <c r="O241" s="605" t="s">
        <v>2348</v>
      </c>
      <c r="P241" s="567" t="s">
        <v>1637</v>
      </c>
    </row>
    <row r="242" spans="1:16" customFormat="1" ht="12.75" customHeight="1" x14ac:dyDescent="0.2">
      <c r="A242" s="567"/>
      <c r="B242" s="567" t="s">
        <v>1638</v>
      </c>
      <c r="C242" s="567"/>
      <c r="D242" s="567"/>
      <c r="E242" s="567"/>
      <c r="F242" s="567"/>
      <c r="G242" s="568" t="s">
        <v>2848</v>
      </c>
      <c r="H242" s="568" t="s">
        <v>1640</v>
      </c>
      <c r="I242" s="678"/>
      <c r="J242" s="294" t="str">
        <f>IF(ISBLANK(HLOOKUP(CaseName,CaseData,MATCH($G242,cases!$G$4:$G$2458,0),FALSE)),"",HLOOKUP(CaseName,CaseData,MATCH($G242,cases!$G$4:$G$2458,0),FALSE))</f>
        <v/>
      </c>
      <c r="K242" s="577">
        <f>((RhoS-Rho.a)*(2*RadS)^2*CunninghamS)/(18*DYNVISC.a)</f>
        <v>2.9727496338664685E-8</v>
      </c>
      <c r="L242" s="298">
        <f t="shared" si="14"/>
        <v>2.9727496338664685E-8</v>
      </c>
      <c r="M242" s="568" t="s">
        <v>1640</v>
      </c>
      <c r="N242" s="567"/>
      <c r="O242" s="605"/>
      <c r="P242" s="567"/>
    </row>
    <row r="243" spans="1:16" customFormat="1" ht="12.75" customHeight="1" x14ac:dyDescent="0.2">
      <c r="A243" s="567"/>
      <c r="B243" s="567" t="s">
        <v>1641</v>
      </c>
      <c r="C243" s="567"/>
      <c r="D243" s="567"/>
      <c r="E243" s="567"/>
      <c r="F243" s="567"/>
      <c r="G243" s="568" t="s">
        <v>2849</v>
      </c>
      <c r="H243" s="568" t="s">
        <v>296</v>
      </c>
      <c r="I243" s="678"/>
      <c r="J243" s="294" t="str">
        <f>IF(ISBLANK(HLOOKUP(CaseName,CaseData,MATCH($G243,cases!$G$4:$G$2458,0),FALSE)),"",HLOOKUP(CaseName,CaseData,MATCH($G243,cases!$G$4:$G$2458,0),FALSE))</f>
        <v/>
      </c>
      <c r="K243" s="577">
        <f>(2*L242*(L231-L244))/(2*L228)</f>
        <v>6.6412508933626419E-4</v>
      </c>
      <c r="L243" s="298">
        <f t="shared" si="14"/>
        <v>6.6412508933626419E-4</v>
      </c>
      <c r="M243" s="568" t="s">
        <v>296</v>
      </c>
      <c r="N243" s="567"/>
      <c r="O243" s="605" t="s">
        <v>1643</v>
      </c>
      <c r="P243" s="567"/>
    </row>
    <row r="244" spans="1:16" customFormat="1" ht="12.75" customHeight="1" x14ac:dyDescent="0.2">
      <c r="A244" s="567"/>
      <c r="B244" s="567" t="s">
        <v>1644</v>
      </c>
      <c r="C244" s="567"/>
      <c r="D244" s="567"/>
      <c r="E244" s="567"/>
      <c r="F244" s="567"/>
      <c r="G244" s="568" t="s">
        <v>2850</v>
      </c>
      <c r="H244" s="568" t="s">
        <v>873</v>
      </c>
      <c r="I244" s="678"/>
      <c r="J244" s="294" t="str">
        <f>IF(ISBLANK(HLOOKUP(CaseName,CaseData,MATCH($G244,cases!$G$4:$G$2458,0),FALSE)),"",HLOOKUP(CaseName,CaseData,MATCH($G244,cases!$G$4:$G$2458,0),FALSE))</f>
        <v/>
      </c>
      <c r="K244" s="577">
        <f>((2*RadS)^2*(RhoS-Rho.a)*9.81*CunninghamS)/(18*DYNVISC.a)</f>
        <v>2.9162673908230058E-7</v>
      </c>
      <c r="L244" s="298">
        <f t="shared" si="14"/>
        <v>2.9162673908230058E-7</v>
      </c>
      <c r="M244" s="568" t="s">
        <v>873</v>
      </c>
      <c r="N244" s="567"/>
      <c r="O244" s="605"/>
      <c r="P244" s="567"/>
    </row>
    <row r="245" spans="1:16" customFormat="1" ht="12.75" customHeight="1" x14ac:dyDescent="0.2">
      <c r="A245" s="567"/>
      <c r="B245" s="567" t="s">
        <v>1646</v>
      </c>
      <c r="C245" s="567"/>
      <c r="D245" s="567"/>
      <c r="E245" s="567"/>
      <c r="F245" s="567"/>
      <c r="G245" s="568" t="s">
        <v>2851</v>
      </c>
      <c r="H245" s="568" t="s">
        <v>296</v>
      </c>
      <c r="I245" s="678"/>
      <c r="J245" s="294" t="str">
        <f>IF(ISBLANK(HLOOKUP(CaseName,CaseData,MATCH($G245,cases!$G$4:$G$2458,0),FALSE)),"",HLOOKUP(CaseName,CaseData,MATCH($G245,cases!$G$4:$G$2458,0),FALSE))</f>
        <v/>
      </c>
      <c r="K245" s="577">
        <f>DYNVISC.a/(Rho.a*DiffS.aM)</f>
        <v>279.68506291363371</v>
      </c>
      <c r="L245" s="298">
        <f t="shared" si="14"/>
        <v>279.68506291363371</v>
      </c>
      <c r="M245" s="568" t="s">
        <v>296</v>
      </c>
      <c r="N245" s="567"/>
      <c r="O245" s="605"/>
      <c r="P245" s="567"/>
    </row>
    <row r="246" spans="1:16" customFormat="1" ht="12.75" customHeight="1" x14ac:dyDescent="0.2">
      <c r="A246" s="567"/>
      <c r="B246" s="567"/>
      <c r="C246" s="567" t="s">
        <v>1648</v>
      </c>
      <c r="D246" s="567"/>
      <c r="E246" s="567"/>
      <c r="F246" s="567"/>
      <c r="G246" s="568" t="s">
        <v>2852</v>
      </c>
      <c r="H246" s="568" t="s">
        <v>296</v>
      </c>
      <c r="I246" s="678"/>
      <c r="J246" s="294" t="str">
        <f>IF(ISBLANK(HLOOKUP(CaseName,CaseData,MATCH($G246,cases!$G$4:$G$2458,0),FALSE)),"",HLOOKUP(CaseName,CaseData,MATCH($G246,cases!$G$4:$G$2458,0),FALSE))</f>
        <v/>
      </c>
      <c r="K246" s="577">
        <f>(4/(L234*L245))*(1+0.4*(L234^0.5*L245^(1/3))+0.16*(L234^0.5*L245^0.5))</f>
        <v>1.0732223264878138E-2</v>
      </c>
      <c r="L246" s="298">
        <f t="shared" si="14"/>
        <v>1.0732223264878138E-2</v>
      </c>
      <c r="M246" s="568" t="s">
        <v>296</v>
      </c>
      <c r="N246" s="567"/>
      <c r="O246" s="605"/>
      <c r="P246" s="567"/>
    </row>
    <row r="247" spans="1:16" customFormat="1" ht="12.75" customHeight="1" x14ac:dyDescent="0.2">
      <c r="A247" s="567"/>
      <c r="B247" s="567"/>
      <c r="C247" s="567" t="s">
        <v>1650</v>
      </c>
      <c r="D247" s="567"/>
      <c r="E247" s="567"/>
      <c r="F247" s="567"/>
      <c r="G247" s="568" t="s">
        <v>2853</v>
      </c>
      <c r="H247" s="568" t="s">
        <v>296</v>
      </c>
      <c r="I247" s="678"/>
      <c r="J247" s="294" t="str">
        <f>IF(ISBLANK(HLOOKUP(CaseName,CaseData,MATCH($G247,cases!$G$4:$G$2458,0),FALSE)),"",HLOOKUP(CaseName,CaseData,MATCH($G247,cases!$G$4:$G$2458,0),FALSE))</f>
        <v/>
      </c>
      <c r="K247" s="577">
        <f>4*(RadS/L228)*((DYNVISC.a/DYNVISC.w)+(1+2*L234^0.5*(RadS/L228)))</f>
        <v>1.0945972137335627E-4</v>
      </c>
      <c r="L247" s="298">
        <f t="shared" si="14"/>
        <v>1.0945972137335627E-4</v>
      </c>
      <c r="M247" s="568" t="s">
        <v>296</v>
      </c>
      <c r="N247" s="567"/>
      <c r="O247" s="605"/>
      <c r="P247" s="567"/>
    </row>
    <row r="248" spans="1:16" customFormat="1" ht="12.75" customHeight="1" x14ac:dyDescent="0.2">
      <c r="A248" s="567"/>
      <c r="B248" s="567"/>
      <c r="C248" s="567" t="s">
        <v>1652</v>
      </c>
      <c r="D248" s="567"/>
      <c r="E248" s="567"/>
      <c r="F248" s="567"/>
      <c r="G248" s="568" t="s">
        <v>2854</v>
      </c>
      <c r="H248" s="568" t="s">
        <v>296</v>
      </c>
      <c r="I248" s="678"/>
      <c r="J248" s="294" t="str">
        <f>IF(ISBLANK(HLOOKUP(CaseName,CaseData,MATCH($G248,cases!$G$4:$G$2458,0),FALSE)),"",HLOOKUP(CaseName,CaseData,MATCH($G248,cases!$G$4:$G$2458,0),FALSE))</f>
        <v/>
      </c>
      <c r="K248" s="577">
        <f>IF(L243&gt;L233,((L243-L233)/(L243-L233+2/3))^(3/2),0)</f>
        <v>0</v>
      </c>
      <c r="L248" s="298">
        <f t="shared" si="14"/>
        <v>0</v>
      </c>
      <c r="M248" s="568" t="s">
        <v>296</v>
      </c>
      <c r="N248" s="567"/>
      <c r="O248" s="605"/>
      <c r="P248" s="567"/>
    </row>
    <row r="249" spans="1:16" customFormat="1" ht="12.75" customHeight="1" x14ac:dyDescent="0.2">
      <c r="A249" s="567"/>
      <c r="B249" s="567"/>
      <c r="C249" s="567" t="s">
        <v>1654</v>
      </c>
      <c r="D249" s="567"/>
      <c r="E249" s="567"/>
      <c r="F249" s="567"/>
      <c r="G249" s="568" t="s">
        <v>2855</v>
      </c>
      <c r="H249" s="568" t="s">
        <v>296</v>
      </c>
      <c r="I249" s="678"/>
      <c r="J249" s="294" t="str">
        <f>IF(ISBLANK(HLOOKUP(CaseName,CaseData,MATCH($G249,cases!$G$4:$G$2458,0),FALSE)),"",HLOOKUP(CaseName,CaseData,MATCH($G249,cases!$G$4:$G$2458,0),FALSE))</f>
        <v/>
      </c>
      <c r="K249" s="577">
        <f>L246+L247+L248</f>
        <v>1.0841682986251494E-2</v>
      </c>
      <c r="L249" s="298">
        <f t="shared" si="14"/>
        <v>1.0841682986251494E-2</v>
      </c>
      <c r="M249" s="568" t="s">
        <v>296</v>
      </c>
      <c r="N249" s="567"/>
      <c r="O249" s="605"/>
      <c r="P249" s="567"/>
    </row>
    <row r="250" spans="1:16" customFormat="1" ht="12.75" customHeight="1" x14ac:dyDescent="0.2">
      <c r="A250" s="567" t="s">
        <v>1656</v>
      </c>
      <c r="B250" s="567"/>
      <c r="C250" s="567"/>
      <c r="D250" s="567"/>
      <c r="E250" s="567"/>
      <c r="F250" s="567"/>
      <c r="G250" s="568" t="s">
        <v>2856</v>
      </c>
      <c r="H250" s="568" t="s">
        <v>340</v>
      </c>
      <c r="I250" s="678"/>
      <c r="J250" s="294" t="str">
        <f>IF(ISBLANK(HLOOKUP(CaseName,CaseData,MATCH($G250,cases!$G$4:$G$2458,0),FALSE)),"",HLOOKUP(CaseName,CaseData,MATCH($G250,cases!$G$4:$G$2458,0),FALSE))</f>
        <v/>
      </c>
      <c r="K250" s="577">
        <f>((3/2)*(L260*L230)/(2*L228))</f>
        <v>1.7484098176372422E-7</v>
      </c>
      <c r="L250" s="298">
        <f t="shared" si="14"/>
        <v>1.7484098176372422E-7</v>
      </c>
      <c r="M250" s="568" t="s">
        <v>340</v>
      </c>
      <c r="N250" s="567"/>
      <c r="O250" s="605"/>
      <c r="P250" s="567"/>
    </row>
    <row r="251" spans="1:16" customFormat="1" ht="12.75" customHeight="1" x14ac:dyDescent="0.2">
      <c r="A251" s="567"/>
      <c r="B251" s="567" t="s">
        <v>1658</v>
      </c>
      <c r="C251" s="567"/>
      <c r="D251" s="567"/>
      <c r="E251" s="567"/>
      <c r="F251" s="567"/>
      <c r="G251" s="568" t="s">
        <v>2857</v>
      </c>
      <c r="H251" s="568" t="s">
        <v>296</v>
      </c>
      <c r="I251" s="678"/>
      <c r="J251" s="294" t="str">
        <f>IF(ISBLANK(HLOOKUP(CaseName,CaseData,MATCH($G251,cases!$G$4:$G$2458,0),FALSE)),"",HLOOKUP(CaseName,CaseData,MATCH($G251,cases!$G$4:$G$2458,0),FALSE))</f>
        <v/>
      </c>
      <c r="K251" s="577">
        <f>1+(66*10^-9/L236)*(1.142+0.558*EXP(-0.999/(66*10^-9/L236)))</f>
        <v>3.0696088001070425</v>
      </c>
      <c r="L251" s="298">
        <f t="shared" si="14"/>
        <v>3.0696088001070425</v>
      </c>
      <c r="M251" s="568" t="s">
        <v>296</v>
      </c>
      <c r="N251" s="567"/>
      <c r="O251" s="605"/>
      <c r="P251" s="567"/>
    </row>
    <row r="252" spans="1:16" customFormat="1" ht="12.75" customHeight="1" x14ac:dyDescent="0.2">
      <c r="A252" s="567"/>
      <c r="B252" s="567" t="s">
        <v>1660</v>
      </c>
      <c r="C252" s="567"/>
      <c r="D252" s="567"/>
      <c r="E252" s="567"/>
      <c r="F252" s="567"/>
      <c r="G252" s="568" t="s">
        <v>2858</v>
      </c>
      <c r="H252" s="568"/>
      <c r="I252" s="678"/>
      <c r="J252" s="294" t="str">
        <f>IF(ISBLANK(HLOOKUP(CaseName,CaseData,MATCH($G252,cases!$G$4:$G$2458,0),FALSE)),"",HLOOKUP(CaseName,CaseData,MATCH($G252,cases!$G$4:$G$2458,0),FALSE))</f>
        <v/>
      </c>
      <c r="K252" s="577">
        <f>(kboltz*L52*L251)/(6*PI()*DYNVISC.a*L236)</f>
        <v>7.8025597501893335E-10</v>
      </c>
      <c r="L252" s="298">
        <f t="shared" si="14"/>
        <v>7.8025597501893335E-10</v>
      </c>
      <c r="M252" s="568"/>
      <c r="N252" s="567"/>
      <c r="O252" s="605"/>
      <c r="P252" s="567"/>
    </row>
    <row r="253" spans="1:16" customFormat="1" ht="12.75" customHeight="1" x14ac:dyDescent="0.2">
      <c r="A253" s="567"/>
      <c r="B253" s="567" t="s">
        <v>1638</v>
      </c>
      <c r="C253" s="567"/>
      <c r="D253" s="567"/>
      <c r="E253" s="567"/>
      <c r="F253" s="567"/>
      <c r="G253" s="568" t="s">
        <v>2859</v>
      </c>
      <c r="H253" s="568" t="s">
        <v>1640</v>
      </c>
      <c r="I253" s="678"/>
      <c r="J253" s="294" t="str">
        <f>IF(ISBLANK(HLOOKUP(CaseName,CaseData,MATCH($G253,cases!$G$4:$G$2458,0),FALSE)),"",HLOOKUP(CaseName,CaseData,MATCH($G253,cases!$G$4:$G$2458,0),FALSE))</f>
        <v/>
      </c>
      <c r="K253" s="577">
        <f>((L237-Rho.a)*(2*L236)^2*L251)/(18*DYNVISC.a)</f>
        <v>1.5500247909018642E-7</v>
      </c>
      <c r="L253" s="298">
        <f t="shared" si="14"/>
        <v>1.5500247909018642E-7</v>
      </c>
      <c r="M253" s="568" t="s">
        <v>1640</v>
      </c>
      <c r="N253" s="567"/>
      <c r="O253" s="605"/>
      <c r="P253" s="567"/>
    </row>
    <row r="254" spans="1:16" customFormat="1" ht="12.75" customHeight="1" x14ac:dyDescent="0.2">
      <c r="A254" s="567"/>
      <c r="B254" s="567" t="s">
        <v>1663</v>
      </c>
      <c r="C254" s="567"/>
      <c r="D254" s="567"/>
      <c r="E254" s="567"/>
      <c r="F254" s="567"/>
      <c r="G254" s="568" t="s">
        <v>2860</v>
      </c>
      <c r="H254" s="568" t="s">
        <v>296</v>
      </c>
      <c r="I254" s="678"/>
      <c r="J254" s="294" t="str">
        <f>IF(ISBLANK(HLOOKUP(CaseName,CaseData,MATCH($G254,cases!$G$4:$G$2458,0),FALSE)),"",HLOOKUP(CaseName,CaseData,MATCH($G254,cases!$G$4:$G$2458,0),FALSE))</f>
        <v/>
      </c>
      <c r="K254" s="577">
        <f>(2*L253*(L231-L255))/(2*L228)</f>
        <v>3.4628212100187104E-3</v>
      </c>
      <c r="L254" s="298">
        <f t="shared" si="14"/>
        <v>3.4628212100187104E-3</v>
      </c>
      <c r="M254" s="568" t="s">
        <v>296</v>
      </c>
      <c r="N254" s="567"/>
      <c r="O254" s="605"/>
      <c r="P254" s="567"/>
    </row>
    <row r="255" spans="1:16" customFormat="1" ht="12.75" customHeight="1" x14ac:dyDescent="0.2">
      <c r="A255" s="567"/>
      <c r="B255" s="567" t="s">
        <v>1644</v>
      </c>
      <c r="C255" s="567"/>
      <c r="D255" s="567"/>
      <c r="E255" s="567"/>
      <c r="F255" s="567"/>
      <c r="G255" s="568" t="s">
        <v>2861</v>
      </c>
      <c r="H255" s="568" t="s">
        <v>873</v>
      </c>
      <c r="I255" s="678"/>
      <c r="J255" s="294" t="str">
        <f>IF(ISBLANK(HLOOKUP(CaseName,CaseData,MATCH($G255,cases!$G$4:$G$2458,0),FALSE)),"",HLOOKUP(CaseName,CaseData,MATCH($G255,cases!$G$4:$G$2458,0),FALSE))</f>
        <v/>
      </c>
      <c r="K255" s="577">
        <f>((2*L236)^2*(L237-Rho.a)*9.81*L251)/(18*DYNVISC.a)</f>
        <v>1.5205743198747288E-6</v>
      </c>
      <c r="L255" s="298">
        <f t="shared" si="14"/>
        <v>1.5205743198747288E-6</v>
      </c>
      <c r="M255" s="568" t="s">
        <v>873</v>
      </c>
      <c r="N255" s="567"/>
      <c r="O255" s="605"/>
      <c r="P255" s="567"/>
    </row>
    <row r="256" spans="1:16" customFormat="1" ht="12.75" customHeight="1" x14ac:dyDescent="0.2">
      <c r="A256" s="567"/>
      <c r="B256" s="567" t="s">
        <v>1646</v>
      </c>
      <c r="C256" s="567"/>
      <c r="D256" s="567"/>
      <c r="E256" s="567"/>
      <c r="F256" s="567"/>
      <c r="G256" s="568" t="s">
        <v>2862</v>
      </c>
      <c r="H256" s="568" t="s">
        <v>296</v>
      </c>
      <c r="I256" s="678"/>
      <c r="J256" s="294" t="str">
        <f>IF(ISBLANK(HLOOKUP(CaseName,CaseData,MATCH($G256,cases!$G$4:$G$2458,0),FALSE)),"",HLOOKUP(CaseName,CaseData,MATCH($G256,cases!$G$4:$G$2458,0),FALSE))</f>
        <v/>
      </c>
      <c r="K256" s="577">
        <f>DYNVISC.a/(Rho.a*L252)</f>
        <v>18936.747269026804</v>
      </c>
      <c r="L256" s="298">
        <f t="shared" si="14"/>
        <v>18936.747269026804</v>
      </c>
      <c r="M256" s="568" t="s">
        <v>296</v>
      </c>
      <c r="N256" s="567"/>
      <c r="O256" s="605"/>
      <c r="P256" s="567"/>
    </row>
    <row r="257" spans="1:16" customFormat="1" ht="12.75" customHeight="1" x14ac:dyDescent="0.2">
      <c r="A257" s="567"/>
      <c r="B257" s="567"/>
      <c r="C257" s="567" t="s">
        <v>1648</v>
      </c>
      <c r="D257" s="567"/>
      <c r="E257" s="567"/>
      <c r="F257" s="567"/>
      <c r="G257" s="568" t="s">
        <v>2863</v>
      </c>
      <c r="H257" s="568" t="s">
        <v>296</v>
      </c>
      <c r="I257" s="678"/>
      <c r="J257" s="294" t="str">
        <f>IF(ISBLANK(HLOOKUP(CaseName,CaseData,MATCH($G257,cases!$G$4:$G$2458,0),FALSE)),"",HLOOKUP(CaseName,CaseData,MATCH($G257,cases!$G$4:$G$2458,0),FALSE))</f>
        <v/>
      </c>
      <c r="K257" s="577">
        <f>(4/(L234*L256))*(1+0.4*(L234^0.5*L256^(1/3))+0.16*(L234^0.5*L256^0.5))</f>
        <v>9.5801318553660471E-4</v>
      </c>
      <c r="L257" s="298">
        <f t="shared" si="14"/>
        <v>9.5801318553660471E-4</v>
      </c>
      <c r="M257" s="568" t="s">
        <v>296</v>
      </c>
      <c r="N257" s="567"/>
      <c r="O257" s="605"/>
      <c r="P257" s="567"/>
    </row>
    <row r="258" spans="1:16" customFormat="1" ht="12.75" customHeight="1" x14ac:dyDescent="0.2">
      <c r="A258" s="567"/>
      <c r="B258" s="567"/>
      <c r="C258" s="567" t="s">
        <v>1650</v>
      </c>
      <c r="D258" s="567"/>
      <c r="E258" s="567"/>
      <c r="F258" s="567"/>
      <c r="G258" s="568" t="s">
        <v>2864</v>
      </c>
      <c r="H258" s="568" t="s">
        <v>296</v>
      </c>
      <c r="I258" s="678"/>
      <c r="J258" s="294" t="str">
        <f>IF(ISBLANK(HLOOKUP(CaseName,CaseData,MATCH($G258,cases!$G$4:$G$2458,0),FALSE)),"",HLOOKUP(CaseName,CaseData,MATCH($G258,cases!$G$4:$G$2458,0),FALSE))</f>
        <v/>
      </c>
      <c r="K258" s="577">
        <f>4*(L236/L228)*((DYNVISC.a/DYNVISC.w)+(1+2*L234^0.5*(L236/L228)))</f>
        <v>9.9635807586489177E-4</v>
      </c>
      <c r="L258" s="298">
        <f t="shared" si="14"/>
        <v>9.9635807586489177E-4</v>
      </c>
      <c r="M258" s="568" t="s">
        <v>296</v>
      </c>
      <c r="N258" s="567"/>
      <c r="O258" s="605"/>
      <c r="P258" s="567"/>
    </row>
    <row r="259" spans="1:16" customFormat="1" ht="12.75" customHeight="1" x14ac:dyDescent="0.2">
      <c r="A259" s="567"/>
      <c r="B259" s="567"/>
      <c r="C259" s="567" t="s">
        <v>1652</v>
      </c>
      <c r="D259" s="567"/>
      <c r="E259" s="567"/>
      <c r="F259" s="567"/>
      <c r="G259" s="568" t="s">
        <v>2865</v>
      </c>
      <c r="H259" s="568" t="s">
        <v>296</v>
      </c>
      <c r="I259" s="678"/>
      <c r="J259" s="294" t="str">
        <f>IF(ISBLANK(HLOOKUP(CaseName,CaseData,MATCH($G259,cases!$G$4:$G$2458,0),FALSE)),"",HLOOKUP(CaseName,CaseData,MATCH($G259,cases!$G$4:$G$2458,0),FALSE))</f>
        <v/>
      </c>
      <c r="K259" s="577">
        <f>IF(L254&gt;L233,((L254-L233)/(L254-L233+2/3))^(3/2),0)</f>
        <v>0</v>
      </c>
      <c r="L259" s="298">
        <f t="shared" si="14"/>
        <v>0</v>
      </c>
      <c r="M259" s="568" t="s">
        <v>296</v>
      </c>
      <c r="N259" s="567"/>
      <c r="O259" s="605"/>
      <c r="P259" s="567"/>
    </row>
    <row r="260" spans="1:16" customFormat="1" ht="12.75" customHeight="1" x14ac:dyDescent="0.2">
      <c r="A260" s="567"/>
      <c r="B260" s="567"/>
      <c r="C260" s="567" t="s">
        <v>1654</v>
      </c>
      <c r="D260" s="567"/>
      <c r="E260" s="567"/>
      <c r="F260" s="567"/>
      <c r="G260" s="568" t="s">
        <v>2866</v>
      </c>
      <c r="H260" s="568" t="s">
        <v>296</v>
      </c>
      <c r="I260" s="678"/>
      <c r="J260" s="294" t="str">
        <f>IF(ISBLANK(HLOOKUP(CaseName,CaseData,MATCH($G260,cases!$G$4:$G$2458,0),FALSE)),"",HLOOKUP(CaseName,CaseData,MATCH($G260,cases!$G$4:$G$2458,0),FALSE))</f>
        <v/>
      </c>
      <c r="K260" s="577">
        <f>L257+L258+L259</f>
        <v>1.9543712614014967E-3</v>
      </c>
      <c r="L260" s="298">
        <f t="shared" si="14"/>
        <v>1.9543712614014967E-3</v>
      </c>
      <c r="M260" s="568" t="s">
        <v>296</v>
      </c>
      <c r="N260" s="567"/>
      <c r="O260" s="605"/>
      <c r="P260" s="567"/>
    </row>
    <row r="261" spans="1:16" customFormat="1" ht="12.75" customHeight="1" x14ac:dyDescent="0.2">
      <c r="A261" s="567" t="s">
        <v>1671</v>
      </c>
      <c r="B261" s="567"/>
      <c r="C261" s="567"/>
      <c r="D261" s="567"/>
      <c r="E261" s="567"/>
      <c r="F261" s="567"/>
      <c r="G261" s="568" t="s">
        <v>2867</v>
      </c>
      <c r="H261" s="568" t="s">
        <v>340</v>
      </c>
      <c r="I261" s="678"/>
      <c r="J261" s="294" t="str">
        <f>IF(ISBLANK(HLOOKUP(CaseName,CaseData,MATCH($G261,cases!$G$4:$G$2458,0),FALSE)),"",HLOOKUP(CaseName,CaseData,MATCH($G261,cases!$G$4:$G$2458,0),FALSE))</f>
        <v/>
      </c>
      <c r="K261" s="900">
        <f>((L86+L87)/L87*L92*L93)/L14</f>
        <v>7.3989514628784045E-5</v>
      </c>
      <c r="L261" s="298">
        <f t="shared" si="14"/>
        <v>7.3989514628784045E-5</v>
      </c>
      <c r="M261" s="567" t="s">
        <v>340</v>
      </c>
      <c r="N261" s="567" t="s">
        <v>2868</v>
      </c>
      <c r="O261" s="605"/>
      <c r="P261" s="567"/>
    </row>
    <row r="262" spans="1:16" customFormat="1" ht="12.75" customHeight="1" x14ac:dyDescent="0.2">
      <c r="A262" s="567" t="s">
        <v>2869</v>
      </c>
      <c r="B262" s="567"/>
      <c r="C262" s="567"/>
      <c r="D262" s="567"/>
      <c r="E262" s="567"/>
      <c r="F262" s="567"/>
      <c r="G262" s="568" t="s">
        <v>2870</v>
      </c>
      <c r="H262" s="568" t="s">
        <v>340</v>
      </c>
      <c r="I262" s="678"/>
      <c r="J262" s="294" t="str">
        <f>IF(ISBLANK(HLOOKUP(CaseName,CaseData,MATCH($G262,cases!$G$4:$G$2458,0),FALSE)),"",HLOOKUP(CaseName,CaseData,MATCH($G262,cases!$G$4:$G$2458,0),FALSE))</f>
        <v/>
      </c>
      <c r="K262" s="577">
        <f>(L263*L13*L11)/(L5)</f>
        <v>1.672152571139643E-6</v>
      </c>
      <c r="L262" s="298">
        <f t="shared" si="14"/>
        <v>1.672152571139643E-6</v>
      </c>
      <c r="M262" s="568" t="s">
        <v>340</v>
      </c>
      <c r="N262" s="567"/>
      <c r="O262" s="605"/>
      <c r="P262" s="567"/>
    </row>
    <row r="263" spans="1:16" customFormat="1" ht="12.75" customHeight="1" x14ac:dyDescent="0.2">
      <c r="A263" s="567"/>
      <c r="B263" s="567" t="s">
        <v>1676</v>
      </c>
      <c r="C263" s="567"/>
      <c r="D263" s="567"/>
      <c r="E263" s="567"/>
      <c r="F263" s="567"/>
      <c r="G263" s="568" t="s">
        <v>2871</v>
      </c>
      <c r="H263" s="568" t="s">
        <v>873</v>
      </c>
      <c r="I263" s="678"/>
      <c r="J263" s="294" t="str">
        <f>IF(ISBLANK(HLOOKUP(CaseName,CaseData,MATCH($G263,cases!$G$4:$G$2458,0),FALSE)),"",HLOOKUP(CaseName,CaseData,MATCH($G263,cases!$G$4:$G$2458,0),FALSE))</f>
        <v/>
      </c>
      <c r="K263" s="577">
        <f>1/(L264+L265)+L244</f>
        <v>3.344304138987743E-3</v>
      </c>
      <c r="L263" s="298">
        <f t="shared" si="14"/>
        <v>3.344304138987743E-3</v>
      </c>
      <c r="M263" s="568" t="s">
        <v>873</v>
      </c>
      <c r="N263" s="567"/>
      <c r="O263" s="605"/>
      <c r="P263" s="567"/>
    </row>
    <row r="264" spans="1:16" customFormat="1" ht="12.75" customHeight="1" x14ac:dyDescent="0.2">
      <c r="A264" s="567"/>
      <c r="B264" s="567" t="s">
        <v>1678</v>
      </c>
      <c r="C264" s="567"/>
      <c r="D264" s="567"/>
      <c r="E264" s="567"/>
      <c r="F264" s="567"/>
      <c r="G264" s="568" t="s">
        <v>2872</v>
      </c>
      <c r="H264" s="568" t="s">
        <v>1680</v>
      </c>
      <c r="I264" s="678"/>
      <c r="J264" s="294" t="str">
        <f>IF(ISBLANK(HLOOKUP(CaseName,CaseData,MATCH($G264,cases!$G$4:$G$2458,0),FALSE)),"",HLOOKUP(CaseName,CaseData,MATCH($G264,cases!$G$4:$G$2458,0),FALSE))</f>
        <v/>
      </c>
      <c r="K264" s="577">
        <v>74</v>
      </c>
      <c r="L264" s="298">
        <f t="shared" si="14"/>
        <v>74</v>
      </c>
      <c r="M264" s="568" t="s">
        <v>1680</v>
      </c>
      <c r="N264" s="567"/>
      <c r="O264" s="605" t="s">
        <v>1681</v>
      </c>
      <c r="P264" s="567" t="s">
        <v>1682</v>
      </c>
    </row>
    <row r="265" spans="1:16" customFormat="1" ht="12.75" customHeight="1" x14ac:dyDescent="0.2">
      <c r="A265" s="567"/>
      <c r="B265" s="567" t="s">
        <v>1683</v>
      </c>
      <c r="C265" s="567"/>
      <c r="D265" s="567"/>
      <c r="E265" s="567"/>
      <c r="F265" s="567"/>
      <c r="G265" s="568" t="s">
        <v>2873</v>
      </c>
      <c r="H265" s="568" t="s">
        <v>1680</v>
      </c>
      <c r="I265" s="678"/>
      <c r="J265" s="294" t="str">
        <f>IF(ISBLANK(HLOOKUP(CaseName,CaseData,MATCH($G265,cases!$G$4:$G$2458,0),FALSE)),"",HLOOKUP(CaseName,CaseData,MATCH($G265,cases!$G$4:$G$2458,0),FALSE))</f>
        <v/>
      </c>
      <c r="K265" s="577">
        <f>1/(L266*(L267+L268+L272))</f>
        <v>225.04194327537255</v>
      </c>
      <c r="L265" s="298">
        <f t="shared" si="14"/>
        <v>225.04194327537255</v>
      </c>
      <c r="M265" s="568" t="s">
        <v>1680</v>
      </c>
      <c r="N265" s="567"/>
      <c r="O265" s="605" t="s">
        <v>1685</v>
      </c>
      <c r="P265" s="567"/>
    </row>
    <row r="266" spans="1:16" customFormat="1" ht="12.75" customHeight="1" x14ac:dyDescent="0.2">
      <c r="A266" s="567"/>
      <c r="B266" s="567"/>
      <c r="C266" s="567" t="s">
        <v>1686</v>
      </c>
      <c r="D266" s="567"/>
      <c r="E266" s="567"/>
      <c r="F266" s="567"/>
      <c r="G266" s="568" t="s">
        <v>2874</v>
      </c>
      <c r="H266" s="568" t="s">
        <v>873</v>
      </c>
      <c r="I266" s="678"/>
      <c r="J266" s="294" t="str">
        <f>IF(ISBLANK(HLOOKUP(CaseName,CaseData,MATCH($G266,cases!$G$4:$G$2458,0),FALSE)),"",HLOOKUP(CaseName,CaseData,MATCH($G266,cases!$G$4:$G$2458,0),FALSE))</f>
        <v/>
      </c>
      <c r="K266" s="577">
        <v>0.19</v>
      </c>
      <c r="L266" s="298">
        <f t="shared" si="14"/>
        <v>0.19</v>
      </c>
      <c r="M266" s="568" t="s">
        <v>873</v>
      </c>
      <c r="N266" s="567"/>
      <c r="O266" s="605" t="s">
        <v>1688</v>
      </c>
      <c r="P266" s="567" t="s">
        <v>1689</v>
      </c>
    </row>
    <row r="267" spans="1:16" customFormat="1" ht="12.75" customHeight="1" x14ac:dyDescent="0.2">
      <c r="A267" s="567"/>
      <c r="B267" s="567"/>
      <c r="C267" s="567" t="s">
        <v>1648</v>
      </c>
      <c r="D267" s="567"/>
      <c r="E267" s="567"/>
      <c r="F267" s="567"/>
      <c r="G267" s="568" t="s">
        <v>2875</v>
      </c>
      <c r="H267" s="568" t="s">
        <v>296</v>
      </c>
      <c r="I267" s="678"/>
      <c r="J267" s="294" t="str">
        <f>IF(ISBLANK(HLOOKUP(CaseName,CaseData,MATCH($G267,cases!$G$4:$G$2458,0),FALSE)),"",HLOOKUP(CaseName,CaseData,MATCH($G267,cases!$G$4:$G$2458,0),FALSE))</f>
        <v/>
      </c>
      <c r="K267" s="577">
        <f>L245^(-2/3)</f>
        <v>2.338229586631968E-2</v>
      </c>
      <c r="L267" s="298">
        <f t="shared" si="14"/>
        <v>2.338229586631968E-2</v>
      </c>
      <c r="M267" s="568" t="s">
        <v>296</v>
      </c>
      <c r="N267" s="567"/>
      <c r="O267" s="605" t="s">
        <v>1685</v>
      </c>
      <c r="P267" s="567" t="s">
        <v>1691</v>
      </c>
    </row>
    <row r="268" spans="1:16" customFormat="1" ht="12.75" customHeight="1" x14ac:dyDescent="0.2">
      <c r="A268" s="567"/>
      <c r="B268" s="567"/>
      <c r="C268" s="567" t="s">
        <v>1650</v>
      </c>
      <c r="D268" s="567"/>
      <c r="E268" s="567"/>
      <c r="F268" s="567"/>
      <c r="G268" s="568" t="s">
        <v>2876</v>
      </c>
      <c r="H268" s="568" t="s">
        <v>296</v>
      </c>
      <c r="I268" s="678"/>
      <c r="J268" s="294" t="str">
        <f>IF(ISBLANK(HLOOKUP(CaseName,CaseData,MATCH($G268,cases!$G$4:$G$2458,0),FALSE)),"",HLOOKUP(CaseName,CaseData,MATCH($G268,cases!$G$4:$G$2458,0),FALSE))</f>
        <v/>
      </c>
      <c r="K268" s="577">
        <f>0.3*(L271*(RadS/(RadS+L269))+(1-L271)*(RadS/(RadS+L270)))</f>
        <v>4.4692206751095909E-6</v>
      </c>
      <c r="L268" s="298">
        <f t="shared" si="14"/>
        <v>4.4692206751095909E-6</v>
      </c>
      <c r="M268" s="568" t="s">
        <v>296</v>
      </c>
      <c r="N268" s="567"/>
      <c r="O268" s="605" t="s">
        <v>1685</v>
      </c>
      <c r="P268" s="567" t="s">
        <v>1691</v>
      </c>
    </row>
    <row r="269" spans="1:16" customFormat="1" ht="12.75" customHeight="1" x14ac:dyDescent="0.2">
      <c r="A269" s="567"/>
      <c r="B269" s="567"/>
      <c r="C269" s="567"/>
      <c r="D269" s="567" t="s">
        <v>1693</v>
      </c>
      <c r="E269" s="567"/>
      <c r="F269" s="567"/>
      <c r="G269" s="568" t="s">
        <v>2877</v>
      </c>
      <c r="H269" s="568" t="s">
        <v>820</v>
      </c>
      <c r="I269" s="678"/>
      <c r="J269" s="294" t="str">
        <f>IF(ISBLANK(HLOOKUP(CaseName,CaseData,MATCH($G269,cases!$G$4:$G$2458,0),FALSE)),"",HLOOKUP(CaseName,CaseData,MATCH($G269,cases!$G$4:$G$2458,0),FALSE))</f>
        <v/>
      </c>
      <c r="K269" s="577">
        <f>1*10^-5</f>
        <v>1.0000000000000001E-5</v>
      </c>
      <c r="L269" s="298">
        <f t="shared" si="14"/>
        <v>1.0000000000000001E-5</v>
      </c>
      <c r="M269" s="568" t="s">
        <v>820</v>
      </c>
      <c r="N269" s="567"/>
      <c r="O269" s="605" t="s">
        <v>1681</v>
      </c>
      <c r="P269" s="567" t="s">
        <v>1691</v>
      </c>
    </row>
    <row r="270" spans="1:16" customFormat="1" ht="12.75" customHeight="1" x14ac:dyDescent="0.2">
      <c r="A270" s="567"/>
      <c r="B270" s="567"/>
      <c r="C270" s="567"/>
      <c r="D270" s="567" t="s">
        <v>1695</v>
      </c>
      <c r="E270" s="567"/>
      <c r="F270" s="567"/>
      <c r="G270" s="568" t="s">
        <v>2878</v>
      </c>
      <c r="H270" s="568" t="s">
        <v>820</v>
      </c>
      <c r="I270" s="678"/>
      <c r="J270" s="294" t="str">
        <f>IF(ISBLANK(HLOOKUP(CaseName,CaseData,MATCH($G270,cases!$G$4:$G$2458,0),FALSE)),"",HLOOKUP(CaseName,CaseData,MATCH($G270,cases!$G$4:$G$2458,0),FALSE))</f>
        <v/>
      </c>
      <c r="K270" s="577">
        <f>0.0005</f>
        <v>5.0000000000000001E-4</v>
      </c>
      <c r="L270" s="298">
        <f t="shared" si="14"/>
        <v>5.0000000000000001E-4</v>
      </c>
      <c r="M270" s="568" t="s">
        <v>820</v>
      </c>
      <c r="N270" s="567"/>
      <c r="O270" s="605" t="s">
        <v>1681</v>
      </c>
      <c r="P270" s="567" t="s">
        <v>1691</v>
      </c>
    </row>
    <row r="271" spans="1:16" customFormat="1" ht="12.75" customHeight="1" x14ac:dyDescent="0.2">
      <c r="A271" s="567"/>
      <c r="B271" s="567"/>
      <c r="C271" s="567"/>
      <c r="D271" s="567" t="s">
        <v>1697</v>
      </c>
      <c r="E271" s="567"/>
      <c r="F271" s="567"/>
      <c r="G271" s="568" t="s">
        <v>2879</v>
      </c>
      <c r="H271" s="568" t="s">
        <v>296</v>
      </c>
      <c r="I271" s="678"/>
      <c r="J271" s="294" t="str">
        <f>IF(ISBLANK(HLOOKUP(CaseName,CaseData,MATCH($G271,cases!$G$4:$G$2458,0),FALSE)),"",HLOOKUP(CaseName,CaseData,MATCH($G271,cases!$G$4:$G$2458,0),FALSE))</f>
        <v/>
      </c>
      <c r="K271" s="577">
        <v>0.01</v>
      </c>
      <c r="L271" s="298">
        <f t="shared" si="14"/>
        <v>0.01</v>
      </c>
      <c r="M271" s="568" t="s">
        <v>296</v>
      </c>
      <c r="N271" s="567"/>
      <c r="O271" s="605" t="s">
        <v>1681</v>
      </c>
      <c r="P271" s="567" t="s">
        <v>1699</v>
      </c>
    </row>
    <row r="272" spans="1:16" customFormat="1" ht="12.75" customHeight="1" x14ac:dyDescent="0.2">
      <c r="A272" s="567"/>
      <c r="B272" s="567"/>
      <c r="C272" s="567" t="s">
        <v>1652</v>
      </c>
      <c r="D272" s="567"/>
      <c r="E272" s="567"/>
      <c r="F272" s="567"/>
      <c r="G272" s="568" t="s">
        <v>2880</v>
      </c>
      <c r="H272" s="568" t="s">
        <v>296</v>
      </c>
      <c r="I272" s="678"/>
      <c r="J272" s="294" t="str">
        <f>IF(ISBLANK(HLOOKUP(CaseName,CaseData,MATCH($G272,cases!$G$4:$G$2458,0),FALSE)),"",HLOOKUP(CaseName,CaseData,MATCH($G272,cases!$G$4:$G$2458,0),FALSE))</f>
        <v/>
      </c>
      <c r="K272" s="577">
        <f>(L243/(L243+0.8))^2</f>
        <v>6.8801678764196249E-7</v>
      </c>
      <c r="L272" s="298">
        <f t="shared" si="14"/>
        <v>6.8801678764196249E-7</v>
      </c>
      <c r="M272" s="568" t="s">
        <v>296</v>
      </c>
      <c r="N272" s="567"/>
      <c r="O272" s="605" t="s">
        <v>1685</v>
      </c>
      <c r="P272" s="567" t="s">
        <v>1691</v>
      </c>
    </row>
    <row r="273" spans="1:16" customFormat="1" ht="12.75" customHeight="1" x14ac:dyDescent="0.2">
      <c r="A273" s="567" t="s">
        <v>2881</v>
      </c>
      <c r="B273" s="567"/>
      <c r="C273" s="567"/>
      <c r="D273" s="567"/>
      <c r="E273" s="567"/>
      <c r="F273" s="567"/>
      <c r="G273" s="568" t="s">
        <v>2882</v>
      </c>
      <c r="H273" s="568" t="s">
        <v>340</v>
      </c>
      <c r="I273" s="678"/>
      <c r="J273" s="294" t="str">
        <f>IF(ISBLANK(HLOOKUP(CaseName,CaseData,MATCH($G273,cases!$G$4:$G$2458,0),FALSE)),"",HLOOKUP(CaseName,CaseData,MATCH($G273,cases!$G$4:$G$2458,0),FALSE))</f>
        <v/>
      </c>
      <c r="K273" s="577">
        <f>(L274*L13*L11)/(L5)</f>
        <v>1.3727438230988073E-7</v>
      </c>
      <c r="L273" s="298">
        <f t="shared" ref="L273:L304" si="15">IF(ISBLANK(I273),IF(ISNUMBER(J273)=FALSE,K273,J273),I273)</f>
        <v>1.3727438230988073E-7</v>
      </c>
      <c r="M273" s="568" t="s">
        <v>340</v>
      </c>
      <c r="N273" s="567"/>
      <c r="O273" s="605"/>
      <c r="P273" s="567"/>
    </row>
    <row r="274" spans="1:16" customFormat="1" ht="12.75" customHeight="1" x14ac:dyDescent="0.2">
      <c r="A274" s="567"/>
      <c r="B274" s="567" t="s">
        <v>1676</v>
      </c>
      <c r="C274" s="567"/>
      <c r="D274" s="567"/>
      <c r="E274" s="567"/>
      <c r="F274" s="567"/>
      <c r="G274" s="568" t="s">
        <v>2883</v>
      </c>
      <c r="H274" s="568" t="s">
        <v>873</v>
      </c>
      <c r="I274" s="678"/>
      <c r="J274" s="294" t="str">
        <f>IF(ISBLANK(HLOOKUP(CaseName,CaseData,MATCH($G274,cases!$G$4:$G$2458,0),FALSE)),"",HLOOKUP(CaseName,CaseData,MATCH($G274,cases!$G$4:$G$2458,0),FALSE))</f>
        <v/>
      </c>
      <c r="K274" s="577">
        <f>1/(L264+L275)+L255</f>
        <v>2.7454868225513206E-4</v>
      </c>
      <c r="L274" s="298">
        <f t="shared" si="15"/>
        <v>2.7454868225513206E-4</v>
      </c>
      <c r="M274" s="568" t="s">
        <v>873</v>
      </c>
      <c r="N274" s="567"/>
      <c r="O274" s="605"/>
      <c r="P274" s="567"/>
    </row>
    <row r="275" spans="1:16" customFormat="1" ht="12.75" customHeight="1" x14ac:dyDescent="0.2">
      <c r="A275" s="567"/>
      <c r="B275" s="567" t="s">
        <v>1683</v>
      </c>
      <c r="C275" s="567"/>
      <c r="D275" s="567"/>
      <c r="E275" s="567"/>
      <c r="F275" s="567"/>
      <c r="G275" s="568" t="s">
        <v>2884</v>
      </c>
      <c r="H275" s="568" t="s">
        <v>1680</v>
      </c>
      <c r="I275" s="678"/>
      <c r="J275" s="294" t="str">
        <f>IF(ISBLANK(HLOOKUP(CaseName,CaseData,MATCH($G275,cases!$G$4:$G$2458,0),FALSE)),"",HLOOKUP(CaseName,CaseData,MATCH($G275,cases!$G$4:$G$2458,0),FALSE))</f>
        <v/>
      </c>
      <c r="K275" s="577">
        <f>1/(L266*(L276+L277+L278))</f>
        <v>3588.62656091485</v>
      </c>
      <c r="L275" s="298">
        <f t="shared" si="15"/>
        <v>3588.62656091485</v>
      </c>
      <c r="M275" s="568" t="s">
        <v>1680</v>
      </c>
      <c r="N275" s="567"/>
      <c r="O275" s="605"/>
      <c r="P275" s="567"/>
    </row>
    <row r="276" spans="1:16" customFormat="1" ht="12.75" customHeight="1" x14ac:dyDescent="0.2">
      <c r="A276" s="567"/>
      <c r="B276" s="567"/>
      <c r="C276" s="567" t="s">
        <v>1648</v>
      </c>
      <c r="D276" s="567"/>
      <c r="E276" s="567"/>
      <c r="F276" s="567"/>
      <c r="G276" s="568" t="s">
        <v>2885</v>
      </c>
      <c r="H276" s="568" t="s">
        <v>296</v>
      </c>
      <c r="I276" s="678"/>
      <c r="J276" s="294" t="str">
        <f>IF(ISBLANK(HLOOKUP(CaseName,CaseData,MATCH($G276,cases!$G$4:$G$2458,0),FALSE)),"",HLOOKUP(CaseName,CaseData,MATCH($G276,cases!$G$4:$G$2458,0),FALSE))</f>
        <v/>
      </c>
      <c r="K276" s="577">
        <f>L256^(-2/3)</f>
        <v>1.4075475589468128E-3</v>
      </c>
      <c r="L276" s="298">
        <f t="shared" si="15"/>
        <v>1.4075475589468128E-3</v>
      </c>
      <c r="M276" s="568" t="s">
        <v>296</v>
      </c>
      <c r="N276" s="567"/>
      <c r="O276" s="605"/>
      <c r="P276" s="567" t="s">
        <v>1691</v>
      </c>
    </row>
    <row r="277" spans="1:16" customFormat="1" ht="12.75" customHeight="1" x14ac:dyDescent="0.2">
      <c r="A277" s="567"/>
      <c r="B277" s="567"/>
      <c r="C277" s="567" t="s">
        <v>1650</v>
      </c>
      <c r="D277" s="567"/>
      <c r="E277" s="567"/>
      <c r="F277" s="567"/>
      <c r="G277" s="568" t="s">
        <v>2886</v>
      </c>
      <c r="H277" s="568" t="s">
        <v>296</v>
      </c>
      <c r="I277" s="678"/>
      <c r="J277" s="294" t="str">
        <f>IF(ISBLANK(HLOOKUP(CaseName,CaseData,MATCH($G277,cases!$G$4:$G$2458,0),FALSE)),"",HLOOKUP(CaseName,CaseData,MATCH($G277,cases!$G$4:$G$2458,0),FALSE))</f>
        <v/>
      </c>
      <c r="K277" s="577">
        <f>0.3*(L271*(L236/(L236+L269))+(1-L271)*(L236/(L236+L270)))</f>
        <v>4.0499237605021189E-5</v>
      </c>
      <c r="L277" s="298">
        <f t="shared" si="15"/>
        <v>4.0499237605021189E-5</v>
      </c>
      <c r="M277" s="568" t="s">
        <v>296</v>
      </c>
      <c r="N277" s="567"/>
      <c r="O277" s="605"/>
      <c r="P277" s="567" t="s">
        <v>1691</v>
      </c>
    </row>
    <row r="278" spans="1:16" customFormat="1" ht="12.75" customHeight="1" x14ac:dyDescent="0.2">
      <c r="A278" s="567"/>
      <c r="B278" s="567"/>
      <c r="C278" s="567" t="s">
        <v>1652</v>
      </c>
      <c r="D278" s="567"/>
      <c r="E278" s="567"/>
      <c r="F278" s="567"/>
      <c r="G278" s="568" t="s">
        <v>2887</v>
      </c>
      <c r="H278" s="568" t="s">
        <v>296</v>
      </c>
      <c r="I278" s="678"/>
      <c r="J278" s="294" t="str">
        <f>IF(ISBLANK(HLOOKUP(CaseName,CaseData,MATCH($G278,cases!$G$4:$G$2458,0),FALSE)),"",HLOOKUP(CaseName,CaseData,MATCH($G278,cases!$G$4:$G$2458,0),FALSE))</f>
        <v/>
      </c>
      <c r="K278" s="577">
        <f>(L254/(L254+0.8))^2</f>
        <v>1.8574989080578862E-5</v>
      </c>
      <c r="L278" s="298">
        <f t="shared" si="15"/>
        <v>1.8574989080578862E-5</v>
      </c>
      <c r="M278" s="568" t="s">
        <v>296</v>
      </c>
      <c r="N278" s="567"/>
      <c r="O278" s="605"/>
      <c r="P278" s="567" t="s">
        <v>1691</v>
      </c>
    </row>
    <row r="279" spans="1:16" customFormat="1" ht="12.75" customHeight="1" x14ac:dyDescent="0.2">
      <c r="A279" s="567" t="s">
        <v>2888</v>
      </c>
      <c r="B279" s="567"/>
      <c r="C279" s="567"/>
      <c r="D279" s="567"/>
      <c r="E279" s="567"/>
      <c r="F279" s="567"/>
      <c r="G279" s="568" t="s">
        <v>2889</v>
      </c>
      <c r="H279" s="568" t="s">
        <v>340</v>
      </c>
      <c r="I279" s="678"/>
      <c r="J279" s="294" t="str">
        <f>IF(ISBLANK(HLOOKUP(CaseName,CaseData,MATCH($G279,cases!$G$4:$G$2458,0),FALSE)),"",HLOOKUP(CaseName,CaseData,MATCH($G279,cases!$G$4:$G$2458,0),FALSE))</f>
        <v/>
      </c>
      <c r="K279" s="577">
        <f>(L91*L13*L11)/(L5)</f>
        <v>5.0000015000004499E-7</v>
      </c>
      <c r="L279" s="298">
        <f t="shared" si="15"/>
        <v>5.0000015000004499E-7</v>
      </c>
      <c r="M279" s="568" t="s">
        <v>340</v>
      </c>
      <c r="N279" s="567" t="s">
        <v>2421</v>
      </c>
      <c r="O279" s="605"/>
      <c r="P279" s="567"/>
    </row>
    <row r="280" spans="1:16" customFormat="1" ht="12.75" customHeight="1" x14ac:dyDescent="0.2">
      <c r="A280" s="567" t="s">
        <v>2890</v>
      </c>
      <c r="B280" s="567"/>
      <c r="C280" s="567"/>
      <c r="D280" s="567"/>
      <c r="E280" s="567"/>
      <c r="F280" s="567"/>
      <c r="G280" s="568" t="s">
        <v>2891</v>
      </c>
      <c r="H280" s="568" t="s">
        <v>340</v>
      </c>
      <c r="I280" s="678"/>
      <c r="J280" s="294" t="str">
        <f>IF(ISBLANK(HLOOKUP(CaseName,CaseData,MATCH($G280,cases!$G$4:$G$2458,0),FALSE)),"",HLOOKUP(CaseName,CaseData,MATCH($G280,cases!$G$4:$G$2458,0),FALSE))</f>
        <v/>
      </c>
      <c r="K280" s="577">
        <f>(L281*L12*L11)/(L5)</f>
        <v>2.2420985504462281E-6</v>
      </c>
      <c r="L280" s="298">
        <f t="shared" si="15"/>
        <v>2.2420985504462281E-6</v>
      </c>
      <c r="M280" s="568" t="s">
        <v>340</v>
      </c>
      <c r="N280" s="567"/>
      <c r="O280" s="605"/>
      <c r="P280" s="567"/>
    </row>
    <row r="281" spans="1:16" customFormat="1" ht="12.75" customHeight="1" x14ac:dyDescent="0.2">
      <c r="A281" s="567"/>
      <c r="B281" s="567" t="s">
        <v>1676</v>
      </c>
      <c r="C281" s="567"/>
      <c r="D281" s="567"/>
      <c r="E281" s="567"/>
      <c r="F281" s="567"/>
      <c r="G281" s="568" t="s">
        <v>2892</v>
      </c>
      <c r="H281" s="568" t="s">
        <v>873</v>
      </c>
      <c r="I281" s="678"/>
      <c r="J281" s="294" t="str">
        <f>IF(ISBLANK(HLOOKUP(CaseName,CaseData,MATCH($G281,cases!$G$4:$G$2458,0),FALSE)),"",HLOOKUP(CaseName,CaseData,MATCH($G281,cases!$G$4:$G$2458,0),FALSE))</f>
        <v/>
      </c>
      <c r="K281" s="577">
        <f>1/(L282+L283)+L244</f>
        <v>4.4841957556333257E-3</v>
      </c>
      <c r="L281" s="298">
        <f t="shared" si="15"/>
        <v>4.4841957556333257E-3</v>
      </c>
      <c r="M281" s="568" t="s">
        <v>873</v>
      </c>
      <c r="N281" s="567"/>
      <c r="O281" s="605"/>
      <c r="P281" s="567"/>
    </row>
    <row r="282" spans="1:16" customFormat="1" ht="12.75" customHeight="1" x14ac:dyDescent="0.2">
      <c r="A282" s="567"/>
      <c r="B282" s="567"/>
      <c r="C282" s="567" t="s">
        <v>1772</v>
      </c>
      <c r="D282" s="567"/>
      <c r="E282" s="567"/>
      <c r="F282" s="567"/>
      <c r="G282" s="567" t="s">
        <v>2893</v>
      </c>
      <c r="H282" s="568" t="s">
        <v>1680</v>
      </c>
      <c r="I282" s="678"/>
      <c r="J282" s="294" t="str">
        <f>IF(ISBLANK(HLOOKUP(CaseName,CaseData,MATCH($G282,cases!$G$4:$G$2458,0),FALSE)),"",HLOOKUP(CaseName,CaseData,MATCH($G282,cases!$G$4:$G$2458,0),FALSE))</f>
        <v/>
      </c>
      <c r="K282" s="577">
        <v>135</v>
      </c>
      <c r="L282" s="298">
        <f t="shared" si="15"/>
        <v>135</v>
      </c>
      <c r="M282" s="568" t="s">
        <v>1680</v>
      </c>
      <c r="N282" s="567"/>
      <c r="O282" s="605"/>
      <c r="P282" s="567" t="s">
        <v>1682</v>
      </c>
    </row>
    <row r="283" spans="1:16" customFormat="1" ht="12.75" customHeight="1" x14ac:dyDescent="0.2">
      <c r="A283" s="567"/>
      <c r="B283" s="567"/>
      <c r="C283" s="567" t="s">
        <v>2894</v>
      </c>
      <c r="D283" s="567"/>
      <c r="E283" s="567"/>
      <c r="F283" s="567"/>
      <c r="G283" s="568" t="s">
        <v>2895</v>
      </c>
      <c r="H283" s="568" t="s">
        <v>1680</v>
      </c>
      <c r="I283" s="678"/>
      <c r="J283" s="294" t="str">
        <f>IF(ISBLANK(HLOOKUP(CaseName,CaseData,MATCH($G283,cases!$G$4:$G$2458,0),FALSE)),"",HLOOKUP(CaseName,CaseData,MATCH($G283,cases!$G$4:$G$2458,0),FALSE))</f>
        <v/>
      </c>
      <c r="K283" s="577">
        <f>1/(L284*(L285+L286))</f>
        <v>88.019933355846689</v>
      </c>
      <c r="L283" s="298">
        <f t="shared" si="15"/>
        <v>88.019933355846689</v>
      </c>
      <c r="M283" s="568" t="s">
        <v>1680</v>
      </c>
      <c r="N283" s="567"/>
      <c r="O283" s="605"/>
      <c r="P283" s="567"/>
    </row>
    <row r="284" spans="1:16" customFormat="1" ht="12.75" customHeight="1" x14ac:dyDescent="0.2">
      <c r="A284" s="567"/>
      <c r="B284" s="567"/>
      <c r="C284" s="567" t="s">
        <v>1760</v>
      </c>
      <c r="D284" s="567"/>
      <c r="E284" s="567"/>
      <c r="F284" s="567"/>
      <c r="G284" s="568" t="s">
        <v>2896</v>
      </c>
      <c r="H284" s="568" t="s">
        <v>873</v>
      </c>
      <c r="I284" s="678"/>
      <c r="J284" s="294" t="str">
        <f>IF(ISBLANK(HLOOKUP(CaseName,CaseData,MATCH($G284,cases!$G$4:$G$2458,0),FALSE)),"",HLOOKUP(CaseName,CaseData,MATCH($G284,cases!$G$4:$G$2458,0),FALSE))</f>
        <v/>
      </c>
      <c r="K284" s="577">
        <v>0.19</v>
      </c>
      <c r="L284" s="298">
        <f t="shared" si="15"/>
        <v>0.19</v>
      </c>
      <c r="M284" s="568" t="s">
        <v>873</v>
      </c>
      <c r="N284" s="567"/>
      <c r="O284" s="605" t="s">
        <v>1688</v>
      </c>
      <c r="P284" s="567" t="s">
        <v>1689</v>
      </c>
    </row>
    <row r="285" spans="1:16" customFormat="1" ht="12.75" customHeight="1" x14ac:dyDescent="0.2">
      <c r="A285" s="567"/>
      <c r="B285" s="567"/>
      <c r="C285" s="567"/>
      <c r="D285" s="567" t="s">
        <v>1648</v>
      </c>
      <c r="E285" s="567"/>
      <c r="F285" s="567"/>
      <c r="G285" s="568" t="s">
        <v>2897</v>
      </c>
      <c r="H285" s="568" t="s">
        <v>296</v>
      </c>
      <c r="I285" s="678"/>
      <c r="J285" s="294" t="str">
        <f>IF(ISBLANK(HLOOKUP(CaseName,CaseData,MATCH($G285,cases!$G$4:$G$2458,0),FALSE)),"",HLOOKUP(CaseName,CaseData,MATCH($G285,cases!$G$4:$G$2458,0),FALSE))</f>
        <v/>
      </c>
      <c r="K285" s="577">
        <f>L245^-(1/2)</f>
        <v>5.9795067936020407E-2</v>
      </c>
      <c r="L285" s="298">
        <f t="shared" si="15"/>
        <v>5.9795067936020407E-2</v>
      </c>
      <c r="M285" s="568" t="s">
        <v>296</v>
      </c>
      <c r="N285" s="567"/>
      <c r="O285" s="605"/>
      <c r="P285" s="567"/>
    </row>
    <row r="286" spans="1:16" customFormat="1" ht="12.75" customHeight="1" x14ac:dyDescent="0.2">
      <c r="A286" s="567"/>
      <c r="B286" s="567"/>
      <c r="C286" s="567"/>
      <c r="D286" s="567" t="s">
        <v>1652</v>
      </c>
      <c r="E286" s="567"/>
      <c r="F286" s="567"/>
      <c r="G286" s="568" t="s">
        <v>2898</v>
      </c>
      <c r="H286" s="568" t="s">
        <v>296</v>
      </c>
      <c r="I286" s="678"/>
      <c r="J286" s="294" t="str">
        <f>IF(ISBLANK(HLOOKUP(CaseName,CaseData,MATCH($G286,cases!$G$4:$G$2458,0),FALSE)),"",HLOOKUP(CaseName,CaseData,MATCH($G286,cases!$G$4:$G$2458,0),FALSE))</f>
        <v/>
      </c>
      <c r="K286" s="577">
        <f>10^(-3/L243)</f>
        <v>0</v>
      </c>
      <c r="L286" s="298">
        <f t="shared" si="15"/>
        <v>0</v>
      </c>
      <c r="M286" s="568" t="s">
        <v>296</v>
      </c>
      <c r="N286" s="567"/>
      <c r="O286" s="605"/>
      <c r="P286" s="567"/>
    </row>
    <row r="287" spans="1:16" customFormat="1" ht="12.75" customHeight="1" x14ac:dyDescent="0.2">
      <c r="A287" s="567" t="s">
        <v>2899</v>
      </c>
      <c r="B287" s="567"/>
      <c r="C287" s="567"/>
      <c r="D287" s="567"/>
      <c r="E287" s="567"/>
      <c r="F287" s="567"/>
      <c r="G287" s="567" t="s">
        <v>2900</v>
      </c>
      <c r="H287" s="568" t="s">
        <v>340</v>
      </c>
      <c r="I287" s="678"/>
      <c r="J287" s="294" t="str">
        <f>IF(ISBLANK(HLOOKUP(CaseName,CaseData,MATCH($G287,cases!$G$4:$G$2458,0),FALSE)),"",HLOOKUP(CaseName,CaseData,MATCH($G287,cases!$G$4:$G$2458,0),FALSE))</f>
        <v/>
      </c>
      <c r="K287" s="577">
        <f>L288*L12*L11/L5</f>
        <v>5.8265132799394667E-7</v>
      </c>
      <c r="L287" s="298">
        <f t="shared" si="15"/>
        <v>5.8265132799394667E-7</v>
      </c>
      <c r="M287" s="568" t="s">
        <v>340</v>
      </c>
      <c r="N287" s="567"/>
      <c r="O287" s="605"/>
      <c r="P287" s="567"/>
    </row>
    <row r="288" spans="1:16" customFormat="1" ht="12.75" customHeight="1" x14ac:dyDescent="0.2">
      <c r="A288" s="567"/>
      <c r="B288" s="567" t="s">
        <v>1676</v>
      </c>
      <c r="C288" s="567"/>
      <c r="D288" s="567"/>
      <c r="E288" s="567"/>
      <c r="F288" s="567"/>
      <c r="G288" s="568" t="s">
        <v>2901</v>
      </c>
      <c r="H288" s="568" t="s">
        <v>873</v>
      </c>
      <c r="I288" s="678"/>
      <c r="J288" s="294" t="str">
        <f>IF(ISBLANK(HLOOKUP(CaseName,CaseData,MATCH($G288,cases!$G$4:$G$2458,0),FALSE)),"",HLOOKUP(CaseName,CaseData,MATCH($G288,cases!$G$4:$G$2458,0),FALSE))</f>
        <v/>
      </c>
      <c r="K288" s="577">
        <f>1/(L282+L289)+L255</f>
        <v>1.1653023063970967E-3</v>
      </c>
      <c r="L288" s="298">
        <f t="shared" si="15"/>
        <v>1.1653023063970967E-3</v>
      </c>
      <c r="M288" s="568" t="s">
        <v>873</v>
      </c>
      <c r="N288" s="567"/>
      <c r="O288" s="605"/>
      <c r="P288" s="567"/>
    </row>
    <row r="289" spans="1:16" customFormat="1" ht="12.75" customHeight="1" x14ac:dyDescent="0.2">
      <c r="A289" s="567"/>
      <c r="B289" s="567"/>
      <c r="C289" s="567" t="s">
        <v>1758</v>
      </c>
      <c r="D289" s="567"/>
      <c r="E289" s="567"/>
      <c r="F289" s="567"/>
      <c r="G289" s="568" t="s">
        <v>2902</v>
      </c>
      <c r="H289" s="568" t="s">
        <v>1680</v>
      </c>
      <c r="I289" s="678"/>
      <c r="J289" s="294" t="str">
        <f>IF(ISBLANK(HLOOKUP(CaseName,CaseData,MATCH($G289,cases!$G$4:$G$2458,0),FALSE)),"",HLOOKUP(CaseName,CaseData,MATCH($G289,cases!$G$4:$G$2458,0),FALSE))</f>
        <v/>
      </c>
      <c r="K289" s="577">
        <f>1/(L284*(L290+L291))</f>
        <v>724.26765512559666</v>
      </c>
      <c r="L289" s="298">
        <f t="shared" si="15"/>
        <v>724.26765512559666</v>
      </c>
      <c r="M289" s="568" t="s">
        <v>1680</v>
      </c>
      <c r="N289" s="567"/>
      <c r="O289" s="567"/>
      <c r="P289" s="605"/>
    </row>
    <row r="290" spans="1:16" customFormat="1" ht="12.75" customHeight="1" x14ac:dyDescent="0.2">
      <c r="A290" s="567"/>
      <c r="B290" s="567"/>
      <c r="C290" s="567"/>
      <c r="D290" s="567" t="s">
        <v>1648</v>
      </c>
      <c r="E290" s="567"/>
      <c r="F290" s="567"/>
      <c r="G290" s="568" t="s">
        <v>2903</v>
      </c>
      <c r="H290" s="568" t="s">
        <v>296</v>
      </c>
      <c r="I290" s="678"/>
      <c r="J290" s="294" t="str">
        <f>IF(ISBLANK(HLOOKUP(CaseName,CaseData,MATCH($G290,cases!$G$4:$G$2458,0),FALSE)),"",HLOOKUP(CaseName,CaseData,MATCH($G290,cases!$G$4:$G$2458,0),FALSE))</f>
        <v/>
      </c>
      <c r="K290" s="577">
        <f>L256^-(1/2)</f>
        <v>7.2668686189281051E-3</v>
      </c>
      <c r="L290" s="298">
        <f t="shared" si="15"/>
        <v>7.2668686189281051E-3</v>
      </c>
      <c r="M290" s="568" t="s">
        <v>296</v>
      </c>
      <c r="N290" s="567"/>
      <c r="O290" s="567"/>
      <c r="P290" s="605"/>
    </row>
    <row r="291" spans="1:16" customFormat="1" ht="12.75" customHeight="1" x14ac:dyDescent="0.2">
      <c r="A291" s="567"/>
      <c r="B291" s="567"/>
      <c r="C291" s="567"/>
      <c r="D291" s="567" t="s">
        <v>1652</v>
      </c>
      <c r="E291" s="567"/>
      <c r="F291" s="567"/>
      <c r="G291" s="568" t="s">
        <v>2904</v>
      </c>
      <c r="H291" s="568" t="s">
        <v>296</v>
      </c>
      <c r="I291" s="678"/>
      <c r="J291" s="294" t="str">
        <f>IF(ISBLANK(HLOOKUP(CaseName,CaseData,MATCH($G291,cases!$G$4:$G$2458,0),FALSE)),"",HLOOKUP(CaseName,CaseData,MATCH($G291,cases!$G$4:$G$2458,0),FALSE))</f>
        <v/>
      </c>
      <c r="K291" s="577">
        <f>10^(-3/L254)</f>
        <v>0</v>
      </c>
      <c r="L291" s="298">
        <f t="shared" si="15"/>
        <v>0</v>
      </c>
      <c r="M291" s="568" t="s">
        <v>296</v>
      </c>
      <c r="N291" s="567"/>
      <c r="O291" s="567"/>
      <c r="P291" s="605"/>
    </row>
    <row r="292" spans="1:16" customFormat="1" ht="12.75" customHeight="1" x14ac:dyDescent="0.2">
      <c r="A292" s="567" t="s">
        <v>2905</v>
      </c>
      <c r="B292" s="567"/>
      <c r="C292" s="567"/>
      <c r="D292" s="567"/>
      <c r="E292" s="567"/>
      <c r="F292" s="567"/>
      <c r="G292" s="567" t="s">
        <v>2906</v>
      </c>
      <c r="H292" s="568" t="s">
        <v>340</v>
      </c>
      <c r="I292" s="678"/>
      <c r="J292" s="294" t="str">
        <f>IF(ISBLANK(HLOOKUP(CaseName,CaseData,MATCH($G292,cases!$G$4:$G$2458,0),FALSE)),"",HLOOKUP(CaseName,CaseData,MATCH($G292,cases!$G$4:$G$2458,0),FALSE))</f>
        <v/>
      </c>
      <c r="K292" s="577">
        <f>(L91*L12*L11)/L5</f>
        <v>5.0000015000004499E-7</v>
      </c>
      <c r="L292" s="298">
        <f t="shared" si="15"/>
        <v>5.0000015000004499E-7</v>
      </c>
      <c r="M292" s="568" t="s">
        <v>340</v>
      </c>
      <c r="N292" s="567"/>
      <c r="O292" s="605"/>
      <c r="P292" s="567"/>
    </row>
    <row r="293" spans="1:16" customFormat="1" ht="12.75" customHeight="1" x14ac:dyDescent="0.2">
      <c r="A293" s="567" t="s">
        <v>2907</v>
      </c>
      <c r="B293" s="567"/>
      <c r="C293" s="567"/>
      <c r="D293" s="567"/>
      <c r="E293" s="567"/>
      <c r="F293" s="567"/>
      <c r="G293" s="568" t="s">
        <v>2908</v>
      </c>
      <c r="H293" s="568" t="s">
        <v>340</v>
      </c>
      <c r="I293" s="678"/>
      <c r="J293" s="294" t="str">
        <f>IF(ISBLANK(HLOOKUP(CaseName,CaseData,MATCH($G293,cases!$G$4:$G$2458,0),FALSE)),"",HLOOKUP(CaseName,CaseData,MATCH($G293,cases!$G$4:$G$2458,0),FALSE))</f>
        <v/>
      </c>
      <c r="K293" s="577">
        <f>(L92*L13*L11)/(L6)</f>
        <v>3.699476841282254E-5</v>
      </c>
      <c r="L293" s="298">
        <f t="shared" si="15"/>
        <v>3.699476841282254E-5</v>
      </c>
      <c r="M293" s="568" t="s">
        <v>340</v>
      </c>
      <c r="N293" s="567"/>
      <c r="O293" s="605"/>
      <c r="P293" s="567"/>
    </row>
    <row r="294" spans="1:16" customFormat="1" ht="12.75" customHeight="1" x14ac:dyDescent="0.2">
      <c r="A294" s="567" t="s">
        <v>2909</v>
      </c>
      <c r="B294" s="567"/>
      <c r="C294" s="567"/>
      <c r="D294" s="567"/>
      <c r="E294" s="567"/>
      <c r="F294" s="567"/>
      <c r="G294" s="568" t="s">
        <v>2910</v>
      </c>
      <c r="H294" s="568" t="s">
        <v>340</v>
      </c>
      <c r="I294" s="678"/>
      <c r="J294" s="294" t="str">
        <f>IF(ISBLANK(HLOOKUP(CaseName,CaseData,MATCH($G294,cases!$G$4:$G$2458,0),FALSE)),"",HLOOKUP(CaseName,CaseData,MATCH($G294,cases!$G$4:$G$2458,0),FALSE))</f>
        <v/>
      </c>
      <c r="K294" s="577">
        <f>(L92*L13*L11)/(L6)</f>
        <v>3.699476841282254E-5</v>
      </c>
      <c r="L294" s="298">
        <f t="shared" si="15"/>
        <v>3.699476841282254E-5</v>
      </c>
      <c r="M294" s="568" t="s">
        <v>340</v>
      </c>
      <c r="N294" s="567"/>
      <c r="O294" s="605"/>
      <c r="P294" s="567"/>
    </row>
    <row r="295" spans="1:16" customFormat="1" ht="12.75" customHeight="1" x14ac:dyDescent="0.2">
      <c r="A295" s="567" t="s">
        <v>2911</v>
      </c>
      <c r="B295" s="567"/>
      <c r="C295" s="567"/>
      <c r="D295" s="567"/>
      <c r="E295" s="567"/>
      <c r="F295" s="567"/>
      <c r="G295" s="568" t="s">
        <v>2912</v>
      </c>
      <c r="H295" s="568" t="s">
        <v>340</v>
      </c>
      <c r="I295" s="678"/>
      <c r="J295" s="294" t="str">
        <f>IF(ISBLANK(HLOOKUP(CaseName,CaseData,MATCH($G295,cases!$G$4:$G$2458,0),FALSE)),"",HLOOKUP(CaseName,CaseData,MATCH($G295,cases!$G$4:$G$2458,0),FALSE))</f>
        <v/>
      </c>
      <c r="K295" s="577">
        <f>(L92*L13*L11)/(L6)</f>
        <v>3.699476841282254E-5</v>
      </c>
      <c r="L295" s="298">
        <f t="shared" si="15"/>
        <v>3.699476841282254E-5</v>
      </c>
      <c r="M295" s="568" t="s">
        <v>340</v>
      </c>
      <c r="N295" s="567"/>
      <c r="O295" s="605"/>
      <c r="P295" s="567"/>
    </row>
    <row r="296" spans="1:16" customFormat="1" ht="12.75" customHeight="1" x14ac:dyDescent="0.2">
      <c r="A296" s="567" t="s">
        <v>2913</v>
      </c>
      <c r="B296" s="567"/>
      <c r="C296" s="567"/>
      <c r="D296" s="567"/>
      <c r="E296" s="567"/>
      <c r="F296" s="567"/>
      <c r="G296" s="568" t="s">
        <v>2914</v>
      </c>
      <c r="H296" s="568" t="s">
        <v>340</v>
      </c>
      <c r="I296" s="678"/>
      <c r="J296" s="294" t="str">
        <f>IF(ISBLANK(HLOOKUP(CaseName,CaseData,MATCH($G296,cases!$G$4:$G$2458,0),FALSE)),"",HLOOKUP(CaseName,CaseData,MATCH($G296,cases!$G$4:$G$2458,0),FALSE))</f>
        <v/>
      </c>
      <c r="K296" s="577">
        <f>(L92*L12*L11)/(L6)</f>
        <v>3.699476841282254E-5</v>
      </c>
      <c r="L296" s="298">
        <f t="shared" si="15"/>
        <v>3.699476841282254E-5</v>
      </c>
      <c r="M296" s="568" t="s">
        <v>340</v>
      </c>
      <c r="N296" s="567"/>
      <c r="O296" s="605"/>
      <c r="P296" s="567"/>
    </row>
    <row r="297" spans="1:16" customFormat="1" ht="12.75" customHeight="1" x14ac:dyDescent="0.2">
      <c r="A297" s="567" t="s">
        <v>2915</v>
      </c>
      <c r="B297" s="567"/>
      <c r="C297" s="567"/>
      <c r="D297" s="567"/>
      <c r="E297" s="567"/>
      <c r="F297" s="567"/>
      <c r="G297" s="568" t="s">
        <v>2916</v>
      </c>
      <c r="H297" s="568" t="s">
        <v>340</v>
      </c>
      <c r="I297" s="678"/>
      <c r="J297" s="294" t="str">
        <f>IF(ISBLANK(HLOOKUP(CaseName,CaseData,MATCH($G297,cases!$G$4:$G$2458,0),FALSE)),"",HLOOKUP(CaseName,CaseData,MATCH($G297,cases!$G$4:$G$2458,0),FALSE))</f>
        <v/>
      </c>
      <c r="K297" s="577">
        <f>(L92*L12*L11)/(L6)</f>
        <v>3.699476841282254E-5</v>
      </c>
      <c r="L297" s="298">
        <f t="shared" si="15"/>
        <v>3.699476841282254E-5</v>
      </c>
      <c r="M297" s="568" t="s">
        <v>340</v>
      </c>
      <c r="N297" s="567"/>
      <c r="O297" s="605"/>
      <c r="P297" s="567"/>
    </row>
    <row r="298" spans="1:16" customFormat="1" ht="12.75" customHeight="1" x14ac:dyDescent="0.2">
      <c r="A298" s="567" t="s">
        <v>2917</v>
      </c>
      <c r="B298" s="567"/>
      <c r="C298" s="567"/>
      <c r="D298" s="567"/>
      <c r="E298" s="567"/>
      <c r="F298" s="567"/>
      <c r="G298" s="568" t="s">
        <v>2918</v>
      </c>
      <c r="H298" s="568" t="s">
        <v>340</v>
      </c>
      <c r="I298" s="678"/>
      <c r="J298" s="294" t="str">
        <f>IF(ISBLANK(HLOOKUP(CaseName,CaseData,MATCH($G298,cases!$G$4:$G$2458,0),FALSE)),"",HLOOKUP(CaseName,CaseData,MATCH($G298,cases!$G$4:$G$2458,0),FALSE))</f>
        <v/>
      </c>
      <c r="K298" s="577">
        <f>(L92*L12*L11)/(L6)</f>
        <v>3.699476841282254E-5</v>
      </c>
      <c r="L298" s="298">
        <f t="shared" si="15"/>
        <v>3.699476841282254E-5</v>
      </c>
      <c r="M298" s="568" t="s">
        <v>340</v>
      </c>
      <c r="N298" s="567"/>
      <c r="O298" s="567"/>
      <c r="P298" s="801"/>
    </row>
    <row r="299" spans="1:16" customFormat="1" ht="12.75" customHeight="1" x14ac:dyDescent="0.2">
      <c r="A299" s="567" t="s">
        <v>2919</v>
      </c>
      <c r="B299" s="567"/>
      <c r="C299" s="567"/>
      <c r="D299" s="567"/>
      <c r="E299" s="567"/>
      <c r="F299" s="567"/>
      <c r="G299" s="568" t="s">
        <v>2920</v>
      </c>
      <c r="H299" s="568" t="s">
        <v>340</v>
      </c>
      <c r="I299" s="678"/>
      <c r="J299" s="294" t="str">
        <f>IF(ISBLANK(HLOOKUP(CaseName,CaseData,MATCH($G299,cases!$G$4:$G$2458,0),FALSE)),"",HLOOKUP(CaseName,CaseData,MATCH($G299,cases!$G$4:$G$2458,0),FALSE))</f>
        <v/>
      </c>
      <c r="K299" s="577">
        <f>IF((SetVelS.w*L12*L11)/(L7)&gt;0,(SetVelS.w*L12*L11)/(L7)+L41,L41)</f>
        <v>2.4911362543927156E-7</v>
      </c>
      <c r="L299" s="298">
        <f t="shared" si="15"/>
        <v>2.4911362543927156E-7</v>
      </c>
      <c r="M299" s="568" t="s">
        <v>340</v>
      </c>
      <c r="N299" s="567" t="s">
        <v>2921</v>
      </c>
      <c r="O299" s="567"/>
      <c r="P299" s="801"/>
    </row>
    <row r="300" spans="1:16" customFormat="1" ht="12.75" customHeight="1" x14ac:dyDescent="0.2">
      <c r="A300" s="567" t="s">
        <v>2922</v>
      </c>
      <c r="B300" s="567"/>
      <c r="C300" s="567"/>
      <c r="D300" s="567"/>
      <c r="E300" s="567"/>
      <c r="F300" s="567"/>
      <c r="G300" s="568" t="s">
        <v>2923</v>
      </c>
      <c r="H300" s="568" t="s">
        <v>340</v>
      </c>
      <c r="I300" s="678"/>
      <c r="J300" s="294" t="str">
        <f>IF(ISBLANK(HLOOKUP(CaseName,CaseData,MATCH($G300,cases!$G$4:$G$2458,0),FALSE)),"",HLOOKUP(CaseName,CaseData,MATCH($G300,cases!$G$4:$G$2458,0),FALSE))</f>
        <v/>
      </c>
      <c r="K300" s="577">
        <f>IF((SetVelA.w*L12*L11)/(L7)&gt;0,(SetVelA.w*L12*L11)/(L7)+L41,L41)</f>
        <v>2.4960242005646211E-7</v>
      </c>
      <c r="L300" s="298">
        <f t="shared" si="15"/>
        <v>2.4960242005646211E-7</v>
      </c>
      <c r="M300" s="568" t="s">
        <v>340</v>
      </c>
      <c r="N300" s="567" t="s">
        <v>2921</v>
      </c>
      <c r="O300" s="567"/>
      <c r="P300" s="801"/>
    </row>
    <row r="301" spans="1:16" customFormat="1" ht="12.75" customHeight="1" x14ac:dyDescent="0.2">
      <c r="A301" s="567" t="s">
        <v>2924</v>
      </c>
      <c r="B301" s="567"/>
      <c r="C301" s="567"/>
      <c r="D301" s="567"/>
      <c r="E301" s="567"/>
      <c r="F301" s="567"/>
      <c r="G301" s="568" t="s">
        <v>2925</v>
      </c>
      <c r="H301" s="568" t="s">
        <v>340</v>
      </c>
      <c r="I301" s="678"/>
      <c r="J301" s="294" t="str">
        <f>IF(ISBLANK(HLOOKUP(CaseName,CaseData,MATCH($G301,cases!$G$4:$G$2458,0),FALSE)),"",HLOOKUP(CaseName,CaseData,MATCH($G301,cases!$G$4:$G$2458,0),FALSE))</f>
        <v/>
      </c>
      <c r="K301" s="577">
        <f>IF((SetVelP.w*L12*L11)/L7&gt;0,(SetVelP.w*L12*L11)/L7+L41,L41)</f>
        <v>5.432160616078954E-7</v>
      </c>
      <c r="L301" s="298">
        <f t="shared" si="15"/>
        <v>5.432160616078954E-7</v>
      </c>
      <c r="M301" s="568" t="s">
        <v>340</v>
      </c>
      <c r="N301" s="567" t="s">
        <v>2921</v>
      </c>
      <c r="O301" s="567"/>
      <c r="P301" s="801"/>
    </row>
    <row r="302" spans="1:16" customFormat="1" ht="12.75" customHeight="1" x14ac:dyDescent="0.2">
      <c r="A302" s="567" t="s">
        <v>2926</v>
      </c>
      <c r="B302" s="567"/>
      <c r="C302" s="567"/>
      <c r="D302" s="567"/>
      <c r="E302" s="567"/>
      <c r="F302" s="567"/>
      <c r="G302" s="568" t="s">
        <v>2927</v>
      </c>
      <c r="H302" s="568" t="s">
        <v>340</v>
      </c>
      <c r="I302" s="678"/>
      <c r="J302" s="294" t="str">
        <f>IF(ISBLANK(HLOOKUP(CaseName,CaseData,MATCH($G302,cases!$G$4:$G$2458,0),FALSE)),"",HLOOKUP(CaseName,CaseData,MATCH($G302,cases!$G$4:$G$2458,0),FALSE))</f>
        <v/>
      </c>
      <c r="K302" s="577">
        <f>IF((SetVelS.w*L12*L11)/(L8)&gt;0,(SetVelS.w*L12*L11)/(L8),0)</f>
        <v>5.8597471723220236E-14</v>
      </c>
      <c r="L302" s="298">
        <f t="shared" si="15"/>
        <v>5.8597471723220236E-14</v>
      </c>
      <c r="M302" s="568" t="s">
        <v>340</v>
      </c>
      <c r="N302" s="567"/>
      <c r="O302" s="567"/>
      <c r="P302" s="801"/>
    </row>
    <row r="303" spans="1:16" customFormat="1" ht="12.75" customHeight="1" x14ac:dyDescent="0.2">
      <c r="A303" s="567" t="s">
        <v>2928</v>
      </c>
      <c r="B303" s="567"/>
      <c r="C303" s="567"/>
      <c r="D303" s="567"/>
      <c r="E303" s="567"/>
      <c r="F303" s="567"/>
      <c r="G303" s="568" t="s">
        <v>2929</v>
      </c>
      <c r="H303" s="568" t="s">
        <v>340</v>
      </c>
      <c r="I303" s="678"/>
      <c r="J303" s="294" t="str">
        <f>IF(ISBLANK(HLOOKUP(CaseName,CaseData,MATCH($G303,cases!$G$4:$G$2458,0),FALSE)),"",HLOOKUP(CaseName,CaseData,MATCH($G303,cases!$G$4:$G$2458,0),FALSE))</f>
        <v/>
      </c>
      <c r="K303" s="577">
        <f>IF((SetVelA.w*L12*L11)/(L8)&gt;0,(SetVelA.w*L12*L11)/(L8),0)</f>
        <v>1.6351751378075911E-11</v>
      </c>
      <c r="L303" s="298">
        <f t="shared" si="15"/>
        <v>1.6351751378075911E-11</v>
      </c>
      <c r="M303" s="568" t="s">
        <v>340</v>
      </c>
      <c r="N303" s="567"/>
      <c r="O303" s="567"/>
      <c r="P303" s="801"/>
    </row>
    <row r="304" spans="1:16" customFormat="1" ht="12.75" customHeight="1" x14ac:dyDescent="0.2">
      <c r="A304" s="567" t="s">
        <v>2930</v>
      </c>
      <c r="B304" s="567"/>
      <c r="C304" s="567"/>
      <c r="D304" s="567"/>
      <c r="E304" s="567"/>
      <c r="F304" s="567"/>
      <c r="G304" s="568" t="s">
        <v>2931</v>
      </c>
      <c r="H304" s="568" t="s">
        <v>340</v>
      </c>
      <c r="I304" s="678"/>
      <c r="J304" s="294" t="str">
        <f>IF(ISBLANK(HLOOKUP(CaseName,CaseData,MATCH($G304,cases!$G$4:$G$2458,0),FALSE)),"",HLOOKUP(CaseName,CaseData,MATCH($G304,cases!$G$4:$G$2458,0),FALSE))</f>
        <v/>
      </c>
      <c r="K304" s="577">
        <f>IF((SetVelP.w*L12*L11)/L8&gt;0,(SetVelP.w*L12*L11)/L8,0)</f>
        <v>9.8034731364258516E-9</v>
      </c>
      <c r="L304" s="298">
        <f t="shared" si="15"/>
        <v>9.8034731364258516E-9</v>
      </c>
      <c r="M304" s="568" t="s">
        <v>340</v>
      </c>
      <c r="N304" s="567"/>
      <c r="O304" s="567"/>
      <c r="P304" s="801"/>
    </row>
    <row r="305" spans="1:20" customFormat="1" ht="12.75" customHeight="1" x14ac:dyDescent="0.2">
      <c r="A305" s="567" t="s">
        <v>2932</v>
      </c>
      <c r="B305" s="567"/>
      <c r="C305" s="567"/>
      <c r="D305" s="567"/>
      <c r="E305" s="567"/>
      <c r="F305" s="567"/>
      <c r="G305" s="568" t="s">
        <v>2933</v>
      </c>
      <c r="H305" s="568" t="s">
        <v>340</v>
      </c>
      <c r="I305" s="678"/>
      <c r="J305" s="294" t="str">
        <f>IF(ISBLANK(HLOOKUP(CaseName,CaseData,MATCH($G305,cases!$G$4:$G$2458,0),FALSE)),"",HLOOKUP(CaseName,CaseData,MATCH($G305,cases!$G$4:$G$2458,0),FALSE))</f>
        <v/>
      </c>
      <c r="K305" s="577">
        <f>$L$108/$L$17</f>
        <v>9.6420777940804072E-9</v>
      </c>
      <c r="L305" s="298">
        <f t="shared" ref="L305:L310" si="16">IF(ISBLANK(I305),IF(ISNUMBER(J305)=FALSE,K305,J305),I305)</f>
        <v>9.6420777940804072E-9</v>
      </c>
      <c r="M305" s="568" t="s">
        <v>340</v>
      </c>
      <c r="N305" s="567" t="s">
        <v>1850</v>
      </c>
      <c r="O305" s="567"/>
      <c r="P305" s="567"/>
    </row>
    <row r="306" spans="1:20" customFormat="1" ht="12.75" customHeight="1" x14ac:dyDescent="0.2">
      <c r="A306" s="567" t="s">
        <v>2934</v>
      </c>
      <c r="B306" s="567"/>
      <c r="C306" s="567"/>
      <c r="D306" s="567"/>
      <c r="E306" s="567"/>
      <c r="F306" s="567"/>
      <c r="G306" s="568" t="s">
        <v>2935</v>
      </c>
      <c r="H306" s="568" t="s">
        <v>340</v>
      </c>
      <c r="I306" s="678"/>
      <c r="J306" s="294" t="str">
        <f>IF(ISBLANK(HLOOKUP(CaseName,CaseData,MATCH($G306,cases!$G$4:$G$2458,0),FALSE)),"",HLOOKUP(CaseName,CaseData,MATCH($G306,cases!$G$4:$G$2458,0),FALSE))</f>
        <v/>
      </c>
      <c r="K306" s="577">
        <f>$L$108/$L$17</f>
        <v>9.6420777940804072E-9</v>
      </c>
      <c r="L306" s="298">
        <f t="shared" si="16"/>
        <v>9.6420777940804072E-9</v>
      </c>
      <c r="M306" s="568" t="s">
        <v>340</v>
      </c>
      <c r="N306" s="567" t="s">
        <v>1850</v>
      </c>
      <c r="O306" s="605"/>
      <c r="P306" s="567"/>
    </row>
    <row r="307" spans="1:20" customFormat="1" ht="12.75" customHeight="1" x14ac:dyDescent="0.2">
      <c r="A307" s="567" t="s">
        <v>2936</v>
      </c>
      <c r="B307" s="567"/>
      <c r="C307" s="567"/>
      <c r="D307" s="567"/>
      <c r="E307" s="567"/>
      <c r="F307" s="567"/>
      <c r="G307" s="568" t="s">
        <v>2937</v>
      </c>
      <c r="H307" s="568" t="s">
        <v>340</v>
      </c>
      <c r="I307" s="678"/>
      <c r="J307" s="294" t="str">
        <f>IF(ISBLANK(HLOOKUP(CaseName,CaseData,MATCH($G307,cases!$G$4:$G$2458,0),FALSE)),"",HLOOKUP(CaseName,CaseData,MATCH($G307,cases!$G$4:$G$2458,0),FALSE))</f>
        <v/>
      </c>
      <c r="K307" s="577">
        <f>$L$108/$L$17</f>
        <v>9.6420777940804072E-9</v>
      </c>
      <c r="L307" s="298">
        <f t="shared" si="16"/>
        <v>9.6420777940804072E-9</v>
      </c>
      <c r="M307" s="568" t="s">
        <v>340</v>
      </c>
      <c r="N307" s="567" t="s">
        <v>1850</v>
      </c>
      <c r="O307" s="605"/>
      <c r="P307" s="567"/>
    </row>
    <row r="308" spans="1:20" customFormat="1" ht="12.75" customHeight="1" x14ac:dyDescent="0.2">
      <c r="A308" s="567" t="s">
        <v>1867</v>
      </c>
      <c r="B308" s="567"/>
      <c r="C308" s="567"/>
      <c r="D308" s="567"/>
      <c r="E308" s="567"/>
      <c r="F308" s="567"/>
      <c r="G308" s="568" t="s">
        <v>2938</v>
      </c>
      <c r="H308" s="568" t="s">
        <v>340</v>
      </c>
      <c r="I308" s="678"/>
      <c r="J308" s="294" t="str">
        <f>IF(ISBLANK(HLOOKUP(CaseName,CaseData,MATCH($G308,cases!$G$4:$G$2458,0),FALSE)),"",HLOOKUP(CaseName,CaseData,MATCH($G308,cases!$G$4:$G$2458,0),FALSE))</f>
        <v/>
      </c>
      <c r="K308" s="577">
        <f>((L120*L92*L121+L119)/L18)</f>
        <v>1.4105196107430861E-7</v>
      </c>
      <c r="L308" s="298">
        <f t="shared" si="16"/>
        <v>1.4105196107430861E-7</v>
      </c>
      <c r="M308" s="568" t="s">
        <v>340</v>
      </c>
      <c r="N308" s="567" t="s">
        <v>1869</v>
      </c>
      <c r="O308" s="680"/>
      <c r="P308" s="567"/>
    </row>
    <row r="309" spans="1:20" customFormat="1" ht="12.75" customHeight="1" x14ac:dyDescent="0.2">
      <c r="A309" s="567" t="s">
        <v>1874</v>
      </c>
      <c r="B309" s="567"/>
      <c r="C309" s="567"/>
      <c r="D309" s="567"/>
      <c r="E309" s="567"/>
      <c r="F309" s="567"/>
      <c r="G309" s="568" t="s">
        <v>2939</v>
      </c>
      <c r="H309" s="568" t="s">
        <v>340</v>
      </c>
      <c r="I309" s="678"/>
      <c r="J309" s="294" t="str">
        <f>IF(ISBLANK(HLOOKUP(CaseName,CaseData,MATCH($G309,cases!$G$4:$G$2458,0),FALSE)),"",HLOOKUP(CaseName,CaseData,MATCH($G309,cases!$G$4:$G$2458,0),FALSE))</f>
        <v/>
      </c>
      <c r="K309" s="577">
        <f>((L120*L92*L121+L119)/L18)</f>
        <v>1.4105196107430861E-7</v>
      </c>
      <c r="L309" s="298">
        <f t="shared" si="16"/>
        <v>1.4105196107430861E-7</v>
      </c>
      <c r="M309" s="568" t="s">
        <v>340</v>
      </c>
      <c r="N309" s="567" t="s">
        <v>1869</v>
      </c>
      <c r="O309" s="605"/>
      <c r="P309" s="567"/>
    </row>
    <row r="310" spans="1:20" customFormat="1" ht="12.75" customHeight="1" x14ac:dyDescent="0.2">
      <c r="A310" s="567" t="s">
        <v>1880</v>
      </c>
      <c r="B310" s="567"/>
      <c r="C310" s="567"/>
      <c r="D310" s="567"/>
      <c r="E310" s="567"/>
      <c r="F310" s="567"/>
      <c r="G310" s="568" t="s">
        <v>2940</v>
      </c>
      <c r="H310" s="568" t="s">
        <v>340</v>
      </c>
      <c r="I310" s="678"/>
      <c r="J310" s="294" t="str">
        <f>IF(ISBLANK(HLOOKUP(CaseName,CaseData,MATCH($G310,cases!$G$4:$G$2458,0),FALSE)),"",HLOOKUP(CaseName,CaseData,MATCH($G310,cases!$G$4:$G$2458,0),FALSE))</f>
        <v/>
      </c>
      <c r="K310" s="627">
        <f>(L119/L18)</f>
        <v>1.9025875190258751E-11</v>
      </c>
      <c r="L310" s="298">
        <f t="shared" si="16"/>
        <v>1.9025875190258751E-11</v>
      </c>
      <c r="M310" s="568" t="s">
        <v>340</v>
      </c>
      <c r="N310" s="567" t="s">
        <v>1882</v>
      </c>
      <c r="O310" s="605"/>
      <c r="P310" s="567"/>
    </row>
    <row r="311" spans="1:20" customFormat="1" ht="12.75" customHeight="1" x14ac:dyDescent="0.2">
      <c r="A311" s="172" t="s">
        <v>2941</v>
      </c>
      <c r="G311" s="172"/>
      <c r="H311" s="172"/>
      <c r="J311" s="294" t="str">
        <f>IF(ISBLANK(HLOOKUP(CaseName,CaseData,MATCH($G311,cases!$G$4:$G$2458,0),FALSE)),"",HLOOKUP(CaseName,CaseData,MATCH($G311,cases!$G$4:$G$2458,0),FALSE))</f>
        <v/>
      </c>
      <c r="K311" s="335"/>
      <c r="L311" s="185"/>
      <c r="N311" s="172"/>
      <c r="O311" s="176"/>
    </row>
    <row r="312" spans="1:20" customFormat="1" ht="12.75" customHeight="1" x14ac:dyDescent="0.2">
      <c r="A312" s="568" t="s">
        <v>1322</v>
      </c>
      <c r="B312" s="567"/>
      <c r="C312" s="567"/>
      <c r="D312" s="567"/>
      <c r="E312" s="567"/>
      <c r="F312" s="567"/>
      <c r="G312" s="568" t="s">
        <v>2942</v>
      </c>
      <c r="H312" s="568" t="s">
        <v>624</v>
      </c>
      <c r="I312" s="682"/>
      <c r="J312" s="294" t="str">
        <f>IF(ISBLANK(HLOOKUP(CaseName,CaseData,MATCH($G312,cases!$G$4:$G$2458,0),FALSE)),"",HLOOKUP(CaseName,CaseData,MATCH($G312,cases!$G$4:$G$2458,0),FALSE))</f>
        <v/>
      </c>
      <c r="K312" s="626">
        <f>L130+kdegS.a</f>
        <v>3.663258818281463E-10</v>
      </c>
      <c r="L312" s="298">
        <f t="shared" ref="L312:L328" si="17">IF(ISBLANK(I312),IF(ISNUMBER(J312)=FALSE,K312,J312),I312)</f>
        <v>3.663258818281463E-10</v>
      </c>
      <c r="M312" s="567" t="s">
        <v>1048</v>
      </c>
      <c r="N312" s="568"/>
      <c r="O312" s="605"/>
      <c r="P312" s="578"/>
      <c r="Q312" s="626"/>
      <c r="R312" s="386"/>
      <c r="S312" s="806"/>
      <c r="T312" s="386"/>
    </row>
    <row r="313" spans="1:20" customFormat="1" ht="12.75" customHeight="1" x14ac:dyDescent="0.2">
      <c r="A313" s="568" t="s">
        <v>1322</v>
      </c>
      <c r="B313" s="567"/>
      <c r="C313" s="567"/>
      <c r="D313" s="567"/>
      <c r="E313" s="567"/>
      <c r="F313" s="567"/>
      <c r="G313" s="568" t="s">
        <v>2943</v>
      </c>
      <c r="H313" s="568" t="s">
        <v>624</v>
      </c>
      <c r="I313" s="682"/>
      <c r="J313" s="294" t="str">
        <f>IF(ISBLANK(HLOOKUP(CaseName,CaseData,MATCH($G313,cases!$G$4:$G$2458,0),FALSE)),"",HLOOKUP(CaseName,CaseData,MATCH($G313,cases!$G$4:$G$2458,0),FALSE))</f>
        <v/>
      </c>
      <c r="K313" s="577">
        <f>L130+kdegA.a</f>
        <v>3.663258818281463E-10</v>
      </c>
      <c r="L313" s="298">
        <f t="shared" si="17"/>
        <v>3.663258818281463E-10</v>
      </c>
      <c r="M313" s="567" t="s">
        <v>1048</v>
      </c>
      <c r="N313" s="568"/>
      <c r="O313" s="605"/>
      <c r="P313" s="578"/>
      <c r="Q313" s="577"/>
      <c r="R313" s="386"/>
      <c r="S313" s="806"/>
      <c r="T313" s="386"/>
    </row>
    <row r="314" spans="1:20" customFormat="1" ht="12.75" customHeight="1" x14ac:dyDescent="0.2">
      <c r="A314" s="568" t="s">
        <v>1322</v>
      </c>
      <c r="B314" s="567"/>
      <c r="C314" s="567"/>
      <c r="D314" s="567"/>
      <c r="E314" s="567"/>
      <c r="F314" s="567"/>
      <c r="G314" s="568" t="s">
        <v>2944</v>
      </c>
      <c r="H314" s="568" t="s">
        <v>624</v>
      </c>
      <c r="I314" s="682"/>
      <c r="J314" s="294" t="str">
        <f>IF(ISBLANK(HLOOKUP(CaseName,CaseData,MATCH($G314,cases!$G$4:$G$2458,0),FALSE)),"",HLOOKUP(CaseName,CaseData,MATCH($G314,cases!$G$4:$G$2458,0),FALSE))</f>
        <v/>
      </c>
      <c r="K314" s="577">
        <f>L130+kdegP.a</f>
        <v>3.663258818281463E-10</v>
      </c>
      <c r="L314" s="298">
        <f t="shared" si="17"/>
        <v>3.663258818281463E-10</v>
      </c>
      <c r="M314" s="567" t="s">
        <v>1048</v>
      </c>
      <c r="N314" s="568"/>
      <c r="O314" s="605"/>
      <c r="P314" s="578"/>
      <c r="Q314" s="577"/>
      <c r="R314" s="386"/>
      <c r="S314" s="806"/>
      <c r="T314" s="386"/>
    </row>
    <row r="315" spans="1:20" customFormat="1" ht="12.75" customHeight="1" x14ac:dyDescent="0.2">
      <c r="A315" s="568" t="s">
        <v>2719</v>
      </c>
      <c r="B315" s="567"/>
      <c r="C315" s="567"/>
      <c r="D315" s="567"/>
      <c r="E315" s="567"/>
      <c r="F315" s="567"/>
      <c r="G315" s="568" t="s">
        <v>2945</v>
      </c>
      <c r="H315" s="568" t="s">
        <v>624</v>
      </c>
      <c r="I315" s="682"/>
      <c r="J315" s="294" t="str">
        <f>IF(ISBLANK(HLOOKUP(CaseName,CaseData,MATCH($G315,cases!$G$4:$G$2458,0),FALSE)),"",HLOOKUP(CaseName,CaseData,MATCH($G315,cases!$G$4:$G$2458,0),FALSE))</f>
        <v/>
      </c>
      <c r="K315" s="577">
        <f>kdegS.w2</f>
        <v>0</v>
      </c>
      <c r="L315" s="298">
        <f t="shared" si="17"/>
        <v>0</v>
      </c>
      <c r="M315" s="567" t="s">
        <v>1892</v>
      </c>
      <c r="N315" s="568"/>
      <c r="O315" s="605"/>
      <c r="P315" s="578"/>
      <c r="Q315" s="577"/>
      <c r="R315" s="386"/>
      <c r="S315" s="806"/>
      <c r="T315" s="386"/>
    </row>
    <row r="316" spans="1:20" customFormat="1" ht="12.75" customHeight="1" x14ac:dyDescent="0.2">
      <c r="A316" s="568" t="s">
        <v>2719</v>
      </c>
      <c r="B316" s="567"/>
      <c r="C316" s="567"/>
      <c r="D316" s="567"/>
      <c r="E316" s="567"/>
      <c r="F316" s="567"/>
      <c r="G316" s="568" t="s">
        <v>2946</v>
      </c>
      <c r="H316" s="568" t="s">
        <v>624</v>
      </c>
      <c r="I316" s="682"/>
      <c r="J316" s="294" t="str">
        <f>IF(ISBLANK(HLOOKUP(CaseName,CaseData,MATCH($G316,cases!$G$4:$G$2458,0),FALSE)),"",HLOOKUP(CaseName,CaseData,MATCH($G316,cases!$G$4:$G$2458,0),FALSE))</f>
        <v/>
      </c>
      <c r="K316" s="577">
        <f>kdegA.w2</f>
        <v>0</v>
      </c>
      <c r="L316" s="298">
        <f t="shared" si="17"/>
        <v>0</v>
      </c>
      <c r="M316" s="567" t="s">
        <v>1892</v>
      </c>
      <c r="N316" s="568"/>
      <c r="O316" s="605"/>
      <c r="P316" s="578"/>
      <c r="Q316" s="577"/>
      <c r="R316" s="386"/>
      <c r="S316" s="806"/>
      <c r="T316" s="386"/>
    </row>
    <row r="317" spans="1:20" customFormat="1" ht="12.75" customHeight="1" x14ac:dyDescent="0.2">
      <c r="A317" s="568" t="s">
        <v>2719</v>
      </c>
      <c r="B317" s="567"/>
      <c r="C317" s="567"/>
      <c r="D317" s="567"/>
      <c r="E317" s="567"/>
      <c r="F317" s="567"/>
      <c r="G317" s="568" t="s">
        <v>2947</v>
      </c>
      <c r="H317" s="568" t="s">
        <v>624</v>
      </c>
      <c r="I317" s="682"/>
      <c r="J317" s="294" t="str">
        <f>IF(ISBLANK(HLOOKUP(CaseName,CaseData,MATCH($G317,cases!$G$4:$G$2458,0),FALSE)),"",HLOOKUP(CaseName,CaseData,MATCH($G317,cases!$G$4:$G$2458,0),FALSE))</f>
        <v/>
      </c>
      <c r="K317" s="577">
        <f>kdegP.w2</f>
        <v>0</v>
      </c>
      <c r="L317" s="298">
        <f t="shared" si="17"/>
        <v>0</v>
      </c>
      <c r="M317" s="567" t="s">
        <v>1892</v>
      </c>
      <c r="N317" s="568"/>
      <c r="O317" s="605"/>
      <c r="P317" s="578"/>
      <c r="Q317" s="577"/>
      <c r="R317" s="386"/>
      <c r="S317" s="806"/>
      <c r="T317" s="386"/>
    </row>
    <row r="318" spans="1:20" customFormat="1" ht="12.75" customHeight="1" x14ac:dyDescent="0.2">
      <c r="A318" s="568" t="s">
        <v>2721</v>
      </c>
      <c r="B318" s="567"/>
      <c r="C318" s="567"/>
      <c r="D318" s="567"/>
      <c r="E318" s="567"/>
      <c r="F318" s="567"/>
      <c r="G318" s="568" t="s">
        <v>2948</v>
      </c>
      <c r="H318" s="568" t="s">
        <v>624</v>
      </c>
      <c r="I318" s="682"/>
      <c r="J318" s="294" t="str">
        <f>IF(ISBLANK(HLOOKUP(CaseName,CaseData,MATCH($G318,cases!$G$4:$G$2458,0),FALSE)),"",HLOOKUP(CaseName,CaseData,MATCH($G318,cases!$G$4:$G$2458,0),FALSE))</f>
        <v/>
      </c>
      <c r="K318" s="577">
        <f>kdegS.w3</f>
        <v>0</v>
      </c>
      <c r="L318" s="298">
        <f t="shared" si="17"/>
        <v>0</v>
      </c>
      <c r="M318" s="567" t="s">
        <v>1892</v>
      </c>
      <c r="N318" s="568"/>
      <c r="O318" s="605"/>
      <c r="P318" s="578"/>
      <c r="Q318" s="577"/>
      <c r="R318" s="386"/>
      <c r="S318" s="806"/>
      <c r="T318" s="386"/>
    </row>
    <row r="319" spans="1:20" customFormat="1" ht="12.75" customHeight="1" x14ac:dyDescent="0.2">
      <c r="A319" s="568" t="s">
        <v>2721</v>
      </c>
      <c r="B319" s="567"/>
      <c r="C319" s="567"/>
      <c r="D319" s="567"/>
      <c r="E319" s="567"/>
      <c r="F319" s="567"/>
      <c r="G319" s="568" t="s">
        <v>2949</v>
      </c>
      <c r="H319" s="568" t="s">
        <v>624</v>
      </c>
      <c r="I319" s="682"/>
      <c r="J319" s="294" t="str">
        <f>IF(ISBLANK(HLOOKUP(CaseName,CaseData,MATCH($G319,cases!$G$4:$G$2458,0),FALSE)),"",HLOOKUP(CaseName,CaseData,MATCH($G319,cases!$G$4:$G$2458,0),FALSE))</f>
        <v/>
      </c>
      <c r="K319" s="577">
        <f>kdegA.w3</f>
        <v>0</v>
      </c>
      <c r="L319" s="298">
        <f t="shared" si="17"/>
        <v>0</v>
      </c>
      <c r="M319" s="567" t="s">
        <v>1892</v>
      </c>
      <c r="N319" s="568"/>
      <c r="O319" s="605"/>
      <c r="P319" s="578"/>
      <c r="Q319" s="577"/>
      <c r="R319" s="386"/>
      <c r="S319" s="806"/>
      <c r="T319" s="386"/>
    </row>
    <row r="320" spans="1:20" customFormat="1" ht="12.75" customHeight="1" x14ac:dyDescent="0.2">
      <c r="A320" s="568" t="s">
        <v>2721</v>
      </c>
      <c r="B320" s="567"/>
      <c r="C320" s="567"/>
      <c r="D320" s="567"/>
      <c r="E320" s="567"/>
      <c r="F320" s="567"/>
      <c r="G320" s="568" t="s">
        <v>2950</v>
      </c>
      <c r="H320" s="568" t="s">
        <v>624</v>
      </c>
      <c r="I320" s="682"/>
      <c r="J320" s="294" t="str">
        <f>IF(ISBLANK(HLOOKUP(CaseName,CaseData,MATCH($G320,cases!$G$4:$G$2458,0),FALSE)),"",HLOOKUP(CaseName,CaseData,MATCH($G320,cases!$G$4:$G$2458,0),FALSE))</f>
        <v/>
      </c>
      <c r="K320" s="577">
        <f>kdegP.w3</f>
        <v>0</v>
      </c>
      <c r="L320" s="298">
        <f t="shared" si="17"/>
        <v>0</v>
      </c>
      <c r="M320" s="567" t="s">
        <v>1892</v>
      </c>
      <c r="N320" s="568"/>
      <c r="O320" s="605"/>
      <c r="P320" s="578"/>
      <c r="Q320" s="577"/>
      <c r="R320" s="386"/>
      <c r="S320" s="806"/>
      <c r="T320" s="386"/>
    </row>
    <row r="321" spans="1:20" customFormat="1" ht="12.75" customHeight="1" x14ac:dyDescent="0.2">
      <c r="A321" s="568" t="s">
        <v>2723</v>
      </c>
      <c r="B321" s="567"/>
      <c r="C321" s="567"/>
      <c r="D321" s="567"/>
      <c r="E321" s="567"/>
      <c r="F321" s="567"/>
      <c r="G321" s="568" t="s">
        <v>2951</v>
      </c>
      <c r="H321" s="568" t="s">
        <v>624</v>
      </c>
      <c r="I321" s="682"/>
      <c r="J321" s="294" t="str">
        <f>IF(ISBLANK(HLOOKUP(CaseName,CaseData,MATCH($G321,cases!$G$4:$G$2458,0),FALSE)),"",HLOOKUP(CaseName,CaseData,MATCH($G321,cases!$G$4:$G$2458,0),FALSE))</f>
        <v/>
      </c>
      <c r="K321" s="577">
        <f>L328+kdegS.sd2</f>
        <v>2.983934314656158E-12</v>
      </c>
      <c r="L321" s="298">
        <f t="shared" si="17"/>
        <v>2.983934314656158E-12</v>
      </c>
      <c r="M321" s="567" t="s">
        <v>1892</v>
      </c>
      <c r="N321" s="568"/>
      <c r="O321" s="605"/>
      <c r="P321" s="806"/>
      <c r="Q321" s="577"/>
      <c r="R321" s="386"/>
      <c r="S321" s="806"/>
      <c r="T321" s="386"/>
    </row>
    <row r="322" spans="1:20" customFormat="1" ht="12.75" customHeight="1" x14ac:dyDescent="0.2">
      <c r="A322" s="568" t="s">
        <v>2723</v>
      </c>
      <c r="B322" s="567"/>
      <c r="C322" s="567"/>
      <c r="D322" s="567"/>
      <c r="E322" s="567"/>
      <c r="F322" s="567"/>
      <c r="G322" s="568" t="s">
        <v>2952</v>
      </c>
      <c r="H322" s="568" t="s">
        <v>624</v>
      </c>
      <c r="I322" s="682"/>
      <c r="J322" s="294" t="str">
        <f>IF(ISBLANK(HLOOKUP(CaseName,CaseData,MATCH($G322,cases!$G$4:$G$2458,0),FALSE)),"",HLOOKUP(CaseName,CaseData,MATCH($G322,cases!$G$4:$G$2458,0),FALSE))</f>
        <v/>
      </c>
      <c r="K322" s="577">
        <f>L328+kdegA.sd2</f>
        <v>2.983934314656158E-12</v>
      </c>
      <c r="L322" s="298">
        <f t="shared" si="17"/>
        <v>2.983934314656158E-12</v>
      </c>
      <c r="M322" s="567" t="s">
        <v>1892</v>
      </c>
      <c r="N322" s="568"/>
      <c r="O322" s="605"/>
      <c r="P322" s="806"/>
      <c r="Q322" s="577"/>
      <c r="R322" s="386"/>
      <c r="S322" s="806"/>
      <c r="T322" s="386"/>
    </row>
    <row r="323" spans="1:20" customFormat="1" ht="12.75" customHeight="1" x14ac:dyDescent="0.2">
      <c r="A323" s="568" t="s">
        <v>2723</v>
      </c>
      <c r="B323" s="567"/>
      <c r="C323" s="567"/>
      <c r="D323" s="567"/>
      <c r="E323" s="567"/>
      <c r="F323" s="567"/>
      <c r="G323" s="568" t="s">
        <v>2953</v>
      </c>
      <c r="H323" s="568" t="s">
        <v>624</v>
      </c>
      <c r="I323" s="682"/>
      <c r="J323" s="294" t="str">
        <f>IF(ISBLANK(HLOOKUP(CaseName,CaseData,MATCH($G323,cases!$G$4:$G$2458,0),FALSE)),"",HLOOKUP(CaseName,CaseData,MATCH($G323,cases!$G$4:$G$2458,0),FALSE))</f>
        <v/>
      </c>
      <c r="K323" s="577">
        <f>L328+kdegP.sd2</f>
        <v>2.983934314656158E-12</v>
      </c>
      <c r="L323" s="298">
        <f t="shared" si="17"/>
        <v>2.983934314656158E-12</v>
      </c>
      <c r="M323" s="567" t="s">
        <v>1892</v>
      </c>
      <c r="N323" s="568"/>
      <c r="O323" s="605"/>
      <c r="P323" s="806"/>
      <c r="Q323" s="577"/>
      <c r="R323" s="386"/>
      <c r="S323" s="806"/>
      <c r="T323" s="386"/>
    </row>
    <row r="324" spans="1:20" customFormat="1" ht="12.75" customHeight="1" x14ac:dyDescent="0.2">
      <c r="A324" s="568" t="s">
        <v>2725</v>
      </c>
      <c r="B324" s="567"/>
      <c r="C324" s="567"/>
      <c r="D324" s="567"/>
      <c r="E324" s="567"/>
      <c r="F324" s="567"/>
      <c r="G324" s="568" t="s">
        <v>2954</v>
      </c>
      <c r="H324" s="568" t="s">
        <v>624</v>
      </c>
      <c r="I324" s="682"/>
      <c r="J324" s="294" t="str">
        <f>IF(ISBLANK(HLOOKUP(CaseName,CaseData,MATCH($G324,cases!$G$4:$G$2458,0),FALSE)),"",HLOOKUP(CaseName,CaseData,MATCH($G324,cases!$G$4:$G$2458,0),FALSE))</f>
        <v/>
      </c>
      <c r="K324" s="577">
        <f>L327+kdegS.s1</f>
        <v>9.5027244249711473E-10</v>
      </c>
      <c r="L324" s="298">
        <f t="shared" si="17"/>
        <v>9.5027244249711473E-10</v>
      </c>
      <c r="M324" s="567" t="s">
        <v>1892</v>
      </c>
      <c r="N324" s="568"/>
      <c r="O324" s="605"/>
      <c r="P324" s="806"/>
      <c r="Q324" s="577"/>
      <c r="R324" s="386"/>
      <c r="S324" s="806"/>
      <c r="T324" s="386"/>
    </row>
    <row r="325" spans="1:20" customFormat="1" ht="12.75" customHeight="1" x14ac:dyDescent="0.2">
      <c r="A325" s="568" t="s">
        <v>2725</v>
      </c>
      <c r="B325" s="567"/>
      <c r="C325" s="567"/>
      <c r="D325" s="567"/>
      <c r="E325" s="567"/>
      <c r="F325" s="567"/>
      <c r="G325" s="568" t="s">
        <v>2955</v>
      </c>
      <c r="H325" s="568" t="s">
        <v>624</v>
      </c>
      <c r="I325" s="682"/>
      <c r="J325" s="294" t="str">
        <f>IF(ISBLANK(HLOOKUP(CaseName,CaseData,MATCH($G325,cases!$G$4:$G$2458,0),FALSE)),"",HLOOKUP(CaseName,CaseData,MATCH($G325,cases!$G$4:$G$2458,0),FALSE))</f>
        <v/>
      </c>
      <c r="K325" s="577">
        <f>L327+kdegA.s1</f>
        <v>9.5027244249711473E-10</v>
      </c>
      <c r="L325" s="298">
        <f t="shared" si="17"/>
        <v>9.5027244249711473E-10</v>
      </c>
      <c r="M325" s="567" t="s">
        <v>1892</v>
      </c>
      <c r="N325" s="568"/>
      <c r="O325" s="605"/>
      <c r="P325" s="806"/>
      <c r="Q325" s="577"/>
      <c r="R325" s="386"/>
      <c r="S325" s="806"/>
      <c r="T325" s="386"/>
    </row>
    <row r="326" spans="1:20" customFormat="1" ht="12.75" customHeight="1" x14ac:dyDescent="0.2">
      <c r="A326" s="568" t="s">
        <v>2725</v>
      </c>
      <c r="B326" s="567"/>
      <c r="C326" s="567"/>
      <c r="D326" s="567"/>
      <c r="E326" s="567"/>
      <c r="F326" s="567"/>
      <c r="G326" s="568" t="s">
        <v>2956</v>
      </c>
      <c r="H326" s="568" t="s">
        <v>624</v>
      </c>
      <c r="I326" s="682"/>
      <c r="J326" s="294" t="str">
        <f>IF(ISBLANK(HLOOKUP(CaseName,CaseData,MATCH($G326,cases!$G$4:$G$2458,0),FALSE)),"",HLOOKUP(CaseName,CaseData,MATCH($G326,cases!$G$4:$G$2458,0),FALSE))</f>
        <v/>
      </c>
      <c r="K326" s="577">
        <f>kdegP.s1</f>
        <v>0</v>
      </c>
      <c r="L326" s="298">
        <f t="shared" si="17"/>
        <v>0</v>
      </c>
      <c r="M326" s="567" t="s">
        <v>1892</v>
      </c>
      <c r="N326" s="568"/>
      <c r="O326" s="605"/>
      <c r="P326" s="578"/>
      <c r="Q326" s="577"/>
      <c r="R326" s="386"/>
      <c r="S326" s="806"/>
      <c r="T326" s="386"/>
    </row>
    <row r="327" spans="1:20" customFormat="1" ht="12.75" customHeight="1" x14ac:dyDescent="0.2">
      <c r="A327" s="567"/>
      <c r="B327" s="567" t="s">
        <v>1919</v>
      </c>
      <c r="C327" s="567"/>
      <c r="D327" s="567"/>
      <c r="E327" s="567"/>
      <c r="F327" s="567"/>
      <c r="G327" s="568" t="s">
        <v>2957</v>
      </c>
      <c r="H327" s="568" t="s">
        <v>340</v>
      </c>
      <c r="I327" s="678"/>
      <c r="J327" s="294" t="str">
        <f>IF(ISBLANK(HLOOKUP(CaseName,CaseData,MATCH($G327,cases!$G$4:$G$2458,0),FALSE)),"",HLOOKUP(CaseName,CaseData,MATCH($G327,cases!$G$4:$G$2458,0),FALSE))</f>
        <v/>
      </c>
      <c r="K327" s="577">
        <f>(L141*L92*L142)/L18</f>
        <v>9.5027244249711473E-10</v>
      </c>
      <c r="L327" s="298">
        <f t="shared" si="17"/>
        <v>9.5027244249711473E-10</v>
      </c>
      <c r="M327" s="567" t="s">
        <v>1892</v>
      </c>
      <c r="N327" s="567" t="s">
        <v>1921</v>
      </c>
      <c r="O327" s="605"/>
      <c r="P327" s="806"/>
      <c r="S327" s="806"/>
    </row>
    <row r="328" spans="1:20" s="487" customFormat="1" ht="12.75" customHeight="1" x14ac:dyDescent="0.2">
      <c r="A328" s="599"/>
      <c r="B328" s="599" t="s">
        <v>1926</v>
      </c>
      <c r="C328" s="599"/>
      <c r="D328" s="599"/>
      <c r="E328" s="599"/>
      <c r="F328" s="599"/>
      <c r="G328" s="602" t="s">
        <v>2958</v>
      </c>
      <c r="H328" s="602" t="s">
        <v>340</v>
      </c>
      <c r="I328" s="683"/>
      <c r="J328" s="294" t="str">
        <f>IF(ISBLANK(HLOOKUP(CaseName,CaseData,MATCH($G328,cases!$G$4:$G$2458,0),FALSE)),"",HLOOKUP(CaseName,CaseData,MATCH($G328,cases!$G$4:$G$2458,0),FALSE))</f>
        <v/>
      </c>
      <c r="K328" s="627">
        <f>L111/L17</f>
        <v>2.983934314656158E-12</v>
      </c>
      <c r="L328" s="681">
        <f t="shared" si="17"/>
        <v>2.983934314656158E-12</v>
      </c>
      <c r="M328" s="599" t="s">
        <v>1892</v>
      </c>
      <c r="N328" s="599" t="s">
        <v>1928</v>
      </c>
      <c r="O328" s="677"/>
      <c r="P328" s="806"/>
    </row>
    <row r="329" spans="1:20" ht="12.75" customHeight="1" x14ac:dyDescent="0.2">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6"/>
      <c r="Q329" s="11"/>
      <c r="R329" s="11"/>
      <c r="S329" s="11"/>
      <c r="T329" s="11"/>
    </row>
    <row r="330" spans="1:20" ht="12.75" customHeight="1" x14ac:dyDescent="0.2">
      <c r="A330" s="101" t="s">
        <v>2959</v>
      </c>
      <c r="B330" s="17"/>
      <c r="C330" s="17"/>
      <c r="D330" s="17"/>
      <c r="E330" s="17"/>
      <c r="F330" s="17"/>
      <c r="G330" s="17"/>
      <c r="H330" s="17"/>
      <c r="I330" s="13"/>
      <c r="J330" s="294" t="str">
        <f t="shared" si="18"/>
        <v/>
      </c>
      <c r="K330" s="296"/>
      <c r="L330" s="296"/>
      <c r="M330" s="17"/>
      <c r="N330" s="17"/>
      <c r="O330" s="11"/>
      <c r="P330" s="806"/>
      <c r="Q330" s="11"/>
      <c r="R330" s="11"/>
      <c r="S330" s="11"/>
      <c r="T330" s="11"/>
    </row>
    <row r="331" spans="1:20" ht="12.75" customHeight="1" x14ac:dyDescent="0.2">
      <c r="A331" s="17"/>
      <c r="B331" s="17"/>
      <c r="C331" s="17"/>
      <c r="D331" s="17"/>
      <c r="E331" s="17"/>
      <c r="F331" s="17"/>
      <c r="G331" s="17"/>
      <c r="H331" s="17"/>
      <c r="I331" s="13"/>
      <c r="J331" s="294" t="str">
        <f t="shared" si="18"/>
        <v/>
      </c>
      <c r="K331" s="296"/>
      <c r="L331" s="165"/>
      <c r="M331" s="17"/>
      <c r="N331" s="17"/>
      <c r="O331" s="11"/>
      <c r="P331" s="806"/>
      <c r="Q331" s="11"/>
      <c r="R331" s="11"/>
      <c r="S331" s="11"/>
      <c r="T331" s="11"/>
    </row>
    <row r="332" spans="1:20" customFormat="1" ht="12.75" customHeight="1" x14ac:dyDescent="0.2">
      <c r="A332" s="147" t="s">
        <v>954</v>
      </c>
      <c r="B332" s="147"/>
      <c r="C332" s="147"/>
      <c r="D332" s="147"/>
      <c r="E332" s="147"/>
      <c r="F332" s="147"/>
      <c r="G332" s="148" t="s">
        <v>263</v>
      </c>
      <c r="H332" s="148" t="s">
        <v>279</v>
      </c>
      <c r="I332" s="147" t="s">
        <v>264</v>
      </c>
      <c r="J332" s="271" t="s">
        <v>2960</v>
      </c>
      <c r="K332" s="331" t="s">
        <v>265</v>
      </c>
      <c r="L332" s="331" t="s">
        <v>266</v>
      </c>
      <c r="M332" s="147"/>
      <c r="N332" s="148" t="s">
        <v>267</v>
      </c>
      <c r="P332" s="806"/>
    </row>
    <row r="333" spans="1:20" ht="12.75" customHeight="1" x14ac:dyDescent="0.2">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6"/>
      <c r="Q333" s="11"/>
      <c r="R333" s="11"/>
      <c r="S333" s="11"/>
      <c r="T333" s="11"/>
    </row>
    <row r="334" spans="1:20" ht="12.75" customHeight="1" x14ac:dyDescent="0.2">
      <c r="A334" s="38" t="s">
        <v>955</v>
      </c>
      <c r="B334" s="17"/>
      <c r="C334" s="17"/>
      <c r="D334" s="17"/>
      <c r="E334" s="17"/>
      <c r="F334" s="17"/>
      <c r="G334" s="38" t="s">
        <v>2961</v>
      </c>
      <c r="H334" s="17" t="s">
        <v>957</v>
      </c>
      <c r="I334" s="284"/>
      <c r="J334" s="294" t="str">
        <f>IF(ISBLANK(HLOOKUP(CaseName,CaseData,MATCH($G334,cases!$G$4:$G$2458,0),FALSE)),"",HLOOKUP(CaseName,CaseData,MATCH($G334,cases!$G$4:$G$2458,0),FALSE))</f>
        <v/>
      </c>
      <c r="K334" s="428">
        <f>L340*L343*(1-L348)</f>
        <v>4.249998725E+16</v>
      </c>
      <c r="L334" s="298">
        <f t="shared" ref="L334:L339" si="20">IF(ISBLANK(I334),IF(ISNUMBER(J334)=FALSE,K334,J334),I334)</f>
        <v>4.249998725E+16</v>
      </c>
      <c r="M334" s="38" t="s">
        <v>958</v>
      </c>
      <c r="N334" s="17"/>
      <c r="O334" s="11"/>
      <c r="P334" s="806"/>
      <c r="Q334" s="11"/>
      <c r="R334" s="11"/>
      <c r="S334" s="11"/>
      <c r="T334" s="11"/>
    </row>
    <row r="335" spans="1:20" s="386" customFormat="1" ht="12.75" customHeight="1" x14ac:dyDescent="0.2">
      <c r="A335" s="568" t="s">
        <v>1935</v>
      </c>
      <c r="B335" s="567"/>
      <c r="C335" s="567"/>
      <c r="D335" s="567"/>
      <c r="E335" s="567"/>
      <c r="F335" s="567"/>
      <c r="G335" s="568" t="s">
        <v>2962</v>
      </c>
      <c r="H335" s="567" t="s">
        <v>957</v>
      </c>
      <c r="I335" s="615"/>
      <c r="J335" s="294" t="str">
        <f>IF(ISBLANK(HLOOKUP(CaseName,CaseData,MATCH($G335,cases!$G$4:$G$2458,0),FALSE)),"",HLOOKUP(CaseName,CaseData,MATCH($G335,cases!$G$4:$G$2458,0),FALSE))</f>
        <v/>
      </c>
      <c r="K335" s="614">
        <f>L348*L334</f>
        <v>12749996175</v>
      </c>
      <c r="L335" s="608">
        <f t="shared" si="20"/>
        <v>12749996175</v>
      </c>
      <c r="M335" s="568" t="s">
        <v>958</v>
      </c>
      <c r="N335" s="567"/>
      <c r="P335" s="806"/>
    </row>
    <row r="336" spans="1:20" ht="12.75" customHeight="1" x14ac:dyDescent="0.2">
      <c r="A336" s="17" t="s">
        <v>2963</v>
      </c>
      <c r="B336" s="17"/>
      <c r="C336" s="17"/>
      <c r="D336" s="17"/>
      <c r="E336" s="17"/>
      <c r="F336" s="17"/>
      <c r="G336" s="38" t="s">
        <v>2964</v>
      </c>
      <c r="H336" s="17" t="s">
        <v>957</v>
      </c>
      <c r="I336" s="284"/>
      <c r="J336" s="294" t="str">
        <f>IF(ISBLANK(HLOOKUP(CaseName,CaseData,MATCH($G336,cases!$G$4:$G$2458,0),FALSE)),"",HLOOKUP(CaseName,CaseData,MATCH($G336,cases!$G$4:$G$2458,0),FALSE))</f>
        <v/>
      </c>
      <c r="K336" s="428">
        <f>L340*L344*L341</f>
        <v>2550000000000000</v>
      </c>
      <c r="L336" s="298">
        <f t="shared" si="20"/>
        <v>2550000000000000</v>
      </c>
      <c r="M336" s="38" t="s">
        <v>958</v>
      </c>
      <c r="N336" s="17"/>
      <c r="O336" s="11"/>
      <c r="P336" s="806"/>
      <c r="Q336" s="11"/>
      <c r="R336" s="11"/>
      <c r="S336" s="11"/>
      <c r="T336" s="11"/>
    </row>
    <row r="337" spans="1:16" ht="12.75" customHeight="1" x14ac:dyDescent="0.2">
      <c r="A337" s="38" t="s">
        <v>2965</v>
      </c>
      <c r="B337" s="17"/>
      <c r="C337" s="17"/>
      <c r="D337" s="17"/>
      <c r="E337" s="17"/>
      <c r="F337" s="17"/>
      <c r="G337" s="38" t="s">
        <v>2966</v>
      </c>
      <c r="H337" s="17" t="s">
        <v>957</v>
      </c>
      <c r="I337" s="284"/>
      <c r="J337" s="294" t="str">
        <f>IF(ISBLANK(HLOOKUP(CaseName,CaseData,MATCH($G337,cases!$G$4:$G$2458,0),FALSE)),"",HLOOKUP(CaseName,CaseData,MATCH($G337,cases!$G$4:$G$2458,0),FALSE))</f>
        <v/>
      </c>
      <c r="K337" s="428">
        <f>L340*L345*L341</f>
        <v>7.65E+16</v>
      </c>
      <c r="L337" s="298">
        <f t="shared" si="20"/>
        <v>7.65E+16</v>
      </c>
      <c r="M337" s="38" t="s">
        <v>958</v>
      </c>
      <c r="N337" s="17"/>
      <c r="O337" s="11"/>
      <c r="P337" s="806"/>
    </row>
    <row r="338" spans="1:16" ht="12.75" customHeight="1" x14ac:dyDescent="0.2">
      <c r="A338" s="38" t="s">
        <v>2538</v>
      </c>
      <c r="B338" s="17"/>
      <c r="C338" s="17"/>
      <c r="D338" s="17"/>
      <c r="E338" s="17"/>
      <c r="F338" s="17"/>
      <c r="G338" s="38" t="s">
        <v>2967</v>
      </c>
      <c r="H338" s="17" t="s">
        <v>957</v>
      </c>
      <c r="I338" s="284"/>
      <c r="J338" s="294" t="str">
        <f>IF(ISBLANK(HLOOKUP(CaseName,CaseData,MATCH($G338,cases!$G$4:$G$2458,0),FALSE)),"",HLOOKUP(CaseName,CaseData,MATCH($G338,cases!$G$4:$G$2458,0),FALSE))</f>
        <v/>
      </c>
      <c r="K338" s="428">
        <f>L340*L346*L341</f>
        <v>765000000000</v>
      </c>
      <c r="L338" s="298">
        <f t="shared" si="20"/>
        <v>765000000000</v>
      </c>
      <c r="M338" s="38" t="s">
        <v>958</v>
      </c>
      <c r="N338" s="17"/>
      <c r="O338" s="11"/>
      <c r="P338" s="806"/>
    </row>
    <row r="339" spans="1:16" ht="12.75" customHeight="1" x14ac:dyDescent="0.2">
      <c r="A339" s="38" t="s">
        <v>2540</v>
      </c>
      <c r="B339" s="17"/>
      <c r="C339" s="17"/>
      <c r="D339" s="17"/>
      <c r="E339" s="17"/>
      <c r="F339" s="17"/>
      <c r="G339" s="38" t="s">
        <v>2968</v>
      </c>
      <c r="H339" s="17" t="s">
        <v>957</v>
      </c>
      <c r="I339" s="284"/>
      <c r="J339" s="294" t="str">
        <f>IF(ISBLANK(HLOOKUP(CaseName,CaseData,MATCH($G339,cases!$G$4:$G$2458,0),FALSE)),"",HLOOKUP(CaseName,CaseData,MATCH($G339,cases!$G$4:$G$2458,0),FALSE))</f>
        <v/>
      </c>
      <c r="K339" s="428">
        <f>L340*L342*L347</f>
        <v>850000000000</v>
      </c>
      <c r="L339" s="298">
        <f t="shared" si="20"/>
        <v>850000000000</v>
      </c>
      <c r="M339" s="38" t="s">
        <v>958</v>
      </c>
      <c r="N339" s="17"/>
      <c r="O339" s="11"/>
      <c r="P339" s="806"/>
    </row>
    <row r="340" spans="1:16" ht="12.75" customHeight="1" x14ac:dyDescent="0.2">
      <c r="A340" s="17"/>
      <c r="B340" s="38" t="s">
        <v>2969</v>
      </c>
      <c r="C340" s="17"/>
      <c r="D340" s="17"/>
      <c r="E340" s="17"/>
      <c r="F340" s="17"/>
      <c r="G340" s="38" t="s">
        <v>2970</v>
      </c>
      <c r="H340" s="17" t="s">
        <v>679</v>
      </c>
      <c r="I340" s="285"/>
      <c r="J340" s="294" t="str">
        <f>IF(ISBLANK(HLOOKUP(CaseName,CaseData,MATCH($G340,cases!$G$4:$G$2458,0),FALSE)),"",HLOOKUP(CaseName,CaseData,MATCH($G340,cases!$G$4:$G$2458,0),FALSE))</f>
        <v/>
      </c>
      <c r="K340" s="428">
        <v>42500000</v>
      </c>
      <c r="L340" s="298">
        <f>IF(ISBLANK(I340),IF(ISNUMBER(J340)=FALSE,K340*1000000,J340*1000000),I340*1000000)</f>
        <v>42500000000000</v>
      </c>
      <c r="M340" s="38" t="s">
        <v>680</v>
      </c>
      <c r="N340" s="17"/>
      <c r="O340" s="11"/>
      <c r="P340" s="806"/>
    </row>
    <row r="341" spans="1:16" ht="12.75" customHeight="1" x14ac:dyDescent="0.2">
      <c r="A341" s="17"/>
      <c r="B341" s="38" t="s">
        <v>2544</v>
      </c>
      <c r="C341" s="17"/>
      <c r="D341" s="17"/>
      <c r="E341" s="17"/>
      <c r="F341" s="17"/>
      <c r="G341" s="146" t="s">
        <v>2971</v>
      </c>
      <c r="H341" s="17" t="s">
        <v>296</v>
      </c>
      <c r="I341" s="284"/>
      <c r="J341" s="294" t="str">
        <f>IF(ISBLANK(HLOOKUP(CaseName,CaseData,MATCH($G341,cases!$G$4:$G$2458,0),FALSE)),"",HLOOKUP(CaseName,CaseData,MATCH($G341,cases!$G$4:$G$2458,0),FALSE))</f>
        <v/>
      </c>
      <c r="K341" s="428">
        <v>0.6</v>
      </c>
      <c r="L341" s="298">
        <f>IF(ISBLANK(I341),IF(ISNUMBER(J341)=FALSE,K341,J341),I341)</f>
        <v>0.6</v>
      </c>
      <c r="M341" s="17" t="s">
        <v>297</v>
      </c>
      <c r="N341" s="17"/>
      <c r="O341" s="11"/>
      <c r="P341" s="806"/>
    </row>
    <row r="342" spans="1:16" ht="12.75" customHeight="1" x14ac:dyDescent="0.2">
      <c r="A342" s="17"/>
      <c r="B342" s="38" t="s">
        <v>2546</v>
      </c>
      <c r="C342" s="17"/>
      <c r="D342" s="17"/>
      <c r="E342" s="17"/>
      <c r="F342" s="17"/>
      <c r="G342" s="146" t="s">
        <v>2972</v>
      </c>
      <c r="H342" s="17" t="s">
        <v>296</v>
      </c>
      <c r="I342" s="284"/>
      <c r="J342" s="294" t="str">
        <f>IF(ISBLANK(HLOOKUP(CaseName,CaseData,MATCH($G342,cases!$G$4:$G$2458,0),FALSE)),"",HLOOKUP(CaseName,CaseData,MATCH($G342,cases!$G$4:$G$2458,0),FALSE))</f>
        <v/>
      </c>
      <c r="K342" s="428">
        <f>1-L341</f>
        <v>0.4</v>
      </c>
      <c r="L342" s="298">
        <f>IF(ISBLANK(I342),IF(ISNUMBER(J342)=FALSE,K342,J342),I342)</f>
        <v>0.4</v>
      </c>
      <c r="M342" s="17" t="s">
        <v>297</v>
      </c>
      <c r="N342" s="17"/>
      <c r="O342" s="11"/>
      <c r="P342" s="806"/>
    </row>
    <row r="343" spans="1:16" ht="12.75" customHeight="1" x14ac:dyDescent="0.2">
      <c r="A343" s="17"/>
      <c r="B343" s="17"/>
      <c r="C343" s="38" t="s">
        <v>994</v>
      </c>
      <c r="D343" s="17"/>
      <c r="E343" s="17"/>
      <c r="F343" s="17"/>
      <c r="G343" s="146" t="s">
        <v>2973</v>
      </c>
      <c r="H343" s="38" t="s">
        <v>820</v>
      </c>
      <c r="I343" s="284"/>
      <c r="J343" s="294" t="str">
        <f>IF(ISBLANK(HLOOKUP(CaseName,CaseData,MATCH($G343,cases!$G$4:$G$2458,0),FALSE)),"",HLOOKUP(CaseName,CaseData,MATCH($G343,cases!$G$4:$G$2458,0),FALSE))</f>
        <v/>
      </c>
      <c r="K343" s="428">
        <v>1000</v>
      </c>
      <c r="L343" s="298">
        <f>IF(ISBLANK(I343),IF(ISNUMBER(J343)=FALSE,K343,J343),I343)</f>
        <v>1000</v>
      </c>
      <c r="M343" s="38" t="s">
        <v>284</v>
      </c>
      <c r="N343" s="17"/>
      <c r="O343" s="11"/>
      <c r="P343" s="806"/>
    </row>
    <row r="344" spans="1:16" ht="12.75" customHeight="1" x14ac:dyDescent="0.2">
      <c r="A344" s="17"/>
      <c r="B344" s="17"/>
      <c r="C344" s="38" t="s">
        <v>2974</v>
      </c>
      <c r="D344" s="17"/>
      <c r="E344" s="17"/>
      <c r="F344" s="17"/>
      <c r="G344" s="146" t="s">
        <v>2975</v>
      </c>
      <c r="H344" s="38" t="s">
        <v>820</v>
      </c>
      <c r="I344" s="285"/>
      <c r="J344" s="294" t="str">
        <f>IF(ISBLANK(HLOOKUP(CaseName,CaseData,MATCH($G344,cases!$G$4:$G$2458,0),FALSE)),"",HLOOKUP(CaseName,CaseData,MATCH($G344,cases!$G$4:$G$2458,0),FALSE))</f>
        <v/>
      </c>
      <c r="K344" s="428">
        <v>100</v>
      </c>
      <c r="L344" s="298">
        <f>IF(ISBLANK(I344),IF(ISNUMBER(J344)=FALSE,K344,J344),I344)</f>
        <v>100</v>
      </c>
      <c r="M344" s="38" t="s">
        <v>284</v>
      </c>
      <c r="N344" s="17"/>
      <c r="O344" s="11"/>
      <c r="P344" s="806"/>
    </row>
    <row r="345" spans="1:16" ht="12.75" customHeight="1" x14ac:dyDescent="0.2">
      <c r="A345" s="17"/>
      <c r="B345" s="17"/>
      <c r="C345" s="38" t="s">
        <v>2976</v>
      </c>
      <c r="D345" s="17"/>
      <c r="E345" s="17"/>
      <c r="F345" s="17"/>
      <c r="G345" s="146" t="s">
        <v>2977</v>
      </c>
      <c r="H345" s="38" t="s">
        <v>820</v>
      </c>
      <c r="I345" s="284"/>
      <c r="J345" s="294" t="str">
        <f>IF(ISBLANK(HLOOKUP(CaseName,CaseData,MATCH($G345,cases!$G$4:$G$2458,0),FALSE)),"",HLOOKUP(CaseName,CaseData,MATCH($G345,cases!$G$4:$G$2458,0),FALSE))</f>
        <v/>
      </c>
      <c r="K345" s="428">
        <v>3000</v>
      </c>
      <c r="L345" s="298">
        <f>IF(ISBLANK(I345),IF(ISNUMBER(J345)=FALSE,K345,J345),I345)</f>
        <v>3000</v>
      </c>
      <c r="M345" s="38" t="s">
        <v>284</v>
      </c>
      <c r="N345" s="17"/>
      <c r="O345" s="11"/>
      <c r="P345" s="806"/>
    </row>
    <row r="346" spans="1:16" ht="12.75" customHeight="1" x14ac:dyDescent="0.2">
      <c r="A346" s="17"/>
      <c r="B346" s="17"/>
      <c r="C346" s="38" t="s">
        <v>2553</v>
      </c>
      <c r="D346" s="17"/>
      <c r="E346" s="17"/>
      <c r="F346" s="17"/>
      <c r="G346" s="146" t="s">
        <v>2978</v>
      </c>
      <c r="H346" s="38" t="s">
        <v>1004</v>
      </c>
      <c r="I346" s="284"/>
      <c r="J346" s="294" t="str">
        <f>IF(ISBLANK(HLOOKUP(CaseName,CaseData,MATCH($G346,cases!$G$4:$G$2458,0),FALSE)),"",HLOOKUP(CaseName,CaseData,MATCH($G346,cases!$G$4:$G$2458,0),FALSE))</f>
        <v/>
      </c>
      <c r="K346" s="428">
        <v>3</v>
      </c>
      <c r="L346" s="298">
        <f>IF(ISBLANK(I346),IF(ISNUMBER(J346)=FALSE,K346/100,J346/100),I346/100)</f>
        <v>0.03</v>
      </c>
      <c r="M346" s="38" t="s">
        <v>284</v>
      </c>
      <c r="N346" s="17"/>
      <c r="O346" s="11"/>
      <c r="P346" s="11"/>
    </row>
    <row r="347" spans="1:16" ht="12.75" customHeight="1" x14ac:dyDescent="0.2">
      <c r="A347" s="38"/>
      <c r="B347" s="17"/>
      <c r="C347" s="38" t="s">
        <v>2555</v>
      </c>
      <c r="D347" s="146"/>
      <c r="E347" s="146"/>
      <c r="F347" s="146"/>
      <c r="G347" s="146" t="s">
        <v>2979</v>
      </c>
      <c r="H347" s="38" t="s">
        <v>820</v>
      </c>
      <c r="I347" s="286"/>
      <c r="J347" s="294" t="str">
        <f>IF(ISBLANK(HLOOKUP(CaseName,CaseData,MATCH($G347,cases!$G$4:$G$2458,0),FALSE)),"",HLOOKUP(CaseName,CaseData,MATCH($G347,cases!$G$4:$G$2458,0),FALSE))</f>
        <v/>
      </c>
      <c r="K347" s="428">
        <v>0.05</v>
      </c>
      <c r="L347" s="298">
        <f t="shared" ref="L347:L355" si="21">IF(ISBLANK(I347),IF(ISNUMBER(J347)=FALSE,K347,J347),I347)</f>
        <v>0.05</v>
      </c>
      <c r="M347" s="17" t="s">
        <v>284</v>
      </c>
      <c r="N347" s="17"/>
      <c r="O347" s="11"/>
      <c r="P347" s="11"/>
    </row>
    <row r="348" spans="1:16" ht="12.75" customHeight="1" x14ac:dyDescent="0.2">
      <c r="A348" s="567"/>
      <c r="B348" s="567"/>
      <c r="C348" s="567" t="s">
        <v>1015</v>
      </c>
      <c r="D348" s="567"/>
      <c r="E348" s="567"/>
      <c r="F348" s="567"/>
      <c r="G348" s="568" t="s">
        <v>2980</v>
      </c>
      <c r="H348" s="568" t="s">
        <v>1017</v>
      </c>
      <c r="I348" s="630"/>
      <c r="J348" s="294" t="str">
        <f>IF(ISBLANK(HLOOKUP(CaseName,CaseData,MATCH($G348,cases!$G$4:$G$2458,0),FALSE)),"",HLOOKUP(CaseName,CaseData,MATCH($G348,cases!$G$4:$G$2458,0),FALSE))</f>
        <v/>
      </c>
      <c r="K348" s="614">
        <v>2.9999999999999999E-7</v>
      </c>
      <c r="L348" s="608">
        <f t="shared" si="21"/>
        <v>2.9999999999999999E-7</v>
      </c>
      <c r="M348" s="568" t="s">
        <v>297</v>
      </c>
      <c r="N348" s="567" t="s">
        <v>1018</v>
      </c>
      <c r="O348" s="11"/>
      <c r="P348" s="11"/>
    </row>
    <row r="349" spans="1:16" ht="12.75" customHeight="1" x14ac:dyDescent="0.2">
      <c r="A349" s="17"/>
      <c r="B349" s="17"/>
      <c r="C349" s="17" t="s">
        <v>1019</v>
      </c>
      <c r="D349" s="17"/>
      <c r="E349" s="17"/>
      <c r="F349" s="17"/>
      <c r="G349" s="38" t="s">
        <v>2981</v>
      </c>
      <c r="H349" s="38" t="s">
        <v>1017</v>
      </c>
      <c r="I349" s="286"/>
      <c r="J349" s="294" t="str">
        <f>IF(ISBLANK(HLOOKUP(CaseName,CaseData,MATCH($G349,cases!$G$4:$G$2458,0),FALSE)),"",HLOOKUP(CaseName,CaseData,MATCH($G349,cases!$G$4:$G$2458,0),FALSE))</f>
        <v/>
      </c>
      <c r="K349" s="428">
        <v>1.9999999999999999E-11</v>
      </c>
      <c r="L349" s="298">
        <f t="shared" si="21"/>
        <v>1.9999999999999999E-11</v>
      </c>
      <c r="M349" s="38" t="s">
        <v>297</v>
      </c>
      <c r="N349" s="17" t="s">
        <v>1021</v>
      </c>
      <c r="O349" s="11"/>
      <c r="P349" s="11"/>
    </row>
    <row r="350" spans="1:16" ht="12.75" customHeight="1" x14ac:dyDescent="0.2">
      <c r="A350" s="17"/>
      <c r="B350" s="17"/>
      <c r="C350" s="17" t="s">
        <v>1022</v>
      </c>
      <c r="D350" s="17"/>
      <c r="E350" s="17"/>
      <c r="F350" s="17"/>
      <c r="G350" s="38" t="s">
        <v>2982</v>
      </c>
      <c r="H350" s="38" t="s">
        <v>1017</v>
      </c>
      <c r="I350" s="286"/>
      <c r="J350" s="294" t="str">
        <f>IF(ISBLANK(HLOOKUP(CaseName,CaseData,MATCH($G350,cases!$G$4:$G$2458,0),FALSE)),"",HLOOKUP(CaseName,CaseData,MATCH($G350,cases!$G$4:$G$2458,0),FALSE))</f>
        <v/>
      </c>
      <c r="K350" s="428">
        <v>1.9999999999999999E-11</v>
      </c>
      <c r="L350" s="298">
        <f t="shared" si="21"/>
        <v>1.9999999999999999E-11</v>
      </c>
      <c r="M350" s="38" t="s">
        <v>297</v>
      </c>
      <c r="N350" s="17" t="s">
        <v>1021</v>
      </c>
      <c r="O350" s="11"/>
      <c r="P350" s="11"/>
    </row>
    <row r="351" spans="1:16" ht="12.75" customHeight="1" x14ac:dyDescent="0.2">
      <c r="A351" s="17"/>
      <c r="B351" s="17"/>
      <c r="C351" s="38" t="s">
        <v>2560</v>
      </c>
      <c r="D351" s="146"/>
      <c r="E351" s="146"/>
      <c r="F351" s="146"/>
      <c r="G351" s="146" t="s">
        <v>2983</v>
      </c>
      <c r="H351" s="38" t="s">
        <v>1017</v>
      </c>
      <c r="I351" s="284"/>
      <c r="J351" s="294" t="str">
        <f>IF(ISBLANK(HLOOKUP(CaseName,CaseData,MATCH($G351,cases!$G$4:$G$2458,0),FALSE)),"",HLOOKUP(CaseName,CaseData,MATCH($G351,cases!$G$4:$G$2458,0),FALSE))</f>
        <v/>
      </c>
      <c r="K351" s="428">
        <v>0.2</v>
      </c>
      <c r="L351" s="298">
        <f t="shared" si="21"/>
        <v>0.2</v>
      </c>
      <c r="M351" s="17" t="s">
        <v>297</v>
      </c>
      <c r="N351" s="17"/>
      <c r="O351" s="11"/>
      <c r="P351" s="11"/>
    </row>
    <row r="352" spans="1:16" ht="12.75" customHeight="1" x14ac:dyDescent="0.2">
      <c r="A352" s="17"/>
      <c r="B352" s="17"/>
      <c r="C352" s="38" t="s">
        <v>2562</v>
      </c>
      <c r="D352" s="17"/>
      <c r="E352" s="17"/>
      <c r="F352" s="17"/>
      <c r="G352" s="146" t="s">
        <v>2984</v>
      </c>
      <c r="H352" s="38" t="s">
        <v>1017</v>
      </c>
      <c r="I352" s="284"/>
      <c r="J352" s="294" t="str">
        <f>IF(ISBLANK(HLOOKUP(CaseName,CaseData,MATCH($G352,cases!$G$4:$G$2458,0),FALSE)),"",HLOOKUP(CaseName,CaseData,MATCH($G352,cases!$G$4:$G$2458,0),FALSE))</f>
        <v/>
      </c>
      <c r="K352" s="428">
        <v>0.2</v>
      </c>
      <c r="L352" s="298">
        <f t="shared" si="21"/>
        <v>0.2</v>
      </c>
      <c r="M352" s="17" t="s">
        <v>297</v>
      </c>
      <c r="N352" s="17"/>
      <c r="O352" s="11"/>
      <c r="P352" s="11"/>
    </row>
    <row r="353" spans="1:14" ht="12.75" customHeight="1" x14ac:dyDescent="0.2">
      <c r="A353" s="17"/>
      <c r="B353" s="17"/>
      <c r="C353" s="38" t="s">
        <v>2564</v>
      </c>
      <c r="D353" s="17"/>
      <c r="E353" s="17"/>
      <c r="F353" s="17"/>
      <c r="G353" s="146" t="s">
        <v>2985</v>
      </c>
      <c r="H353" s="38" t="s">
        <v>1017</v>
      </c>
      <c r="I353" s="284"/>
      <c r="J353" s="294" t="str">
        <f>IF(ISBLANK(HLOOKUP(CaseName,CaseData,MATCH($G353,cases!$G$4:$G$2458,0),FALSE)),"",HLOOKUP(CaseName,CaseData,MATCH($G353,cases!$G$4:$G$2458,0),FALSE))</f>
        <v/>
      </c>
      <c r="K353" s="428">
        <f>1-L351-L352</f>
        <v>0.60000000000000009</v>
      </c>
      <c r="L353" s="298">
        <f t="shared" si="21"/>
        <v>0.60000000000000009</v>
      </c>
      <c r="M353" s="17" t="s">
        <v>297</v>
      </c>
      <c r="N353" s="17"/>
    </row>
    <row r="354" spans="1:14" ht="12.75" customHeight="1" x14ac:dyDescent="0.2">
      <c r="A354" s="38"/>
      <c r="B354" s="17"/>
      <c r="C354" s="38" t="s">
        <v>1042</v>
      </c>
      <c r="D354" s="146"/>
      <c r="E354" s="146"/>
      <c r="F354" s="146"/>
      <c r="G354" s="146" t="s">
        <v>2986</v>
      </c>
      <c r="H354" s="38" t="s">
        <v>1017</v>
      </c>
      <c r="I354" s="284"/>
      <c r="J354" s="294" t="str">
        <f>IF(ISBLANK(HLOOKUP(CaseName,CaseData,MATCH($G354,cases!$G$4:$G$2458,0),FALSE)),"",HLOOKUP(CaseName,CaseData,MATCH($G354,cases!$G$4:$G$2458,0),FALSE))</f>
        <v/>
      </c>
      <c r="K354" s="428">
        <v>0.8</v>
      </c>
      <c r="L354" s="298">
        <f t="shared" si="21"/>
        <v>0.8</v>
      </c>
      <c r="M354" s="38" t="s">
        <v>297</v>
      </c>
      <c r="N354" s="17"/>
    </row>
    <row r="355" spans="1:14" ht="12.75" customHeight="1" x14ac:dyDescent="0.2">
      <c r="A355" s="38"/>
      <c r="B355" s="17"/>
      <c r="C355" s="38" t="s">
        <v>2987</v>
      </c>
      <c r="D355" s="146"/>
      <c r="E355" s="146"/>
      <c r="F355" s="146"/>
      <c r="G355" s="146" t="s">
        <v>2988</v>
      </c>
      <c r="H355" s="38" t="s">
        <v>1017</v>
      </c>
      <c r="I355" s="284"/>
      <c r="J355" s="294" t="str">
        <f>IF(ISBLANK(HLOOKUP(CaseName,CaseData,MATCH($G355,cases!$G$4:$G$2458,0),FALSE)),"",HLOOKUP(CaseName,CaseData,MATCH($G355,cases!$G$4:$G$2458,0),FALSE))</f>
        <v/>
      </c>
      <c r="K355" s="428">
        <f>1-L354</f>
        <v>0.19999999999999996</v>
      </c>
      <c r="L355" s="298">
        <f t="shared" si="21"/>
        <v>0.19999999999999996</v>
      </c>
      <c r="M355" s="38" t="s">
        <v>297</v>
      </c>
      <c r="N355" s="17"/>
    </row>
    <row r="356" spans="1:14" ht="12.75" customHeight="1" x14ac:dyDescent="0.2">
      <c r="A356" s="17"/>
      <c r="B356" s="17"/>
      <c r="C356" s="17"/>
      <c r="D356" s="17"/>
      <c r="E356" s="17"/>
      <c r="F356" s="17"/>
      <c r="G356" s="17"/>
      <c r="H356" s="17"/>
      <c r="I356" s="215"/>
      <c r="J356" s="294" t="str">
        <f>IF(ISBLANK(HLOOKUP(CaseName,CaseData,MATCH($G356,cases!$G$4:$G$2458,0),FALSE)),"",HLOOKUP(CaseName,CaseData,MATCH($G356,cases!$G$4:$G$2458,0),FALSE))</f>
        <v/>
      </c>
      <c r="K356" s="165"/>
      <c r="L356" s="165"/>
      <c r="M356" s="17"/>
      <c r="N356" s="17"/>
    </row>
    <row r="357" spans="1:14" ht="12.75" customHeight="1" x14ac:dyDescent="0.2">
      <c r="A357" s="38" t="s">
        <v>2989</v>
      </c>
      <c r="B357" s="17"/>
      <c r="C357" s="17"/>
      <c r="D357" s="17"/>
      <c r="E357" s="17"/>
      <c r="F357" s="17"/>
      <c r="G357" s="38" t="s">
        <v>2990</v>
      </c>
      <c r="H357" s="38" t="s">
        <v>624</v>
      </c>
      <c r="I357" s="285"/>
      <c r="J357" s="294" t="str">
        <f>IF(ISBLANK(HLOOKUP(CaseName,CaseData,MATCH($G357,cases!$G$4:$G$2458,0),FALSE)),"",HLOOKUP(CaseName,CaseData,MATCH($G357,cases!$G$4:$G$2458,0),FALSE))</f>
        <v/>
      </c>
      <c r="K357" s="428">
        <f>1/L358</f>
        <v>6.9234185224561193E-7</v>
      </c>
      <c r="L357" s="298">
        <f>IF(ISBLANK(I357),IF(ISNUMBER(J357)=FALSE,K357,J357),I357)</f>
        <v>6.9234185224561193E-7</v>
      </c>
      <c r="M357" s="17" t="s">
        <v>1048</v>
      </c>
      <c r="N357" s="17"/>
    </row>
    <row r="358" spans="1:14" ht="12.75" customHeight="1" x14ac:dyDescent="0.2">
      <c r="A358" s="38"/>
      <c r="B358" s="38" t="s">
        <v>2991</v>
      </c>
      <c r="C358" s="17"/>
      <c r="D358" s="17"/>
      <c r="E358" s="17"/>
      <c r="F358" s="17"/>
      <c r="G358" s="38" t="s">
        <v>2992</v>
      </c>
      <c r="H358" s="17" t="s">
        <v>1051</v>
      </c>
      <c r="I358" s="284"/>
      <c r="J358" s="294" t="str">
        <f>IF(ISBLANK(HLOOKUP(CaseName,CaseData,MATCH($G358,cases!$G$4:$G$2458,0),FALSE)),"",HLOOKUP(CaseName,CaseData,MATCH($G358,cases!$G$4:$G$2458,0),FALSE))</f>
        <v/>
      </c>
      <c r="K358" s="428">
        <f>1.5*(0.5*SQRT(L340*PI()/4)/L422)/(3600*24)</f>
        <v>16.717282129534052</v>
      </c>
      <c r="L358" s="298">
        <f>IF(ISBLANK(I358),IF(ISNUMBER(J358)=FALSE,K358*(3600*24),J358*(3600*24)),I358*(3600*24))</f>
        <v>1444373.1759917422</v>
      </c>
      <c r="M358" s="38" t="s">
        <v>1052</v>
      </c>
      <c r="N358" s="17"/>
    </row>
    <row r="359" spans="1:14" ht="12.75" customHeight="1" x14ac:dyDescent="0.2">
      <c r="A359" s="17"/>
      <c r="B359" s="17"/>
      <c r="C359" s="17"/>
      <c r="D359" s="17"/>
      <c r="E359" s="17"/>
      <c r="F359" s="17"/>
      <c r="G359" s="17"/>
      <c r="H359" s="17"/>
      <c r="I359" s="215"/>
      <c r="J359" s="294" t="str">
        <f>IF(ISBLANK(HLOOKUP(CaseName,CaseData,MATCH($G359,cases!$G$4:$G$2458,0),FALSE)),"",HLOOKUP(CaseName,CaseData,MATCH($G359,cases!$G$4:$G$2458,0),FALSE))</f>
        <v/>
      </c>
      <c r="K359" s="165"/>
      <c r="L359" s="165"/>
      <c r="M359" s="17"/>
      <c r="N359" s="17"/>
    </row>
    <row r="360" spans="1:14" ht="12.75" customHeight="1" x14ac:dyDescent="0.2">
      <c r="A360" s="38" t="s">
        <v>2993</v>
      </c>
      <c r="B360" s="17"/>
      <c r="C360" s="17"/>
      <c r="D360" s="17"/>
      <c r="E360" s="17"/>
      <c r="F360" s="17"/>
      <c r="G360" s="38" t="s">
        <v>2994</v>
      </c>
      <c r="H360" s="38" t="s">
        <v>624</v>
      </c>
      <c r="I360" s="285"/>
      <c r="J360" s="294" t="str">
        <f>IF(ISBLANK(HLOOKUP(CaseName,CaseData,MATCH($G360,cases!$G$4:$G$2458,0),FALSE)),"",HLOOKUP(CaseName,CaseData,MATCH($G360,cases!$G$4:$G$2458,0),FALSE))</f>
        <v/>
      </c>
      <c r="K360" s="435">
        <f>L362/L336</f>
        <v>0</v>
      </c>
      <c r="L360" s="298">
        <f t="shared" ref="L360:L365" si="22">IF(ISBLANK(I360),IF(ISNUMBER(J360)=FALSE,K360,J360),I360)</f>
        <v>0</v>
      </c>
      <c r="M360" s="17" t="s">
        <v>1048</v>
      </c>
      <c r="N360" s="17"/>
    </row>
    <row r="361" spans="1:14" ht="12.75" customHeight="1" x14ac:dyDescent="0.2">
      <c r="A361" s="38" t="s">
        <v>2995</v>
      </c>
      <c r="B361" s="17"/>
      <c r="C361" s="17"/>
      <c r="D361" s="17"/>
      <c r="E361" s="17"/>
      <c r="F361" s="17"/>
      <c r="G361" s="38" t="s">
        <v>2996</v>
      </c>
      <c r="H361" s="38" t="s">
        <v>624</v>
      </c>
      <c r="I361" s="285"/>
      <c r="J361" s="294" t="str">
        <f>IF(ISBLANK(HLOOKUP(CaseName,CaseData,MATCH($G361,cases!$G$4:$G$2458,0),FALSE)),"",HLOOKUP(CaseName,CaseData,MATCH($G361,cases!$G$4:$G$2458,0),FALSE))</f>
        <v/>
      </c>
      <c r="K361" s="435">
        <f>L40/L337</f>
        <v>1.9607843137254903E-9</v>
      </c>
      <c r="L361" s="298">
        <f t="shared" si="22"/>
        <v>1.9607843137254903E-9</v>
      </c>
      <c r="M361" s="17" t="s">
        <v>1048</v>
      </c>
      <c r="N361" s="17"/>
    </row>
    <row r="362" spans="1:14" ht="12.75" customHeight="1" x14ac:dyDescent="0.2">
      <c r="A362" s="38"/>
      <c r="B362" s="38" t="s">
        <v>2997</v>
      </c>
      <c r="C362" s="17"/>
      <c r="D362" s="17"/>
      <c r="E362" s="17"/>
      <c r="F362" s="17"/>
      <c r="G362" s="146" t="s">
        <v>2998</v>
      </c>
      <c r="H362" s="17" t="s">
        <v>1065</v>
      </c>
      <c r="I362" s="284"/>
      <c r="J362" s="294" t="str">
        <f>IF(ISBLANK(HLOOKUP(CaseName,CaseData,MATCH($G362,cases!$G$4:$G$2458,0),FALSE)),"",HLOOKUP(CaseName,CaseData,MATCH($G362,cases!$G$4:$G$2458,0),FALSE))</f>
        <v/>
      </c>
      <c r="K362" s="435">
        <f>0</f>
        <v>0</v>
      </c>
      <c r="L362" s="298">
        <f t="shared" si="22"/>
        <v>0</v>
      </c>
      <c r="M362" s="17" t="s">
        <v>1066</v>
      </c>
      <c r="N362" s="17"/>
    </row>
    <row r="363" spans="1:14" ht="12.75" customHeight="1" x14ac:dyDescent="0.2">
      <c r="A363" s="38" t="s">
        <v>2999</v>
      </c>
      <c r="B363" s="17"/>
      <c r="C363" s="17"/>
      <c r="D363" s="17"/>
      <c r="E363" s="17"/>
      <c r="F363" s="17"/>
      <c r="G363" s="38" t="s">
        <v>3000</v>
      </c>
      <c r="H363" s="38" t="s">
        <v>624</v>
      </c>
      <c r="I363" s="284"/>
      <c r="J363" s="294" t="str">
        <f>IF(ISBLANK(HLOOKUP(CaseName,CaseData,MATCH($G363,cases!$G$4:$G$2458,0),FALSE)),"",HLOOKUP(CaseName,CaseData,MATCH($G363,cases!$G$4:$G$2458,0),FALSE))</f>
        <v/>
      </c>
      <c r="K363" s="435">
        <f>(L40+L365)/L336</f>
        <v>2.6926123984947511E-7</v>
      </c>
      <c r="L363" s="298">
        <f t="shared" si="22"/>
        <v>2.6926123984947511E-7</v>
      </c>
      <c r="M363" s="17" t="s">
        <v>1048</v>
      </c>
      <c r="N363" s="17"/>
    </row>
    <row r="364" spans="1:14" ht="12.75" customHeight="1" x14ac:dyDescent="0.2">
      <c r="A364" s="38" t="s">
        <v>3001</v>
      </c>
      <c r="B364" s="17"/>
      <c r="C364" s="17"/>
      <c r="D364" s="17"/>
      <c r="E364" s="17"/>
      <c r="F364" s="17"/>
      <c r="G364" s="38" t="s">
        <v>3002</v>
      </c>
      <c r="H364" s="38" t="s">
        <v>624</v>
      </c>
      <c r="I364" s="285"/>
      <c r="J364" s="294" t="str">
        <f>IF(ISBLANK(HLOOKUP(CaseName,CaseData,MATCH($G364,cases!$G$4:$G$2458,0),FALSE)),"",HLOOKUP(CaseName,CaseData,MATCH($G364,cases!$G$4:$G$2458,0),FALSE))</f>
        <v/>
      </c>
      <c r="K364" s="435">
        <f>(L40+L365)/L337</f>
        <v>8.9753746616491718E-9</v>
      </c>
      <c r="L364" s="298">
        <f t="shared" si="22"/>
        <v>8.9753746616491718E-9</v>
      </c>
      <c r="M364" s="17" t="s">
        <v>1048</v>
      </c>
      <c r="N364" s="17"/>
    </row>
    <row r="365" spans="1:14" ht="12.75" customHeight="1" x14ac:dyDescent="0.2">
      <c r="A365" s="38"/>
      <c r="B365" s="17" t="s">
        <v>2596</v>
      </c>
      <c r="C365" s="17"/>
      <c r="D365" s="17"/>
      <c r="E365" s="17"/>
      <c r="F365" s="17"/>
      <c r="G365" s="38" t="s">
        <v>3003</v>
      </c>
      <c r="H365" s="17" t="s">
        <v>1065</v>
      </c>
      <c r="I365" s="276"/>
      <c r="J365" s="294" t="str">
        <f>IF(ISBLANK(HLOOKUP(CaseName,CaseData,MATCH($G365,cases!$G$4:$G$2458,0),FALSE)),"",HLOOKUP(CaseName,CaseData,MATCH($G365,cases!$G$4:$G$2458,0),FALSE))</f>
        <v/>
      </c>
      <c r="K365" s="428">
        <f>L336/L366</f>
        <v>536616161.61616164</v>
      </c>
      <c r="L365" s="298">
        <f t="shared" si="22"/>
        <v>536616161.61616164</v>
      </c>
      <c r="M365" s="17" t="s">
        <v>1066</v>
      </c>
      <c r="N365" s="17"/>
    </row>
    <row r="366" spans="1:14" ht="12.75" customHeight="1" x14ac:dyDescent="0.2">
      <c r="A366" s="38"/>
      <c r="B366" s="38"/>
      <c r="C366" s="17" t="s">
        <v>2598</v>
      </c>
      <c r="D366" s="17"/>
      <c r="E366" s="17"/>
      <c r="F366" s="17"/>
      <c r="G366" s="38" t="s">
        <v>3004</v>
      </c>
      <c r="H366" s="17" t="s">
        <v>1051</v>
      </c>
      <c r="I366" s="285"/>
      <c r="J366" s="294" t="str">
        <f>IF(ISBLANK(HLOOKUP(CaseName,CaseData,MATCH($G366,cases!$G$4:$G$2458,0),FALSE)),"",HLOOKUP(CaseName,CaseData,MATCH($G366,cases!$G$4:$G$2458,0),FALSE))</f>
        <v/>
      </c>
      <c r="K366" s="428">
        <v>55</v>
      </c>
      <c r="L366" s="298">
        <f>IF(ISBLANK(I366),IF(ISNUMBER(J366)=FALSE,K366*(3600*24),J366*(3600*24)),I366*(3600*24))</f>
        <v>4752000</v>
      </c>
      <c r="M366" s="38" t="s">
        <v>1052</v>
      </c>
      <c r="N366" s="17"/>
    </row>
    <row r="367" spans="1:14" ht="12.75" customHeight="1" x14ac:dyDescent="0.2">
      <c r="A367" s="17"/>
      <c r="B367" s="17"/>
      <c r="C367" s="17"/>
      <c r="D367" s="17"/>
      <c r="E367" s="17"/>
      <c r="F367" s="17"/>
      <c r="G367" s="17"/>
      <c r="H367" s="17"/>
      <c r="I367" s="13"/>
      <c r="J367" s="294" t="str">
        <f t="shared" si="19"/>
        <v/>
      </c>
      <c r="K367" s="296"/>
      <c r="L367" s="165"/>
      <c r="M367" s="17"/>
      <c r="N367" s="17"/>
    </row>
    <row r="368" spans="1:14" customFormat="1" ht="12.75" customHeight="1" x14ac:dyDescent="0.2">
      <c r="A368" s="148" t="s">
        <v>2017</v>
      </c>
      <c r="B368" s="147"/>
      <c r="C368" s="147"/>
      <c r="D368" s="147"/>
      <c r="E368" s="147"/>
      <c r="F368" s="147"/>
      <c r="G368" s="148" t="s">
        <v>263</v>
      </c>
      <c r="H368" s="148" t="s">
        <v>279</v>
      </c>
      <c r="I368" s="147" t="s">
        <v>264</v>
      </c>
      <c r="J368" s="271" t="s">
        <v>2960</v>
      </c>
      <c r="K368" s="331" t="s">
        <v>265</v>
      </c>
      <c r="L368" s="331" t="s">
        <v>266</v>
      </c>
      <c r="M368" s="147"/>
      <c r="N368" s="148" t="s">
        <v>267</v>
      </c>
    </row>
    <row r="369" spans="1:14" ht="12.75" customHeight="1" x14ac:dyDescent="0.2">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2">
      <c r="A370" s="17"/>
      <c r="B370" s="17" t="s">
        <v>2600</v>
      </c>
      <c r="C370" s="17"/>
      <c r="D370" s="17"/>
      <c r="E370" s="17"/>
      <c r="F370" s="17"/>
      <c r="G370" s="38" t="s">
        <v>3005</v>
      </c>
      <c r="H370" s="38" t="s">
        <v>296</v>
      </c>
      <c r="I370" s="276"/>
      <c r="J370" s="294" t="str">
        <f>IF(ISBLANK(HLOOKUP(CaseName,CaseData,MATCH($G370,cases!$G$4:$G$2458,0),FALSE)),"",HLOOKUP(CaseName,CaseData,MATCH($G370,cases!$G$4:$G$2458,0),FALSE))</f>
        <v/>
      </c>
      <c r="K370" s="436">
        <f>1-L21 *L53/(1+L21*L53+L20*L54)-L20 *L54/(1+L21*L53+L20*L54)</f>
        <v>4.2327252813834093E-13</v>
      </c>
      <c r="L370" s="298">
        <f>IF(ISBLANK(I370),IF(ISNUMBER(J370)=FALSE,K370,J370),I370)</f>
        <v>4.2327252813834093E-13</v>
      </c>
      <c r="M370" s="38" t="s">
        <v>297</v>
      </c>
      <c r="N370" s="38"/>
    </row>
    <row r="371" spans="1:14" ht="12.75" customHeight="1" x14ac:dyDescent="0.2">
      <c r="A371" s="17"/>
      <c r="B371" s="17" t="s">
        <v>2020</v>
      </c>
      <c r="C371" s="17"/>
      <c r="D371" s="17"/>
      <c r="E371" s="17"/>
      <c r="F371" s="17"/>
      <c r="G371" s="17" t="s">
        <v>3006</v>
      </c>
      <c r="H371" s="17" t="s">
        <v>296</v>
      </c>
      <c r="I371" s="277"/>
      <c r="J371" s="294" t="str">
        <f>IF(ISBLANK(HLOOKUP(CaseName,CaseData,MATCH($G371,cases!$G$4:$G$2458,0),FALSE)),"",HLOOKUP(CaseName,CaseData,MATCH($G371,cases!$G$4:$G$2458,0),FALSE))</f>
        <v/>
      </c>
      <c r="K371" s="436">
        <f>L21 *L53/(1+L21*L53+L20*L54)</f>
        <v>0.74854509595646335</v>
      </c>
      <c r="L371" s="298">
        <f>IF(ISBLANK(I371),IF(ISNUMBER(J371)=FALSE,K371,J371),I371)</f>
        <v>0.74854509595646335</v>
      </c>
      <c r="M371" s="38" t="s">
        <v>297</v>
      </c>
      <c r="N371" s="17" t="s">
        <v>1080</v>
      </c>
    </row>
    <row r="372" spans="1:14" ht="12.75" customHeight="1" x14ac:dyDescent="0.2">
      <c r="A372" s="17"/>
      <c r="B372" s="17" t="s">
        <v>2022</v>
      </c>
      <c r="C372" s="17"/>
      <c r="D372" s="17"/>
      <c r="E372" s="17"/>
      <c r="F372" s="17"/>
      <c r="G372" s="17" t="s">
        <v>3007</v>
      </c>
      <c r="H372" s="17" t="s">
        <v>296</v>
      </c>
      <c r="I372" s="277"/>
      <c r="J372" s="294" t="str">
        <f>IF(ISBLANK(HLOOKUP(CaseName,CaseData,MATCH($G372,cases!$G$4:$G$2458,0),FALSE)),"",HLOOKUP(CaseName,CaseData,MATCH($G372,cases!$G$4:$G$2458,0),FALSE))</f>
        <v/>
      </c>
      <c r="K372" s="436">
        <f>L20 *L54/(1+L21*L53+L20*L54)</f>
        <v>0.25145490404311338</v>
      </c>
      <c r="L372" s="298">
        <f>IF(ISBLANK(I372),IF(ISNUMBER(J372)=FALSE,K372,J372),I372)</f>
        <v>0.25145490404311338</v>
      </c>
      <c r="M372" s="38" t="s">
        <v>297</v>
      </c>
      <c r="N372" s="17" t="s">
        <v>1080</v>
      </c>
    </row>
    <row r="373" spans="1:14" ht="12.75" customHeight="1" x14ac:dyDescent="0.2">
      <c r="A373" s="17"/>
      <c r="B373" s="17"/>
      <c r="C373" s="38" t="s">
        <v>2024</v>
      </c>
      <c r="D373" s="38"/>
      <c r="E373" s="38"/>
      <c r="F373" s="38"/>
      <c r="G373" s="38" t="s">
        <v>3008</v>
      </c>
      <c r="H373" s="38" t="s">
        <v>296</v>
      </c>
      <c r="I373" s="281"/>
      <c r="J373" s="294" t="str">
        <f>IF(ISBLANK(HLOOKUP(CaseName,CaseData,MATCH($G373,cases!$G$4:$G$2458,0),FALSE)),"",HLOOKUP(CaseName,CaseData,MATCH($G373,cases!$G$4:$G$2458,0),FALSE))</f>
        <v/>
      </c>
      <c r="K373" s="436">
        <f>Kaw*EXP((H0vap/8.314)*(1/298-1/L374))*EXP(-(H0sol/8.314)*(1/298-1/L374))*(298/L374)</f>
        <v>2.5190129134642182E-29</v>
      </c>
      <c r="L373" s="298">
        <f>IF(ISBLANK(I373),IF(ISNUMBER(J373)=FALSE,K373,J373),I373)</f>
        <v>2.5190129134642182E-29</v>
      </c>
      <c r="M373" s="38" t="s">
        <v>297</v>
      </c>
      <c r="N373" s="17"/>
    </row>
    <row r="374" spans="1:14" ht="12.75" customHeight="1" x14ac:dyDescent="0.2">
      <c r="A374" s="38"/>
      <c r="B374" s="17"/>
      <c r="C374" s="17" t="s">
        <v>3009</v>
      </c>
      <c r="D374" s="17"/>
      <c r="E374" s="17"/>
      <c r="F374" s="17"/>
      <c r="G374" s="17" t="s">
        <v>3010</v>
      </c>
      <c r="H374" s="17" t="s">
        <v>592</v>
      </c>
      <c r="I374" s="281"/>
      <c r="J374" s="294" t="str">
        <f>IF(ISBLANK(HLOOKUP(CaseName,CaseData,MATCH($G374,cases!$G$4:$G$2458,0),FALSE)),"",HLOOKUP(CaseName,CaseData,MATCH($G374,cases!$G$4:$G$2458,0),FALSE))</f>
        <v/>
      </c>
      <c r="K374" s="428">
        <v>-10</v>
      </c>
      <c r="L374" s="298">
        <f>IF(ISBLANK(I374),IF(ISNUMBER(J374)=FALSE,K374+273,J374+273),I374+273)</f>
        <v>263</v>
      </c>
      <c r="M374" s="38" t="s">
        <v>593</v>
      </c>
      <c r="N374" s="17"/>
    </row>
    <row r="375" spans="1:14" ht="12.75" customHeight="1" x14ac:dyDescent="0.25">
      <c r="A375" s="17"/>
      <c r="B375" s="17"/>
      <c r="C375" s="17" t="s">
        <v>2026</v>
      </c>
      <c r="D375" s="17"/>
      <c r="E375" s="17"/>
      <c r="F375" s="17"/>
      <c r="G375" s="17" t="s">
        <v>3011</v>
      </c>
      <c r="H375" s="17" t="s">
        <v>1088</v>
      </c>
      <c r="I375" s="277"/>
      <c r="J375" s="294" t="str">
        <f>IF(ISBLANK(HLOOKUP(CaseName,CaseData,MATCH($G375,cases!$G$4:$G$2458,0),FALSE)),"",HLOOKUP(CaseName,CaseData,MATCH($G375,cases!$G$4:$G$2458,0),FALSE))</f>
        <v/>
      </c>
      <c r="K375" s="436">
        <f>1/(L373*FRorig.aerw)</f>
        <v>3.9698089464129487E+28</v>
      </c>
      <c r="L375" s="298">
        <f t="shared" ref="L375:L382" si="24">IF(ISBLANK(I375),IF(ISNUMBER(J375)=FALSE,K375,J375),I375)</f>
        <v>3.9698089464129487E+28</v>
      </c>
      <c r="M375" s="38" t="s">
        <v>2608</v>
      </c>
      <c r="N375" s="17"/>
    </row>
    <row r="376" spans="1:14" ht="12.75" customHeight="1" x14ac:dyDescent="0.25">
      <c r="A376" s="17"/>
      <c r="B376" s="17"/>
      <c r="C376" s="17" t="s">
        <v>2028</v>
      </c>
      <c r="D376" s="17"/>
      <c r="E376" s="17"/>
      <c r="F376" s="17"/>
      <c r="G376" s="17" t="s">
        <v>3012</v>
      </c>
      <c r="H376" s="17" t="s">
        <v>1091</v>
      </c>
      <c r="I376" s="277"/>
      <c r="J376" s="294" t="str">
        <f>IF(ISBLANK(HLOOKUP(CaseName,CaseData,MATCH($G376,cases!$G$4:$G$2458,0),FALSE)),"",HLOOKUP(CaseName,CaseData,MATCH($G376,cases!$G$4:$G$2458,0),FALSE))</f>
        <v/>
      </c>
      <c r="K376" s="436">
        <f>0.54*(Kow/Kaw)*CORGaers*(RHOaers/1000)</f>
        <v>2.9700000000000003E+22</v>
      </c>
      <c r="L376" s="298">
        <f t="shared" si="24"/>
        <v>2.9700000000000003E+22</v>
      </c>
      <c r="M376" s="38" t="s">
        <v>2610</v>
      </c>
      <c r="N376" s="17" t="s">
        <v>1092</v>
      </c>
    </row>
    <row r="377" spans="1:14" ht="12.75" customHeight="1" x14ac:dyDescent="0.2">
      <c r="A377" s="38"/>
      <c r="B377" s="38" t="s">
        <v>2611</v>
      </c>
      <c r="C377" s="146"/>
      <c r="D377" s="17"/>
      <c r="E377" s="17"/>
      <c r="F377" s="17"/>
      <c r="G377" s="38" t="s">
        <v>3013</v>
      </c>
      <c r="H377" s="38" t="s">
        <v>296</v>
      </c>
      <c r="I377" s="281"/>
      <c r="J377" s="294" t="str">
        <f>IF(ISBLANK(HLOOKUP(CaseName,CaseData,MATCH($G377,cases!$G$4:$G$2458,0),FALSE)),"",HLOOKUP(CaseName,CaseData,MATCH($G377,cases!$G$4:$G$2458,0),FALSE))</f>
        <v/>
      </c>
      <c r="K377" s="428">
        <f>1/(1+L379*L383/1000+L385*L387/1000)</f>
        <v>0.99928051802702045</v>
      </c>
      <c r="L377" s="298">
        <f t="shared" si="24"/>
        <v>0.99928051802702045</v>
      </c>
      <c r="M377" s="38" t="s">
        <v>297</v>
      </c>
      <c r="N377" s="17"/>
    </row>
    <row r="378" spans="1:14" ht="12.75" customHeight="1" x14ac:dyDescent="0.2">
      <c r="A378" s="38"/>
      <c r="B378" s="38" t="s">
        <v>2613</v>
      </c>
      <c r="C378" s="146"/>
      <c r="D378" s="17"/>
      <c r="E378" s="17"/>
      <c r="F378" s="17"/>
      <c r="G378" s="38" t="s">
        <v>3014</v>
      </c>
      <c r="H378" s="38" t="s">
        <v>296</v>
      </c>
      <c r="I378" s="281"/>
      <c r="J378" s="294" t="str">
        <f>IF(ISBLANK(HLOOKUP(CaseName,CaseData,MATCH($G378,cases!$G$4:$G$2458,0),FALSE)),"",HLOOKUP(CaseName,CaseData,MATCH($G378,cases!$G$4:$G$2458,0),FALSE))</f>
        <v/>
      </c>
      <c r="K378" s="428">
        <f>1/(1+L380*L384/1000+L386*L388/1000)</f>
        <v>0.99928051802702045</v>
      </c>
      <c r="L378" s="298">
        <f t="shared" si="24"/>
        <v>0.99928051802702045</v>
      </c>
      <c r="M378" s="38" t="s">
        <v>297</v>
      </c>
      <c r="N378" s="17"/>
    </row>
    <row r="379" spans="1:14" ht="12.75" customHeight="1" x14ac:dyDescent="0.2">
      <c r="A379" s="38"/>
      <c r="B379" s="17"/>
      <c r="C379" s="38" t="s">
        <v>2615</v>
      </c>
      <c r="D379" s="17"/>
      <c r="E379" s="17"/>
      <c r="F379" s="17"/>
      <c r="G379" s="146" t="s">
        <v>3015</v>
      </c>
      <c r="H379" s="38" t="s">
        <v>1097</v>
      </c>
      <c r="I379" s="281"/>
      <c r="J379" s="294" t="str">
        <f>IF(ISBLANK(HLOOKUP(CaseName,CaseData,MATCH($G379,cases!$G$4:$G$2458,0),FALSE)),"",HLOOKUP(CaseName,CaseData,MATCH($G379,cases!$G$4:$G$2458,0),FALSE))</f>
        <v/>
      </c>
      <c r="K379" s="428">
        <f>(FRorig.w2*Ksw+(1-FRorig.w2)*Ksw.alt)*(1000/RHOsolid/CORG)*L381</f>
        <v>100</v>
      </c>
      <c r="L379" s="298">
        <f t="shared" si="24"/>
        <v>100</v>
      </c>
      <c r="M379" s="38" t="s">
        <v>1098</v>
      </c>
      <c r="N379" s="17"/>
    </row>
    <row r="380" spans="1:14" ht="12.75" customHeight="1" x14ac:dyDescent="0.2">
      <c r="A380" s="38"/>
      <c r="B380" s="17"/>
      <c r="C380" s="38" t="s">
        <v>2617</v>
      </c>
      <c r="D380" s="17"/>
      <c r="E380" s="17"/>
      <c r="F380" s="17"/>
      <c r="G380" s="146" t="s">
        <v>3016</v>
      </c>
      <c r="H380" s="38" t="s">
        <v>1097</v>
      </c>
      <c r="I380" s="281"/>
      <c r="J380" s="294" t="str">
        <f>IF(ISBLANK(HLOOKUP(CaseName,CaseData,MATCH($G380,cases!$G$4:$G$2458,0),FALSE)),"",HLOOKUP(CaseName,CaseData,MATCH($G380,cases!$G$4:$G$2458,0),FALSE))</f>
        <v/>
      </c>
      <c r="K380" s="428">
        <f>(FRorig.w2*Ksw+(1-FRorig.w2)*Ksw.alt)*(1000/RHOsolid/CORG)*L382</f>
        <v>100</v>
      </c>
      <c r="L380" s="298">
        <f t="shared" si="24"/>
        <v>100</v>
      </c>
      <c r="M380" s="38" t="s">
        <v>1098</v>
      </c>
      <c r="N380" s="17"/>
    </row>
    <row r="381" spans="1:14" ht="12.75" customHeight="1" x14ac:dyDescent="0.2">
      <c r="A381" s="38"/>
      <c r="B381" s="17"/>
      <c r="C381" s="38" t="s">
        <v>2619</v>
      </c>
      <c r="D381" s="17"/>
      <c r="E381" s="17"/>
      <c r="F381" s="17"/>
      <c r="G381" s="146" t="s">
        <v>3017</v>
      </c>
      <c r="H381" s="38" t="s">
        <v>296</v>
      </c>
      <c r="I381" s="281"/>
      <c r="J381" s="294" t="str">
        <f>IF(ISBLANK(HLOOKUP(CaseName,CaseData,MATCH($G381,cases!$G$4:$G$2458,0),FALSE)),"",HLOOKUP(CaseName,CaseData,MATCH($G381,cases!$G$4:$G$2458,0),FALSE))</f>
        <v/>
      </c>
      <c r="K381" s="428">
        <v>0.1</v>
      </c>
      <c r="L381" s="298">
        <f t="shared" si="24"/>
        <v>0.1</v>
      </c>
      <c r="M381" s="38" t="s">
        <v>297</v>
      </c>
      <c r="N381" s="17"/>
    </row>
    <row r="382" spans="1:14" ht="12.75" customHeight="1" x14ac:dyDescent="0.2">
      <c r="A382" s="38"/>
      <c r="B382" s="17"/>
      <c r="C382" s="38" t="s">
        <v>2621</v>
      </c>
      <c r="D382" s="17"/>
      <c r="E382" s="17"/>
      <c r="F382" s="17"/>
      <c r="G382" s="146" t="s">
        <v>3018</v>
      </c>
      <c r="H382" s="38" t="s">
        <v>296</v>
      </c>
      <c r="I382" s="281"/>
      <c r="J382" s="294" t="str">
        <f>IF(ISBLANK(HLOOKUP(CaseName,CaseData,MATCH($G382,cases!$G$4:$G$2458,0),FALSE)),"",HLOOKUP(CaseName,CaseData,MATCH($G382,cases!$G$4:$G$2458,0),FALSE))</f>
        <v/>
      </c>
      <c r="K382" s="428">
        <v>0.1</v>
      </c>
      <c r="L382" s="298">
        <f t="shared" si="24"/>
        <v>0.1</v>
      </c>
      <c r="M382" s="38" t="s">
        <v>297</v>
      </c>
      <c r="N382" s="17"/>
    </row>
    <row r="383" spans="1:14" ht="12.75" customHeight="1" x14ac:dyDescent="0.2">
      <c r="A383" s="38"/>
      <c r="B383" s="17"/>
      <c r="C383" s="38" t="s">
        <v>2623</v>
      </c>
      <c r="D383" s="17"/>
      <c r="E383" s="17"/>
      <c r="F383" s="17"/>
      <c r="G383" s="146" t="s">
        <v>3019</v>
      </c>
      <c r="H383" s="38" t="s">
        <v>586</v>
      </c>
      <c r="I383" s="281"/>
      <c r="J383" s="294" t="str">
        <f>IF(ISBLANK(HLOOKUP(CaseName,CaseData,MATCH($G383,cases!$G$4:$G$2458,0),FALSE)),"",HLOOKUP(CaseName,CaseData,MATCH($G383,cases!$G$4:$G$2458,0),FALSE))</f>
        <v/>
      </c>
      <c r="K383" s="428">
        <v>5</v>
      </c>
      <c r="L383" s="298">
        <f>IF(ISBLANK(I383),IF(ISNUMBER(J383)=FALSE,K383/1000,J383/1000),I383/1000)</f>
        <v>5.0000000000000001E-3</v>
      </c>
      <c r="M383" s="38" t="s">
        <v>724</v>
      </c>
      <c r="N383" s="17"/>
    </row>
    <row r="384" spans="1:14" ht="12.75" customHeight="1" x14ac:dyDescent="0.2">
      <c r="A384" s="38"/>
      <c r="B384" s="17"/>
      <c r="C384" s="38" t="s">
        <v>2625</v>
      </c>
      <c r="D384" s="17"/>
      <c r="E384" s="17"/>
      <c r="F384" s="17"/>
      <c r="G384" s="146" t="s">
        <v>3020</v>
      </c>
      <c r="H384" s="38" t="s">
        <v>586</v>
      </c>
      <c r="I384" s="281"/>
      <c r="J384" s="294" t="str">
        <f>IF(ISBLANK(HLOOKUP(CaseName,CaseData,MATCH($G384,cases!$G$4:$G$2458,0),FALSE)),"",HLOOKUP(CaseName,CaseData,MATCH($G384,cases!$G$4:$G$2458,0),FALSE))</f>
        <v/>
      </c>
      <c r="K384" s="428">
        <v>5</v>
      </c>
      <c r="L384" s="298">
        <f>IF(ISBLANK(I384),IF(ISNUMBER(J384)=FALSE,K384/1000,J384/1000),I384/1000)</f>
        <v>5.0000000000000001E-3</v>
      </c>
      <c r="M384" s="38" t="s">
        <v>724</v>
      </c>
      <c r="N384" s="17"/>
    </row>
    <row r="385" spans="1:14" ht="12.75" customHeight="1" x14ac:dyDescent="0.2">
      <c r="A385" s="38"/>
      <c r="B385" s="17"/>
      <c r="C385" s="38" t="s">
        <v>2627</v>
      </c>
      <c r="D385" s="17"/>
      <c r="E385" s="17"/>
      <c r="F385" s="17"/>
      <c r="G385" s="146" t="s">
        <v>3021</v>
      </c>
      <c r="H385" s="38" t="s">
        <v>1103</v>
      </c>
      <c r="I385" s="274"/>
      <c r="J385" s="294" t="str">
        <f>IF(ISBLANK(HLOOKUP(CaseName,CaseData,MATCH($G385,cases!$G$4:$G$2458,0),FALSE)),"",HLOOKUP(CaseName,CaseData,MATCH($G385,cases!$G$4:$G$2458,0),FALSE))</f>
        <v/>
      </c>
      <c r="K385" s="428">
        <f>0.08*D</f>
        <v>220</v>
      </c>
      <c r="L385" s="298">
        <f>IF(ISBLANK(I385),IF(ISNUMBER(J385)=FALSE,K385,J385),I385)</f>
        <v>220</v>
      </c>
      <c r="M385" s="38" t="s">
        <v>1098</v>
      </c>
      <c r="N385" s="17"/>
    </row>
    <row r="386" spans="1:14" ht="12.75" customHeight="1" x14ac:dyDescent="0.2">
      <c r="A386" s="38"/>
      <c r="B386" s="17"/>
      <c r="C386" s="38" t="s">
        <v>2629</v>
      </c>
      <c r="D386" s="17"/>
      <c r="E386" s="17"/>
      <c r="F386" s="17"/>
      <c r="G386" s="146" t="s">
        <v>3022</v>
      </c>
      <c r="H386" s="38" t="s">
        <v>1103</v>
      </c>
      <c r="I386" s="274"/>
      <c r="J386" s="294" t="str">
        <f>IF(ISBLANK(HLOOKUP(CaseName,CaseData,MATCH($G386,cases!$G$4:$G$2458,0),FALSE)),"",HLOOKUP(CaseName,CaseData,MATCH($G386,cases!$G$4:$G$2458,0),FALSE))</f>
        <v/>
      </c>
      <c r="K386" s="428">
        <f>0.08*D</f>
        <v>220</v>
      </c>
      <c r="L386" s="298">
        <f>IF(ISBLANK(I386),IF(ISNUMBER(J386)=FALSE,K386,J386),I386)</f>
        <v>220</v>
      </c>
      <c r="M386" s="38" t="s">
        <v>1098</v>
      </c>
      <c r="N386" s="17"/>
    </row>
    <row r="387" spans="1:14" ht="12.75" customHeight="1" x14ac:dyDescent="0.2">
      <c r="A387" s="38"/>
      <c r="B387" s="17"/>
      <c r="C387" s="38" t="s">
        <v>2631</v>
      </c>
      <c r="D387" s="17"/>
      <c r="E387" s="17"/>
      <c r="F387" s="17"/>
      <c r="G387" s="146" t="s">
        <v>3023</v>
      </c>
      <c r="H387" s="38" t="s">
        <v>723</v>
      </c>
      <c r="I387" s="274"/>
      <c r="J387" s="294" t="str">
        <f>IF(ISBLANK(HLOOKUP(CaseName,CaseData,MATCH($G387,cases!$G$4:$G$2458,0),FALSE)),"",HLOOKUP(CaseName,CaseData,MATCH($G387,cases!$G$4:$G$2458,0),FALSE))</f>
        <v/>
      </c>
      <c r="K387" s="428">
        <v>1</v>
      </c>
      <c r="L387" s="298">
        <f>IF(ISBLANK(I387),IF(ISNUMBER(J387)=FALSE,K387/1000,J387/1000),I387/1000)</f>
        <v>1E-3</v>
      </c>
      <c r="M387" s="38" t="s">
        <v>724</v>
      </c>
      <c r="N387" s="17"/>
    </row>
    <row r="388" spans="1:14" ht="12.75" customHeight="1" x14ac:dyDescent="0.2">
      <c r="A388" s="38"/>
      <c r="B388" s="17"/>
      <c r="C388" s="38" t="s">
        <v>2633</v>
      </c>
      <c r="D388" s="17"/>
      <c r="E388" s="17"/>
      <c r="F388" s="17"/>
      <c r="G388" s="146" t="s">
        <v>3024</v>
      </c>
      <c r="H388" s="38" t="s">
        <v>723</v>
      </c>
      <c r="I388" s="274"/>
      <c r="J388" s="294" t="str">
        <f>IF(ISBLANK(HLOOKUP(CaseName,CaseData,MATCH($G388,cases!$G$4:$G$2458,0),FALSE)),"",HLOOKUP(CaseName,CaseData,MATCH($G388,cases!$G$4:$G$2458,0),FALSE))</f>
        <v/>
      </c>
      <c r="K388" s="428">
        <v>1</v>
      </c>
      <c r="L388" s="298">
        <f>IF(ISBLANK(I388),IF(ISNUMBER(J388)=FALSE,K388/1000,J388/1000),I388/1000)</f>
        <v>1E-3</v>
      </c>
      <c r="M388" s="38" t="s">
        <v>724</v>
      </c>
      <c r="N388" s="17"/>
    </row>
    <row r="389" spans="1:14" ht="12.75" customHeight="1" x14ac:dyDescent="0.2">
      <c r="A389" s="38"/>
      <c r="B389" s="38" t="s">
        <v>2635</v>
      </c>
      <c r="C389" s="146"/>
      <c r="D389" s="17"/>
      <c r="E389" s="17"/>
      <c r="F389" s="17"/>
      <c r="G389" s="146" t="s">
        <v>3025</v>
      </c>
      <c r="H389" s="38" t="s">
        <v>296</v>
      </c>
      <c r="I389" s="281"/>
      <c r="J389" s="294" t="str">
        <f>IF(ISBLANK(HLOOKUP(CaseName,CaseData,MATCH($G389,cases!$G$4:$G$2458,0),FALSE)),"",HLOOKUP(CaseName,CaseData,MATCH($G389,cases!$G$4:$G$2458,0),FALSE))</f>
        <v/>
      </c>
      <c r="K389" s="428">
        <f>L354+L355*L390*RHOsolid/1000</f>
        <v>25.799999999999997</v>
      </c>
      <c r="L389" s="298">
        <f t="shared" ref="L389:L396" si="25">IF(ISBLANK(I389),IF(ISNUMBER(J389)=FALSE,K389,J389),I389)</f>
        <v>25.799999999999997</v>
      </c>
      <c r="M389" s="38" t="s">
        <v>297</v>
      </c>
      <c r="N389" s="17"/>
    </row>
    <row r="390" spans="1:14" ht="12.75" customHeight="1" x14ac:dyDescent="0.2">
      <c r="A390" s="38"/>
      <c r="B390" s="17"/>
      <c r="C390" s="38" t="s">
        <v>2637</v>
      </c>
      <c r="D390" s="17"/>
      <c r="E390" s="17"/>
      <c r="F390" s="17"/>
      <c r="G390" s="146" t="s">
        <v>3026</v>
      </c>
      <c r="H390" s="38" t="s">
        <v>1097</v>
      </c>
      <c r="I390" s="281"/>
      <c r="J390" s="294" t="str">
        <f>IF(ISBLANK(HLOOKUP(CaseName,CaseData,MATCH($G390,cases!$G$4:$G$2458,0),FALSE)),"",HLOOKUP(CaseName,CaseData,MATCH($G390,cases!$G$4:$G$2458,0),FALSE))</f>
        <v/>
      </c>
      <c r="K390" s="428">
        <f>(FRorig.sd2*Ksw+(1-FRorig.sd2)*Ksw.alt)*(1000/RHOsolid/CORG)*L391</f>
        <v>50</v>
      </c>
      <c r="L390" s="298">
        <f t="shared" si="25"/>
        <v>50</v>
      </c>
      <c r="M390" s="38" t="s">
        <v>1098</v>
      </c>
      <c r="N390" s="17"/>
    </row>
    <row r="391" spans="1:14" ht="12.75" customHeight="1" x14ac:dyDescent="0.2">
      <c r="A391" s="38"/>
      <c r="B391" s="17"/>
      <c r="C391" s="38" t="s">
        <v>2639</v>
      </c>
      <c r="D391" s="17"/>
      <c r="E391" s="17"/>
      <c r="F391" s="17"/>
      <c r="G391" s="146" t="s">
        <v>3027</v>
      </c>
      <c r="H391" s="38" t="s">
        <v>296</v>
      </c>
      <c r="I391" s="281"/>
      <c r="J391" s="294" t="str">
        <f>IF(ISBLANK(HLOOKUP(CaseName,CaseData,MATCH($G391,cases!$G$4:$G$2458,0),FALSE)),"",HLOOKUP(CaseName,CaseData,MATCH($G391,cases!$G$4:$G$2458,0),FALSE))</f>
        <v/>
      </c>
      <c r="K391" s="428">
        <v>0.05</v>
      </c>
      <c r="L391" s="298">
        <f t="shared" si="25"/>
        <v>0.05</v>
      </c>
      <c r="M391" s="38" t="s">
        <v>297</v>
      </c>
      <c r="N391" s="17"/>
    </row>
    <row r="392" spans="1:14" ht="12.75" customHeight="1" x14ac:dyDescent="0.2">
      <c r="A392" s="38"/>
      <c r="B392" s="38" t="s">
        <v>2641</v>
      </c>
      <c r="C392" s="146"/>
      <c r="D392" s="17"/>
      <c r="E392" s="17"/>
      <c r="F392" s="17"/>
      <c r="G392" s="146" t="s">
        <v>3028</v>
      </c>
      <c r="H392" s="38" t="s">
        <v>296</v>
      </c>
      <c r="I392" s="281"/>
      <c r="J392" s="294" t="str">
        <f>IF(ISBLANK(HLOOKUP(CaseName,CaseData,MATCH($G392,cases!$G$4:$G$2458,0),FALSE)),"",HLOOKUP(CaseName,CaseData,MATCH($G392,cases!$G$4:$G$2458,0),FALSE))</f>
        <v/>
      </c>
      <c r="K392" s="428">
        <f>L351*(L373*FRorig.s1w)+L352+L353*L395*RHOsolid/1000</f>
        <v>30.200000000000003</v>
      </c>
      <c r="L392" s="298">
        <f t="shared" si="25"/>
        <v>30.200000000000003</v>
      </c>
      <c r="M392" s="17" t="s">
        <v>297</v>
      </c>
      <c r="N392" s="17"/>
    </row>
    <row r="393" spans="1:14" ht="12.75" customHeight="1" x14ac:dyDescent="0.2">
      <c r="A393" s="38"/>
      <c r="B393" s="38" t="s">
        <v>2643</v>
      </c>
      <c r="C393" s="146"/>
      <c r="D393" s="17"/>
      <c r="E393" s="17"/>
      <c r="F393" s="17"/>
      <c r="G393" s="146" t="s">
        <v>3029</v>
      </c>
      <c r="H393" s="38" t="s">
        <v>296</v>
      </c>
      <c r="I393" s="281"/>
      <c r="J393" s="294" t="str">
        <f>IF(ISBLANK(HLOOKUP(CaseName,CaseData,MATCH($G393,cases!$G$4:$G$2458,0),FALSE)),"",HLOOKUP(CaseName,CaseData,MATCH($G393,cases!$G$4:$G$2458,0),FALSE))</f>
        <v/>
      </c>
      <c r="K393" s="428">
        <f>L352/(L351*(L373*FRorig.s1w)+L352+L353*L395*RHOsolid/1000)</f>
        <v>6.6225165562913907E-3</v>
      </c>
      <c r="L393" s="298">
        <f t="shared" si="25"/>
        <v>6.6225165562913907E-3</v>
      </c>
      <c r="M393" s="17" t="s">
        <v>297</v>
      </c>
      <c r="N393" s="17"/>
    </row>
    <row r="394" spans="1:14" ht="12.75" customHeight="1" x14ac:dyDescent="0.2">
      <c r="A394" s="38"/>
      <c r="B394" s="38" t="s">
        <v>2645</v>
      </c>
      <c r="C394" s="146"/>
      <c r="D394" s="17"/>
      <c r="E394" s="17"/>
      <c r="F394" s="17"/>
      <c r="G394" s="146" t="s">
        <v>3030</v>
      </c>
      <c r="H394" s="38" t="s">
        <v>296</v>
      </c>
      <c r="I394" s="281"/>
      <c r="J394" s="294" t="str">
        <f>IF(ISBLANK(HLOOKUP(CaseName,CaseData,MATCH($G394,cases!$G$4:$G$2458,0),FALSE)),"",HLOOKUP(CaseName,CaseData,MATCH($G394,cases!$G$4:$G$2458,0),FALSE))</f>
        <v/>
      </c>
      <c r="K394" s="428">
        <f>L353 / (L351*L373*FRorig.s1w/(L395*RHOsolid/1000)+L352/(L395*RHOsolid/1000)+L353 )</f>
        <v>0.99337748344370858</v>
      </c>
      <c r="L394" s="298">
        <f t="shared" si="25"/>
        <v>0.99337748344370858</v>
      </c>
      <c r="M394" s="5" t="s">
        <v>297</v>
      </c>
      <c r="N394" s="17"/>
    </row>
    <row r="395" spans="1:14" ht="12.75" customHeight="1" x14ac:dyDescent="0.2">
      <c r="A395" s="38"/>
      <c r="B395" s="17"/>
      <c r="C395" s="38" t="s">
        <v>2647</v>
      </c>
      <c r="D395" s="17"/>
      <c r="E395" s="17"/>
      <c r="F395" s="17"/>
      <c r="G395" s="146" t="s">
        <v>3031</v>
      </c>
      <c r="H395" s="38" t="s">
        <v>1097</v>
      </c>
      <c r="I395" s="281"/>
      <c r="J395" s="294" t="str">
        <f>IF(ISBLANK(HLOOKUP(CaseName,CaseData,MATCH($G395,cases!$G$4:$G$2458,0),FALSE)),"",HLOOKUP(CaseName,CaseData,MATCH($G395,cases!$G$4:$G$2458,0),FALSE))</f>
        <v/>
      </c>
      <c r="K395" s="428">
        <f>(FRorig.s1*Ksw+(1-FRorig.s1)*Ksw.alt)*(1000/RHOsolid/CORG)*L396</f>
        <v>20</v>
      </c>
      <c r="L395" s="298">
        <f t="shared" si="25"/>
        <v>20</v>
      </c>
      <c r="M395" s="38" t="s">
        <v>1098</v>
      </c>
      <c r="N395" s="17"/>
    </row>
    <row r="396" spans="1:14" ht="12.75" customHeight="1" x14ac:dyDescent="0.2">
      <c r="A396" s="38"/>
      <c r="B396" s="17"/>
      <c r="C396" s="38" t="s">
        <v>2649</v>
      </c>
      <c r="D396" s="17"/>
      <c r="E396" s="17"/>
      <c r="F396" s="17"/>
      <c r="G396" s="146" t="s">
        <v>3032</v>
      </c>
      <c r="H396" s="38" t="s">
        <v>296</v>
      </c>
      <c r="I396" s="281"/>
      <c r="J396" s="294" t="str">
        <f>IF(ISBLANK(HLOOKUP(CaseName,CaseData,MATCH($G396,cases!$G$4:$G$2458,0),FALSE)),"",HLOOKUP(CaseName,CaseData,MATCH($G396,cases!$G$4:$G$2458,0),FALSE))</f>
        <v/>
      </c>
      <c r="K396" s="428">
        <v>0.02</v>
      </c>
      <c r="L396" s="298">
        <f t="shared" si="25"/>
        <v>0.02</v>
      </c>
      <c r="M396" s="17" t="s">
        <v>297</v>
      </c>
      <c r="N396" s="17"/>
    </row>
    <row r="397" spans="1:14" ht="12.75" customHeight="1" x14ac:dyDescent="0.2">
      <c r="A397" s="17"/>
      <c r="B397" s="17"/>
      <c r="C397" s="17"/>
      <c r="D397" s="17"/>
      <c r="E397" s="17"/>
      <c r="F397" s="17"/>
      <c r="G397" s="17"/>
      <c r="H397" s="17"/>
      <c r="I397" s="13"/>
      <c r="J397" s="294" t="str">
        <f t="shared" si="23"/>
        <v/>
      </c>
      <c r="K397" s="296"/>
      <c r="L397" s="165"/>
      <c r="M397" s="17"/>
      <c r="N397" s="17"/>
    </row>
    <row r="398" spans="1:14" customFormat="1" ht="12.75" customHeight="1" x14ac:dyDescent="0.2">
      <c r="A398" s="148" t="s">
        <v>1162</v>
      </c>
      <c r="B398" s="147"/>
      <c r="C398" s="147"/>
      <c r="D398" s="147"/>
      <c r="E398" s="147"/>
      <c r="F398" s="147"/>
      <c r="G398" s="148" t="s">
        <v>263</v>
      </c>
      <c r="H398" s="148" t="s">
        <v>279</v>
      </c>
      <c r="I398" s="147" t="s">
        <v>264</v>
      </c>
      <c r="J398" s="271" t="s">
        <v>2960</v>
      </c>
      <c r="K398" s="331" t="s">
        <v>265</v>
      </c>
      <c r="L398" s="331" t="s">
        <v>266</v>
      </c>
      <c r="M398" s="147"/>
      <c r="N398" s="148" t="s">
        <v>267</v>
      </c>
    </row>
    <row r="399" spans="1:14" ht="12.75" customHeight="1" x14ac:dyDescent="0.2">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2">
      <c r="A400" s="38" t="s">
        <v>2651</v>
      </c>
      <c r="B400" s="17"/>
      <c r="C400" s="17"/>
      <c r="D400" s="17"/>
      <c r="E400" s="17"/>
      <c r="F400" s="17"/>
      <c r="G400" s="38" t="s">
        <v>3033</v>
      </c>
      <c r="H400" s="38" t="s">
        <v>624</v>
      </c>
      <c r="I400" s="276"/>
      <c r="J400" s="294" t="str">
        <f>IF(ISBLANK(HLOOKUP(CaseName,CaseData,MATCH($G400,cases!$G$4:$G$2458,0),FALSE)),"",HLOOKUP(CaseName,CaseData,MATCH($G400,cases!$G$4:$G$2458,0),FALSE))</f>
        <v/>
      </c>
      <c r="K400" s="617">
        <f>(L404+L416/L343)*L341</f>
        <v>4.8101308585403789E-6</v>
      </c>
      <c r="L400" s="298">
        <f t="shared" ref="L400:L407" si="27">IF(ISBLANK(I400),IF(ISNUMBER(J400)=FALSE,K400,J400),I400)</f>
        <v>4.8101308585403789E-6</v>
      </c>
      <c r="M400" s="17" t="s">
        <v>1048</v>
      </c>
      <c r="N400" s="17"/>
    </row>
    <row r="401" spans="1:14" ht="12.75" customHeight="1" x14ac:dyDescent="0.2">
      <c r="A401" s="38" t="s">
        <v>2653</v>
      </c>
      <c r="B401" s="17"/>
      <c r="C401" s="17"/>
      <c r="D401" s="17"/>
      <c r="E401" s="17"/>
      <c r="F401" s="17"/>
      <c r="G401" s="38" t="s">
        <v>3034</v>
      </c>
      <c r="H401" s="38" t="s">
        <v>624</v>
      </c>
      <c r="I401" s="276"/>
      <c r="J401" s="294" t="str">
        <f>IF(ISBLANK(HLOOKUP(CaseName,CaseData,MATCH($G401,cases!$G$4:$G$2458,0),FALSE)),"",HLOOKUP(CaseName,CaseData,MATCH($G401,cases!$G$4:$G$2458,0),FALSE))</f>
        <v/>
      </c>
      <c r="K401" s="617">
        <f>(L404+L417/L343)*L342</f>
        <v>3.2067539056926615E-6</v>
      </c>
      <c r="L401" s="298">
        <f t="shared" si="27"/>
        <v>3.2067539056926615E-6</v>
      </c>
      <c r="M401" s="17" t="s">
        <v>1048</v>
      </c>
      <c r="N401" s="17"/>
    </row>
    <row r="402" spans="1:14" ht="12.75" customHeight="1" x14ac:dyDescent="0.2">
      <c r="A402" s="38" t="s">
        <v>2655</v>
      </c>
      <c r="B402" s="17"/>
      <c r="C402" s="17"/>
      <c r="D402" s="17"/>
      <c r="E402" s="17"/>
      <c r="F402" s="17"/>
      <c r="G402" s="38" t="s">
        <v>3035</v>
      </c>
      <c r="H402" s="38" t="s">
        <v>624</v>
      </c>
      <c r="I402" s="276"/>
      <c r="J402" s="294" t="str">
        <f>IF(ISBLANK(HLOOKUP(CaseName,CaseData,MATCH($G402,cases!$G$4:$G$2458,0),FALSE)),"",HLOOKUP(CaseName,CaseData,MATCH($G402,cases!$G$4:$G$2458,0),FALSE))</f>
        <v/>
      </c>
      <c r="K402" s="617">
        <f>L418/L344</f>
        <v>1.6382953303749381E-33</v>
      </c>
      <c r="L402" s="298">
        <f t="shared" si="27"/>
        <v>1.6382953303749381E-33</v>
      </c>
      <c r="M402" s="17" t="s">
        <v>1048</v>
      </c>
      <c r="N402" s="17"/>
    </row>
    <row r="403" spans="1:14" ht="12.75" customHeight="1" x14ac:dyDescent="0.2">
      <c r="A403" s="38" t="s">
        <v>2657</v>
      </c>
      <c r="B403" s="17"/>
      <c r="C403" s="17"/>
      <c r="D403" s="17"/>
      <c r="E403" s="17"/>
      <c r="F403" s="17"/>
      <c r="G403" s="38" t="s">
        <v>3036</v>
      </c>
      <c r="H403" s="38" t="s">
        <v>624</v>
      </c>
      <c r="I403" s="276"/>
      <c r="J403" s="294" t="str">
        <f>IF(ISBLANK(HLOOKUP(CaseName,CaseData,MATCH($G403,cases!$G$4:$G$2458,0),FALSE)),"",HLOOKUP(CaseName,CaseData,MATCH($G403,cases!$G$4:$G$2458,0),FALSE))</f>
        <v/>
      </c>
      <c r="K403" s="617">
        <f>L419/L347</f>
        <v>2.2211283594555704E-32</v>
      </c>
      <c r="L403" s="298">
        <f t="shared" si="27"/>
        <v>2.2211283594555704E-32</v>
      </c>
      <c r="M403" s="17" t="s">
        <v>1048</v>
      </c>
      <c r="N403" s="17"/>
    </row>
    <row r="404" spans="1:14" ht="12.75" customHeight="1" x14ac:dyDescent="0.2">
      <c r="A404" s="38"/>
      <c r="B404" s="38" t="s">
        <v>2098</v>
      </c>
      <c r="C404" s="17"/>
      <c r="D404" s="17"/>
      <c r="E404" s="17"/>
      <c r="F404" s="17"/>
      <c r="G404" s="540" t="s">
        <v>3037</v>
      </c>
      <c r="H404" s="38" t="s">
        <v>624</v>
      </c>
      <c r="I404" s="276"/>
      <c r="J404" s="294" t="str">
        <f>IF(ISBLANK(HLOOKUP(CaseName,CaseData,MATCH($G404,cases!$G$4:$G$2458,0),FALSE)),"",HLOOKUP(CaseName,CaseData,MATCH($G404,cases!$G$4:$G$2458,0),FALSE))</f>
        <v/>
      </c>
      <c r="K404" s="617">
        <f>L405 - SUM((L416*L341+L417*L342)/L343,L453,L357)</f>
        <v>8.01688476423121E-6</v>
      </c>
      <c r="L404" s="298">
        <f t="shared" si="27"/>
        <v>8.01688476423121E-6</v>
      </c>
      <c r="M404" s="17" t="s">
        <v>1892</v>
      </c>
      <c r="N404" s="17"/>
    </row>
    <row r="405" spans="1:14" ht="12.75" customHeight="1" x14ac:dyDescent="0.2">
      <c r="A405" s="38"/>
      <c r="B405" s="38"/>
      <c r="C405" s="17" t="s">
        <v>2100</v>
      </c>
      <c r="D405" s="17"/>
      <c r="E405" s="17"/>
      <c r="F405" s="17"/>
      <c r="G405" s="540" t="s">
        <v>3038</v>
      </c>
      <c r="H405" s="38" t="s">
        <v>624</v>
      </c>
      <c r="I405" s="276"/>
      <c r="J405" s="294" t="str">
        <f>IF(ISBLANK(HLOOKUP(CaseName,CaseData,MATCH($G405,cases!$G$4:$G$2458,0),FALSE)),"",HLOOKUP(CaseName,CaseData,MATCH($G405,cases!$G$4:$G$2458,0),FALSE))</f>
        <v/>
      </c>
      <c r="K405" s="617">
        <f>((1/L406)*L408/(L408+L409)+(1/L407)*L409/(L408+L409)-((1/L407-1/L406)^2/(L408+L409))*(1-EXP(-L406*L408))*(1-EXP(-L407*L409))/(1-EXP(-L406*L408-L407*L409)))^-1</f>
        <v>8.7092266164786519E-6</v>
      </c>
      <c r="L405" s="298">
        <f t="shared" si="27"/>
        <v>8.7092266164786519E-6</v>
      </c>
      <c r="M405" s="17" t="s">
        <v>1048</v>
      </c>
      <c r="N405" s="17"/>
    </row>
    <row r="406" spans="1:14" ht="12.75" customHeight="1" x14ac:dyDescent="0.2">
      <c r="A406" s="38"/>
      <c r="B406" s="38"/>
      <c r="C406" s="38"/>
      <c r="D406" s="38" t="s">
        <v>3039</v>
      </c>
      <c r="E406" s="17"/>
      <c r="F406" s="17"/>
      <c r="G406" s="540" t="s">
        <v>3040</v>
      </c>
      <c r="H406" s="38" t="s">
        <v>624</v>
      </c>
      <c r="I406" s="276"/>
      <c r="J406" s="294" t="str">
        <f>IF(ISBLANK(HLOOKUP(CaseName,CaseData,MATCH($G406,cases!$G$4:$G$2458,0),FALSE)),"",HLOOKUP(CaseName,CaseData,MATCH($G406,cases!$G$4:$G$2458,0),FALSE))</f>
        <v/>
      </c>
      <c r="K406" s="617">
        <f>L410/L343 + SUM((L416*L341+L417*L342)/L343,L453,L357)</f>
        <v>1.692341852247019E-6</v>
      </c>
      <c r="L406" s="298">
        <f t="shared" si="27"/>
        <v>1.692341852247019E-6</v>
      </c>
      <c r="M406" s="17" t="s">
        <v>1048</v>
      </c>
      <c r="N406" s="17"/>
    </row>
    <row r="407" spans="1:14" ht="12.75" customHeight="1" x14ac:dyDescent="0.2">
      <c r="A407" s="38"/>
      <c r="B407" s="38"/>
      <c r="C407" s="38"/>
      <c r="D407" s="38" t="s">
        <v>3041</v>
      </c>
      <c r="E407" s="17"/>
      <c r="F407" s="17"/>
      <c r="G407" s="540" t="s">
        <v>3042</v>
      </c>
      <c r="H407" s="38" t="s">
        <v>624</v>
      </c>
      <c r="I407" s="276"/>
      <c r="J407" s="294" t="str">
        <f>IF(ISBLANK(HLOOKUP(CaseName,CaseData,MATCH($G407,cases!$G$4:$G$2458,0),FALSE)),"",HLOOKUP(CaseName,CaseData,MATCH($G407,cases!$G$4:$G$2458,0),FALSE))</f>
        <v/>
      </c>
      <c r="K407" s="617">
        <f>(L411+L412)/L343 + SUM((L416*L341+L417*L342)/L343,L453,L357)</f>
        <v>2220096.4360571597</v>
      </c>
      <c r="L407" s="298">
        <f t="shared" si="27"/>
        <v>2220096.4360571597</v>
      </c>
      <c r="M407" s="17" t="s">
        <v>1048</v>
      </c>
      <c r="N407" s="17"/>
    </row>
    <row r="408" spans="1:14" ht="12.75" customHeight="1" x14ac:dyDescent="0.2">
      <c r="A408" s="38"/>
      <c r="B408" s="38"/>
      <c r="C408" s="17" t="s">
        <v>1195</v>
      </c>
      <c r="D408" s="17"/>
      <c r="E408" s="17"/>
      <c r="F408" s="17"/>
      <c r="G408" s="17" t="s">
        <v>3043</v>
      </c>
      <c r="H408" s="17" t="s">
        <v>1197</v>
      </c>
      <c r="I408" s="276"/>
      <c r="J408" s="294" t="str">
        <f>IF(ISBLANK(HLOOKUP(CaseName,CaseData,MATCH($G408,cases!$G$4:$G$2458,0),FALSE)),"",HLOOKUP(CaseName,CaseData,MATCH($G408,cases!$G$4:$G$2458,0),FALSE))</f>
        <v/>
      </c>
      <c r="K408" s="617">
        <f>3.3*24</f>
        <v>79.199999999999989</v>
      </c>
      <c r="L408" s="298">
        <f>IF(ISBLANK(I408),IF(ISNUMBER(J408)=FALSE,K408*3600,J408*3600),I408*3600)</f>
        <v>285119.99999999994</v>
      </c>
      <c r="M408" s="38" t="s">
        <v>1052</v>
      </c>
      <c r="N408" s="17"/>
    </row>
    <row r="409" spans="1:14" ht="12.75" customHeight="1" x14ac:dyDescent="0.2">
      <c r="A409" s="38"/>
      <c r="B409" s="38"/>
      <c r="C409" s="17" t="s">
        <v>1198</v>
      </c>
      <c r="D409" s="17"/>
      <c r="E409" s="17"/>
      <c r="F409" s="17"/>
      <c r="G409" s="17" t="s">
        <v>3044</v>
      </c>
      <c r="H409" s="17" t="s">
        <v>1197</v>
      </c>
      <c r="I409" s="276"/>
      <c r="J409" s="294" t="str">
        <f>IF(ISBLANK(HLOOKUP(CaseName,CaseData,MATCH($G409,cases!$G$4:$G$2458,0),FALSE)),"",HLOOKUP(CaseName,CaseData,MATCH($G409,cases!$G$4:$G$2458,0),FALSE))</f>
        <v/>
      </c>
      <c r="K409" s="617">
        <f>3.3*24*(0.06/(1-0.06))</f>
        <v>5.0553191489361691</v>
      </c>
      <c r="L409" s="298">
        <f>IF(ISBLANK(I409),IF(ISNUMBER(J409)=FALSE,K409*3600,J409*3600),I409*3600)</f>
        <v>18199.148936170208</v>
      </c>
      <c r="M409" s="38" t="s">
        <v>3045</v>
      </c>
      <c r="N409" s="17"/>
    </row>
    <row r="410" spans="1:14" ht="12.75" customHeight="1" x14ac:dyDescent="0.2">
      <c r="A410" s="38"/>
      <c r="B410" s="38"/>
      <c r="C410" s="38" t="s">
        <v>1200</v>
      </c>
      <c r="D410" s="17"/>
      <c r="E410" s="17"/>
      <c r="F410" s="17"/>
      <c r="G410" s="146" t="s">
        <v>3046</v>
      </c>
      <c r="H410" s="31" t="s">
        <v>1202</v>
      </c>
      <c r="I410" s="281"/>
      <c r="J410" s="294" t="str">
        <f>IF(ISBLANK(HLOOKUP(CaseName,CaseData,MATCH($G410,cases!$G$4:$G$2458,0),FALSE)),"",HLOOKUP(CaseName,CaseData,MATCH($G410,cases!$G$4:$G$2458,0),FALSE))</f>
        <v/>
      </c>
      <c r="K410" s="617">
        <f>L413*(L371+L372)</f>
        <v>9.9999999999957675E-4</v>
      </c>
      <c r="L410" s="298">
        <f>IF(ISBLANK(I410),IF(ISNUMBER(J410)=FALSE,K410,J410),I410)</f>
        <v>9.9999999999957675E-4</v>
      </c>
      <c r="M410" s="17" t="s">
        <v>697</v>
      </c>
      <c r="N410" s="17"/>
    </row>
    <row r="411" spans="1:14" ht="12.75" customHeight="1" x14ac:dyDescent="0.2">
      <c r="A411" s="38"/>
      <c r="B411" s="38"/>
      <c r="C411" s="38" t="s">
        <v>1203</v>
      </c>
      <c r="D411" s="17"/>
      <c r="E411" s="17"/>
      <c r="F411" s="17"/>
      <c r="G411" s="38" t="s">
        <v>3047</v>
      </c>
      <c r="H411" s="146" t="s">
        <v>1202</v>
      </c>
      <c r="I411" s="281"/>
      <c r="J411" s="294" t="str">
        <f>IF(ISBLANK(HLOOKUP(CaseName,CaseData,MATCH($G411,cases!$G$4:$G$2458,0),FALSE)),"",HLOOKUP(CaseName,CaseData,MATCH($G411,cases!$G$4:$G$2458,0),FALSE))</f>
        <v/>
      </c>
      <c r="K411" s="617">
        <f>L372*(L408+L409)/L409*L414*L415</f>
        <v>6.6446522504205081E-3</v>
      </c>
      <c r="L411" s="298">
        <f>IF(ISBLANK(I411),IF(ISNUMBER(J411)=FALSE,K411,J411),I411)</f>
        <v>6.6446522504205081E-3</v>
      </c>
      <c r="M411" s="17" t="s">
        <v>697</v>
      </c>
      <c r="N411" s="17"/>
    </row>
    <row r="412" spans="1:14" ht="12.75" customHeight="1" x14ac:dyDescent="0.2">
      <c r="A412" s="38"/>
      <c r="B412" s="38"/>
      <c r="C412" s="38" t="s">
        <v>2110</v>
      </c>
      <c r="D412" s="17"/>
      <c r="E412" s="17"/>
      <c r="F412" s="17"/>
      <c r="G412" s="38" t="s">
        <v>3048</v>
      </c>
      <c r="H412" s="146" t="s">
        <v>1202</v>
      </c>
      <c r="I412" s="281"/>
      <c r="J412" s="294" t="str">
        <f>IF(ISBLANK(HLOOKUP(CaseName,CaseData,MATCH($G412,cases!$G$4:$G$2458,0),FALSE)),"",HLOOKUP(CaseName,CaseData,MATCH($G412,cases!$G$4:$G$2458,0),FALSE))</f>
        <v/>
      </c>
      <c r="K412" s="617">
        <f>L370*(L408+L409)/L409*L414/(L373*FRorig.aerw)</f>
        <v>2220096436.0498223</v>
      </c>
      <c r="L412" s="298">
        <f>IF(ISBLANK(I412),IF(ISNUMBER(J412)=FALSE,K412,J412),I412)</f>
        <v>2220096436.0498223</v>
      </c>
      <c r="M412" s="17" t="s">
        <v>697</v>
      </c>
      <c r="N412" s="17"/>
    </row>
    <row r="413" spans="1:14" ht="12.75" customHeight="1" x14ac:dyDescent="0.2">
      <c r="A413" s="38"/>
      <c r="B413" s="38"/>
      <c r="C413" s="17"/>
      <c r="D413" s="146" t="s">
        <v>1207</v>
      </c>
      <c r="E413" s="146"/>
      <c r="F413" s="146"/>
      <c r="G413" s="146" t="s">
        <v>3049</v>
      </c>
      <c r="H413" s="31" t="s">
        <v>1202</v>
      </c>
      <c r="I413" s="281"/>
      <c r="J413" s="294" t="str">
        <f>IF(ISBLANK(HLOOKUP(CaseName,CaseData,MATCH($G413,cases!$G$4:$G$2458,0),FALSE)),"",HLOOKUP(CaseName,CaseData,MATCH($G413,cases!$G$4:$G$2458,0),FALSE))</f>
        <v/>
      </c>
      <c r="K413" s="617">
        <v>1E-3</v>
      </c>
      <c r="L413" s="298">
        <f>IF(ISBLANK(I413),IF(ISNUMBER(J413)=FALSE,K413,J413),I413)</f>
        <v>1E-3</v>
      </c>
      <c r="M413" s="17" t="s">
        <v>697</v>
      </c>
      <c r="N413" s="17"/>
    </row>
    <row r="414" spans="1:14" ht="12.75" customHeight="1" x14ac:dyDescent="0.2">
      <c r="A414" s="38"/>
      <c r="B414" s="38"/>
      <c r="C414" s="17"/>
      <c r="D414" s="38" t="s">
        <v>2673</v>
      </c>
      <c r="E414" s="146"/>
      <c r="F414" s="146"/>
      <c r="G414" s="146" t="s">
        <v>3050</v>
      </c>
      <c r="H414" s="146" t="s">
        <v>2675</v>
      </c>
      <c r="I414" s="281"/>
      <c r="J414" s="294" t="str">
        <f>IF(ISBLANK(HLOOKUP(CaseName,CaseData,MATCH($G414,cases!$G$4:$G$2458,0),FALSE)),"",HLOOKUP(CaseName,CaseData,MATCH($G414,cases!$G$4:$G$2458,0),FALSE))</f>
        <v/>
      </c>
      <c r="K414" s="617">
        <v>250</v>
      </c>
      <c r="L414" s="298">
        <f>IF(ISBLANK(I414),IF(ISNUMBER(J414)=FALSE,K414/(1000*3600*24*365),J414/(1000*3600*24*365)),I414/(1000*3600*24*365))</f>
        <v>7.9274479959411465E-9</v>
      </c>
      <c r="M414" s="17" t="s">
        <v>697</v>
      </c>
      <c r="N414" s="17"/>
    </row>
    <row r="415" spans="1:14" ht="12.75" customHeight="1" x14ac:dyDescent="0.2">
      <c r="A415" s="38"/>
      <c r="B415" s="38"/>
      <c r="C415" s="17"/>
      <c r="D415" s="38" t="s">
        <v>1209</v>
      </c>
      <c r="E415" s="17"/>
      <c r="F415" s="17"/>
      <c r="G415" s="146" t="s">
        <v>3051</v>
      </c>
      <c r="H415" s="38" t="s">
        <v>296</v>
      </c>
      <c r="I415" s="281"/>
      <c r="J415" s="294" t="str">
        <f>IF(ISBLANK(HLOOKUP(CaseName,CaseData,MATCH($G415,cases!$G$4:$G$2458,0),FALSE)),"",HLOOKUP(CaseName,CaseData,MATCH($G415,cases!$G$4:$G$2458,0),FALSE))</f>
        <v/>
      </c>
      <c r="K415" s="617">
        <v>200000</v>
      </c>
      <c r="L415" s="298">
        <f t="shared" ref="L415:L425" si="28">IF(ISBLANK(I415),IF(ISNUMBER(J415)=FALSE,K415,J415),I415)</f>
        <v>200000</v>
      </c>
      <c r="M415" s="38" t="s">
        <v>297</v>
      </c>
      <c r="N415" s="17"/>
    </row>
    <row r="416" spans="1:14" ht="12.75" customHeight="1" x14ac:dyDescent="0.2">
      <c r="A416" s="38"/>
      <c r="B416" s="38" t="s">
        <v>1211</v>
      </c>
      <c r="C416" s="17"/>
      <c r="D416" s="38"/>
      <c r="E416" s="17"/>
      <c r="F416" s="17"/>
      <c r="G416" s="146" t="s">
        <v>3052</v>
      </c>
      <c r="H416" s="38" t="s">
        <v>873</v>
      </c>
      <c r="I416" s="281"/>
      <c r="J416" s="294" t="str">
        <f>IF(ISBLANK(HLOOKUP(CaseName,CaseData,MATCH($G416,cases!$G$4:$G$2458,0),FALSE)),"",HLOOKUP(CaseName,CaseData,MATCH($G416,cases!$G$4:$G$2458,0),FALSE))</f>
        <v/>
      </c>
      <c r="K416" s="617">
        <f>L370*(L420*L421/(L420*(L373*FRorig.w2)+L421))</f>
        <v>2.7548278268381724E-15</v>
      </c>
      <c r="L416" s="298">
        <f t="shared" si="28"/>
        <v>2.7548278268381724E-15</v>
      </c>
      <c r="M416" s="38"/>
      <c r="N416" s="17"/>
    </row>
    <row r="417" spans="1:14" ht="12.75" customHeight="1" x14ac:dyDescent="0.2">
      <c r="A417" s="38"/>
      <c r="B417" s="38" t="s">
        <v>1213</v>
      </c>
      <c r="C417" s="17"/>
      <c r="D417" s="38"/>
      <c r="E417" s="17"/>
      <c r="F417" s="17"/>
      <c r="G417" s="146" t="s">
        <v>3053</v>
      </c>
      <c r="H417" s="38" t="s">
        <v>873</v>
      </c>
      <c r="I417" s="281"/>
      <c r="J417" s="294" t="str">
        <f>IF(ISBLANK(HLOOKUP(CaseName,CaseData,MATCH($G417,cases!$G$4:$G$2458,0),FALSE)),"",HLOOKUP(CaseName,CaseData,MATCH($G417,cases!$G$4:$G$2458,0),FALSE))</f>
        <v/>
      </c>
      <c r="K417" s="617">
        <f>L370*(L423*L424)/(L423*((L373*FRorig.s1w)/L392)+L424)</f>
        <v>4.4348729799631339E-16</v>
      </c>
      <c r="L417" s="298">
        <f t="shared" si="28"/>
        <v>4.4348729799631339E-16</v>
      </c>
      <c r="M417" s="38"/>
      <c r="N417" s="17"/>
    </row>
    <row r="418" spans="1:14" ht="12.75" customHeight="1" x14ac:dyDescent="0.2">
      <c r="A418" s="38"/>
      <c r="B418" s="38" t="s">
        <v>2679</v>
      </c>
      <c r="C418" s="17"/>
      <c r="D418" s="38"/>
      <c r="E418" s="17"/>
      <c r="F418" s="17"/>
      <c r="G418" s="146" t="s">
        <v>3054</v>
      </c>
      <c r="H418" s="38" t="s">
        <v>873</v>
      </c>
      <c r="I418" s="281"/>
      <c r="J418" s="294" t="str">
        <f>IF(ISBLANK(HLOOKUP(CaseName,CaseData,MATCH($G418,cases!$G$4:$G$2458,0),FALSE)),"",HLOOKUP(CaseName,CaseData,MATCH($G418,cases!$G$4:$G$2458,0),FALSE))</f>
        <v/>
      </c>
      <c r="K418" s="617">
        <f>(L420*L421/(L420*(L373*FRorig.w2)+L421))*(L373*FRorig.w2)*L377</f>
        <v>1.6382953303749379E-31</v>
      </c>
      <c r="L418" s="298">
        <f t="shared" si="28"/>
        <v>1.6382953303749379E-31</v>
      </c>
      <c r="M418" s="38"/>
      <c r="N418" s="17"/>
    </row>
    <row r="419" spans="1:14" ht="12.75" customHeight="1" x14ac:dyDescent="0.2">
      <c r="A419" s="38"/>
      <c r="B419" s="38" t="s">
        <v>2681</v>
      </c>
      <c r="C419" s="17"/>
      <c r="D419" s="38"/>
      <c r="E419" s="17"/>
      <c r="F419" s="17"/>
      <c r="G419" s="146" t="s">
        <v>3055</v>
      </c>
      <c r="H419" s="38" t="s">
        <v>873</v>
      </c>
      <c r="I419" s="281"/>
      <c r="J419" s="294" t="str">
        <f>IF(ISBLANK(HLOOKUP(CaseName,CaseData,MATCH($G419,cases!$G$4:$G$2458,0),FALSE)),"",HLOOKUP(CaseName,CaseData,MATCH($G419,cases!$G$4:$G$2458,0),FALSE))</f>
        <v/>
      </c>
      <c r="K419" s="617">
        <f>(L423*L424)/(L423+L424/((L373*FRorig.s1w)/L392))*L425</f>
        <v>1.1105641797277852E-33</v>
      </c>
      <c r="L419" s="298">
        <f t="shared" si="28"/>
        <v>1.1105641797277852E-33</v>
      </c>
      <c r="M419" s="38"/>
      <c r="N419" s="17"/>
    </row>
    <row r="420" spans="1:14" ht="12.75" customHeight="1" x14ac:dyDescent="0.2">
      <c r="A420" s="17"/>
      <c r="B420" s="38"/>
      <c r="C420" s="17" t="s">
        <v>1222</v>
      </c>
      <c r="D420" s="17"/>
      <c r="E420" s="17"/>
      <c r="F420" s="17"/>
      <c r="G420" s="17" t="s">
        <v>3056</v>
      </c>
      <c r="H420" s="31" t="s">
        <v>1202</v>
      </c>
      <c r="I420" s="281"/>
      <c r="J420" s="294" t="str">
        <f>IF(ISBLANK(HLOOKUP(CaseName,CaseData,MATCH($G420,cases!$G$4:$G$2458,0),FALSE)),"",HLOOKUP(CaseName,CaseData,MATCH($G420,cases!$G$4:$G$2458,0),FALSE))</f>
        <v/>
      </c>
      <c r="K420" s="617">
        <f>0.01*(0.3+0.2*L422)*((0.018/Molweight)^(0.67*0.5))</f>
        <v>6.508402137399746E-3</v>
      </c>
      <c r="L420" s="298">
        <f t="shared" si="28"/>
        <v>6.508402137399746E-3</v>
      </c>
      <c r="M420" s="17" t="s">
        <v>697</v>
      </c>
      <c r="N420" s="17"/>
    </row>
    <row r="421" spans="1:14" ht="12.75" customHeight="1" x14ac:dyDescent="0.2">
      <c r="A421" s="17"/>
      <c r="B421" s="38"/>
      <c r="C421" s="17" t="s">
        <v>1224</v>
      </c>
      <c r="D421" s="17"/>
      <c r="E421" s="17"/>
      <c r="F421" s="17"/>
      <c r="G421" s="17" t="s">
        <v>3057</v>
      </c>
      <c r="H421" s="31" t="s">
        <v>1202</v>
      </c>
      <c r="I421" s="281"/>
      <c r="J421" s="294" t="str">
        <f>IF(ISBLANK(HLOOKUP(CaseName,CaseData,MATCH($G421,cases!$G$4:$G$2458,0),FALSE)),"",HLOOKUP(CaseName,CaseData,MATCH($G421,cases!$G$4:$G$2458,0),FALSE))</f>
        <v/>
      </c>
      <c r="K421" s="617">
        <f>0.01*(0.0004+0.00004*L422^2)*((0.032/Molweight)^(0.5*0.5))</f>
        <v>6.8902045811906283E-6</v>
      </c>
      <c r="L421" s="298">
        <f t="shared" si="28"/>
        <v>6.8902045811906283E-6</v>
      </c>
      <c r="M421" s="17" t="s">
        <v>697</v>
      </c>
      <c r="N421" s="17"/>
    </row>
    <row r="422" spans="1:14" ht="12.75" customHeight="1" x14ac:dyDescent="0.2">
      <c r="A422" s="38"/>
      <c r="B422" s="17"/>
      <c r="C422" s="146" t="s">
        <v>2685</v>
      </c>
      <c r="D422" s="17"/>
      <c r="E422" s="17"/>
      <c r="F422" s="17"/>
      <c r="G422" s="38" t="s">
        <v>3058</v>
      </c>
      <c r="H422" s="31" t="s">
        <v>1202</v>
      </c>
      <c r="I422" s="281"/>
      <c r="J422" s="294" t="str">
        <f>IF(ISBLANK(HLOOKUP(CaseName,CaseData,MATCH($G422,cases!$G$4:$G$2458,0),FALSE)),"",HLOOKUP(CaseName,CaseData,MATCH($G422,cases!$G$4:$G$2458,0),FALSE))</f>
        <v/>
      </c>
      <c r="K422" s="617">
        <v>3</v>
      </c>
      <c r="L422" s="298">
        <f t="shared" si="28"/>
        <v>3</v>
      </c>
      <c r="M422" s="17" t="s">
        <v>697</v>
      </c>
      <c r="N422" s="17"/>
    </row>
    <row r="423" spans="1:14" ht="12.75" customHeight="1" x14ac:dyDescent="0.2">
      <c r="A423" s="38"/>
      <c r="B423" s="38"/>
      <c r="C423" s="17" t="s">
        <v>1232</v>
      </c>
      <c r="D423" s="17"/>
      <c r="E423" s="146"/>
      <c r="F423" s="146"/>
      <c r="G423" s="17" t="s">
        <v>3059</v>
      </c>
      <c r="H423" s="31" t="s">
        <v>1202</v>
      </c>
      <c r="I423" s="281"/>
      <c r="J423" s="294" t="str">
        <f>IF(ISBLANK(HLOOKUP(CaseName,CaseData,MATCH($G423,cases!$G$4:$G$2458,0),FALSE)),"",HLOOKUP(CaseName,CaseData,MATCH($G423,cases!$G$4:$G$2458,0),FALSE))</f>
        <v/>
      </c>
      <c r="K423" s="617">
        <f>0.43/(24*3600)/0.00475</f>
        <v>1.0477582846003899E-3</v>
      </c>
      <c r="L423" s="298">
        <f t="shared" si="28"/>
        <v>1.0477582846003899E-3</v>
      </c>
      <c r="M423" s="17" t="s">
        <v>697</v>
      </c>
      <c r="N423" s="17"/>
    </row>
    <row r="424" spans="1:14" ht="12.75" customHeight="1" x14ac:dyDescent="0.2">
      <c r="A424" s="38"/>
      <c r="B424" s="38"/>
      <c r="C424" s="17" t="s">
        <v>1234</v>
      </c>
      <c r="D424" s="17"/>
      <c r="E424" s="17"/>
      <c r="F424" s="17"/>
      <c r="G424" s="17" t="s">
        <v>3060</v>
      </c>
      <c r="H424" s="146" t="s">
        <v>1202</v>
      </c>
      <c r="I424" s="281"/>
      <c r="J424" s="294" t="str">
        <f>IF(ISBLANK(HLOOKUP(CaseName,CaseData,MATCH($G424,cases!$G$4:$G$2458,0),FALSE)),"",HLOOKUP(CaseName,CaseData,MATCH($G424,cases!$G$4:$G$2458,0),FALSE))</f>
        <v/>
      </c>
      <c r="K424" s="617">
        <f>0.1*L462</f>
        <v>8.8388347648318441E-23</v>
      </c>
      <c r="L424" s="298">
        <f t="shared" si="28"/>
        <v>8.8388347648318441E-23</v>
      </c>
      <c r="M424" s="17" t="s">
        <v>697</v>
      </c>
      <c r="N424" s="17" t="s">
        <v>2130</v>
      </c>
    </row>
    <row r="425" spans="1:14" ht="12.75" customHeight="1" x14ac:dyDescent="0.2">
      <c r="A425" s="38"/>
      <c r="B425" s="38"/>
      <c r="C425" s="17" t="s">
        <v>1236</v>
      </c>
      <c r="D425" s="17"/>
      <c r="E425" s="146"/>
      <c r="F425" s="17"/>
      <c r="G425" s="38" t="s">
        <v>3061</v>
      </c>
      <c r="H425" s="17" t="s">
        <v>296</v>
      </c>
      <c r="I425" s="276"/>
      <c r="J425" s="294" t="str">
        <f>IF(ISBLANK(HLOOKUP(CaseName,CaseData,MATCH($G425,cases!$G$4:$G$2458,0),FALSE)),"",HLOOKUP(CaseName,CaseData,MATCH($G425,cases!$G$4:$G$2458,0),FALSE))</f>
        <v/>
      </c>
      <c r="K425" s="617">
        <f>(EXP((-1/0.1)*0)*(1/0.1)*L347/(1-EXP((-1/0.1)*L347)))</f>
        <v>1.2707470412683992</v>
      </c>
      <c r="L425" s="298">
        <f t="shared" si="28"/>
        <v>1.2707470412683992</v>
      </c>
      <c r="M425" s="38" t="s">
        <v>297</v>
      </c>
      <c r="N425" s="17" t="s">
        <v>1238</v>
      </c>
    </row>
    <row r="426" spans="1:14" ht="12.75" customHeight="1" x14ac:dyDescent="0.2">
      <c r="A426" s="17"/>
      <c r="B426" s="17"/>
      <c r="C426" s="17"/>
      <c r="D426" s="17"/>
      <c r="E426" s="17"/>
      <c r="F426" s="17"/>
      <c r="G426" s="17"/>
      <c r="H426" s="17"/>
      <c r="I426" s="215"/>
      <c r="J426" s="294" t="str">
        <f>IF(ISBLANK(HLOOKUP(CaseName,CaseData,MATCH($G426,cases!$G$4:$G$2458,0),FALSE)),"",HLOOKUP(CaseName,CaseData,MATCH($G426,cases!$G$4:$G$2458,0),FALSE))</f>
        <v/>
      </c>
      <c r="K426" s="165"/>
      <c r="L426" s="165"/>
      <c r="M426" s="17"/>
      <c r="N426" s="17"/>
    </row>
    <row r="427" spans="1:14" ht="12.75" customHeight="1" x14ac:dyDescent="0.2">
      <c r="A427" s="38" t="s">
        <v>2690</v>
      </c>
      <c r="B427" s="17"/>
      <c r="C427" s="17"/>
      <c r="D427" s="17"/>
      <c r="E427" s="17"/>
      <c r="F427" s="17"/>
      <c r="G427" s="38" t="s">
        <v>3062</v>
      </c>
      <c r="H427" s="38" t="s">
        <v>624</v>
      </c>
      <c r="I427" s="276"/>
      <c r="J427" s="294" t="str">
        <f>IF(ISBLANK(HLOOKUP(CaseName,CaseData,MATCH($G427,cases!$G$4:$G$2458,0),FALSE)),"",HLOOKUP(CaseName,CaseData,MATCH($G427,cases!$G$4:$G$2458,0),FALSE))</f>
        <v/>
      </c>
      <c r="K427" s="617">
        <f>(L429+L435)/L345</f>
        <v>1.6101168434855456E-11</v>
      </c>
      <c r="L427" s="298">
        <f t="shared" ref="L427:L433" si="29">IF(ISBLANK(I427),IF(ISNUMBER(J427)=FALSE,K427,J427),I427)</f>
        <v>1.6101168434855456E-11</v>
      </c>
      <c r="M427" s="17" t="s">
        <v>1048</v>
      </c>
      <c r="N427" s="17"/>
    </row>
    <row r="428" spans="1:14" ht="12.75" customHeight="1" x14ac:dyDescent="0.2">
      <c r="A428" s="38" t="s">
        <v>2692</v>
      </c>
      <c r="B428" s="17"/>
      <c r="C428" s="17"/>
      <c r="D428" s="17"/>
      <c r="E428" s="17"/>
      <c r="F428" s="17"/>
      <c r="G428" s="38" t="s">
        <v>3063</v>
      </c>
      <c r="H428" s="38" t="s">
        <v>624</v>
      </c>
      <c r="I428" s="276"/>
      <c r="J428" s="294" t="str">
        <f>IF(ISBLANK(HLOOKUP(CaseName,CaseData,MATCH($G428,cases!$G$4:$G$2458,0),FALSE)),"",HLOOKUP(CaseName,CaseData,MATCH($G428,cases!$G$4:$G$2458,0),FALSE))</f>
        <v/>
      </c>
      <c r="K428" s="617">
        <f>(L430+L436)/L346</f>
        <v>4.5179059492972771E-8</v>
      </c>
      <c r="L428" s="298">
        <f t="shared" si="29"/>
        <v>4.5179059492972771E-8</v>
      </c>
      <c r="M428" s="17" t="s">
        <v>1048</v>
      </c>
      <c r="N428" s="17"/>
    </row>
    <row r="429" spans="1:14" ht="12.75" customHeight="1" x14ac:dyDescent="0.2">
      <c r="A429" s="38"/>
      <c r="B429" s="38" t="s">
        <v>2694</v>
      </c>
      <c r="C429" s="17"/>
      <c r="D429" s="17"/>
      <c r="E429" s="17"/>
      <c r="F429" s="17"/>
      <c r="G429" s="540" t="s">
        <v>3064</v>
      </c>
      <c r="H429" s="38" t="s">
        <v>1202</v>
      </c>
      <c r="I429" s="276"/>
      <c r="J429" s="294" t="str">
        <f>IF(ISBLANK(HLOOKUP(CaseName,CaseData,MATCH($G429,cases!$G$4:$G$2458,0),FALSE)),"",HLOOKUP(CaseName,CaseData,MATCH($G429,cases!$G$4:$G$2458,0),FALSE))</f>
        <v/>
      </c>
      <c r="K429" s="617">
        <f>L432*(1-L378)</f>
        <v>2.0818344125565744E-8</v>
      </c>
      <c r="L429" s="298">
        <f t="shared" si="29"/>
        <v>2.0818344125565744E-8</v>
      </c>
      <c r="M429" s="17"/>
      <c r="N429" s="17"/>
    </row>
    <row r="430" spans="1:14" ht="12.75" customHeight="1" x14ac:dyDescent="0.2">
      <c r="A430" s="38"/>
      <c r="B430" s="38" t="s">
        <v>2696</v>
      </c>
      <c r="C430" s="17"/>
      <c r="D430" s="17"/>
      <c r="E430" s="17"/>
      <c r="F430" s="17"/>
      <c r="G430" s="540" t="s">
        <v>3065</v>
      </c>
      <c r="H430" s="38" t="s">
        <v>1202</v>
      </c>
      <c r="I430" s="276"/>
      <c r="J430" s="294" t="str">
        <f>IF(ISBLANK(HLOOKUP(CaseName,CaseData,MATCH($G430,cases!$G$4:$G$2458,0),FALSE)),"",HLOOKUP(CaseName,CaseData,MATCH($G430,cases!$G$4:$G$2458,0),FALSE))</f>
        <v/>
      </c>
      <c r="K430" s="617">
        <f>L431-L433</f>
        <v>2.8928843226788437E-10</v>
      </c>
      <c r="L430" s="298">
        <f t="shared" si="29"/>
        <v>2.8928843226788437E-10</v>
      </c>
      <c r="M430" s="17"/>
      <c r="N430" s="17"/>
    </row>
    <row r="431" spans="1:14" ht="12.75" customHeight="1" x14ac:dyDescent="0.2">
      <c r="A431" s="38"/>
      <c r="B431" s="38"/>
      <c r="C431" s="38" t="s">
        <v>1268</v>
      </c>
      <c r="D431" s="38"/>
      <c r="E431" s="17"/>
      <c r="F431" s="17"/>
      <c r="G431" s="146" t="s">
        <v>3066</v>
      </c>
      <c r="H431" s="31" t="s">
        <v>1202</v>
      </c>
      <c r="I431" s="281"/>
      <c r="J431" s="294" t="str">
        <f>IF(ISBLANK(HLOOKUP(CaseName,CaseData,MATCH($G431,cases!$G$4:$G$2458,0),FALSE)),"",HLOOKUP(CaseName,CaseData,MATCH($G431,cases!$G$4:$G$2458,0),FALSE))</f>
        <v/>
      </c>
      <c r="K431" s="617">
        <f>IF(L432*L383/(L355*RHOsolid)&gt;L433,L432*L383/(L355*RHOsolid),L433)</f>
        <v>2.893518518518519E-10</v>
      </c>
      <c r="L431" s="431">
        <f t="shared" si="29"/>
        <v>2.893518518518519E-10</v>
      </c>
      <c r="M431" s="17" t="s">
        <v>697</v>
      </c>
      <c r="N431" s="17"/>
    </row>
    <row r="432" spans="1:14" ht="12.75" customHeight="1" x14ac:dyDescent="0.2">
      <c r="A432" s="38"/>
      <c r="B432" s="38"/>
      <c r="C432" s="17"/>
      <c r="D432" s="38" t="s">
        <v>1272</v>
      </c>
      <c r="E432" s="146"/>
      <c r="F432" s="146"/>
      <c r="G432" s="146" t="s">
        <v>3067</v>
      </c>
      <c r="H432" s="31" t="s">
        <v>1202</v>
      </c>
      <c r="I432" s="281"/>
      <c r="J432" s="294" t="str">
        <f>IF(ISBLANK(HLOOKUP(CaseName,CaseData,MATCH($G432,cases!$G$4:$G$2458,0),FALSE)),"",HLOOKUP(CaseName,CaseData,MATCH($G432,cases!$G$4:$G$2458,0),FALSE))</f>
        <v/>
      </c>
      <c r="K432" s="617">
        <f>2.5/(24*3600)</f>
        <v>2.8935185185185186E-5</v>
      </c>
      <c r="L432" s="431">
        <f t="shared" si="29"/>
        <v>2.8935185185185186E-5</v>
      </c>
      <c r="M432" s="17" t="s">
        <v>697</v>
      </c>
      <c r="N432" s="17"/>
    </row>
    <row r="433" spans="1:14" ht="12.75" customHeight="1" x14ac:dyDescent="0.2">
      <c r="A433" s="38"/>
      <c r="B433" s="38"/>
      <c r="C433" s="17"/>
      <c r="D433" s="38" t="s">
        <v>2700</v>
      </c>
      <c r="E433" s="146"/>
      <c r="F433" s="146"/>
      <c r="G433" s="146" t="s">
        <v>3068</v>
      </c>
      <c r="H433" s="31" t="s">
        <v>1202</v>
      </c>
      <c r="I433" s="281"/>
      <c r="J433" s="294" t="str">
        <f>IF(ISBLANK(HLOOKUP(CaseName,CaseData,MATCH($G433,cases!$G$4:$G$2458,0),FALSE)),"",HLOOKUP(CaseName,CaseData,MATCH($G433,cases!$G$4:$G$2458,0),FALSE))</f>
        <v/>
      </c>
      <c r="K433" s="617">
        <v>6.3419583967528499E-14</v>
      </c>
      <c r="L433" s="298">
        <f t="shared" si="29"/>
        <v>6.3419583967528499E-14</v>
      </c>
      <c r="M433" s="17" t="s">
        <v>697</v>
      </c>
      <c r="N433" s="17" t="s">
        <v>1279</v>
      </c>
    </row>
    <row r="434" spans="1:14" ht="12.75" customHeight="1" x14ac:dyDescent="0.2">
      <c r="A434" s="38"/>
      <c r="B434" s="38"/>
      <c r="C434" s="38"/>
      <c r="D434" s="17"/>
      <c r="E434" s="38" t="s">
        <v>2702</v>
      </c>
      <c r="F434" s="38"/>
      <c r="G434" s="146" t="s">
        <v>3069</v>
      </c>
      <c r="H434" s="38" t="s">
        <v>1284</v>
      </c>
      <c r="I434" s="281"/>
      <c r="J434" s="294" t="str">
        <f>IF(ISBLANK(HLOOKUP(CaseName,CaseData,MATCH($G434,cases!$G$4:$G$2458,0),FALSE)),"",HLOOKUP(CaseName,CaseData,MATCH($G434,cases!$G$4:$G$2458,0),FALSE))</f>
        <v/>
      </c>
      <c r="K434" s="617">
        <v>1</v>
      </c>
      <c r="L434" s="756">
        <f>IF(ISBLANK(I434),IF(ISNUMBER(J434)=FALSE,K434/(1000*3600*24*365)*L341*L340,J434/(1000*3600*24*365)*L341*L340),I434/(1000*3600*24*365)*L341*L340)</f>
        <v>808.59969558599687</v>
      </c>
      <c r="M434" s="38" t="s">
        <v>1285</v>
      </c>
      <c r="N434" s="17" t="s">
        <v>3070</v>
      </c>
    </row>
    <row r="435" spans="1:14" ht="12.75" customHeight="1" x14ac:dyDescent="0.2">
      <c r="A435" s="38"/>
      <c r="B435" s="17" t="s">
        <v>2705</v>
      </c>
      <c r="C435" s="146"/>
      <c r="D435" s="146"/>
      <c r="E435" s="17"/>
      <c r="F435" s="17"/>
      <c r="G435" s="540" t="s">
        <v>3071</v>
      </c>
      <c r="H435" s="38" t="s">
        <v>1202</v>
      </c>
      <c r="I435" s="281"/>
      <c r="J435" s="294" t="str">
        <f>IF(ISBLANK(HLOOKUP(CaseName,CaseData,MATCH($G435,cases!$G$4:$G$2458,0),FALSE)),"",HLOOKUP(CaseName,CaseData,MATCH($G435,cases!$G$4:$G$2458,0),FALSE))</f>
        <v/>
      </c>
      <c r="K435" s="617">
        <f>(L437*L438)/(L437+L438)*L378</f>
        <v>2.7485161179000623E-8</v>
      </c>
      <c r="L435" s="298">
        <f>IF(ISBLANK(I435),IF(ISNUMBER(J435)=FALSE,K435,J435),I435)</f>
        <v>2.7485161179000623E-8</v>
      </c>
      <c r="M435" s="38"/>
      <c r="N435" s="17"/>
    </row>
    <row r="436" spans="1:14" ht="12.75" customHeight="1" x14ac:dyDescent="0.2">
      <c r="A436" s="38"/>
      <c r="B436" s="17" t="s">
        <v>2707</v>
      </c>
      <c r="C436" s="146"/>
      <c r="D436" s="146"/>
      <c r="E436" s="17"/>
      <c r="F436" s="17"/>
      <c r="G436" s="540" t="s">
        <v>3072</v>
      </c>
      <c r="H436" s="38" t="s">
        <v>1202</v>
      </c>
      <c r="I436" s="281"/>
      <c r="J436" s="294" t="str">
        <f>IF(ISBLANK(HLOOKUP(CaseName,CaseData,MATCH($G436,cases!$G$4:$G$2458,0),FALSE)),"",HLOOKUP(CaseName,CaseData,MATCH($G436,cases!$G$4:$G$2458,0),FALSE))</f>
        <v/>
      </c>
      <c r="K436" s="617">
        <f>(L437*L438/(L437+L438))/L389</f>
        <v>1.0660833525212988E-9</v>
      </c>
      <c r="L436" s="298">
        <f>IF(ISBLANK(I436),IF(ISNUMBER(J436)=FALSE,K436,J436),I436)</f>
        <v>1.0660833525212988E-9</v>
      </c>
      <c r="M436" s="38"/>
      <c r="N436" s="17"/>
    </row>
    <row r="437" spans="1:14" ht="12.75" customHeight="1" x14ac:dyDescent="0.2">
      <c r="A437" s="38"/>
      <c r="B437" s="38"/>
      <c r="C437" s="17" t="s">
        <v>1296</v>
      </c>
      <c r="D437" s="17"/>
      <c r="E437" s="17"/>
      <c r="F437" s="17"/>
      <c r="G437" s="17" t="s">
        <v>3073</v>
      </c>
      <c r="H437" s="31" t="s">
        <v>1202</v>
      </c>
      <c r="I437" s="281"/>
      <c r="J437" s="294" t="str">
        <f>IF(ISBLANK(HLOOKUP(CaseName,CaseData,MATCH($G437,cases!$G$4:$G$2458,0),FALSE)),"",HLOOKUP(CaseName,CaseData,MATCH($G437,cases!$G$4:$G$2458,0),FALSE))</f>
        <v/>
      </c>
      <c r="K437" s="625">
        <v>2.7779999999999999E-6</v>
      </c>
      <c r="L437" s="298">
        <f>IF(ISBLANK(I437),IF(ISNUMBER(J437)=FALSE,K437,J437),I437)</f>
        <v>2.7779999999999999E-6</v>
      </c>
      <c r="M437" s="17" t="s">
        <v>697</v>
      </c>
      <c r="N437" s="17"/>
    </row>
    <row r="438" spans="1:14" ht="12.75" customHeight="1" x14ac:dyDescent="0.2">
      <c r="A438" s="38"/>
      <c r="B438" s="38"/>
      <c r="C438" s="17" t="s">
        <v>1298</v>
      </c>
      <c r="D438" s="17"/>
      <c r="E438" s="17"/>
      <c r="F438" s="17"/>
      <c r="G438" s="17" t="s">
        <v>3074</v>
      </c>
      <c r="H438" s="31" t="s">
        <v>1202</v>
      </c>
      <c r="I438" s="281"/>
      <c r="J438" s="294" t="str">
        <f>IF(ISBLANK(HLOOKUP(CaseName,CaseData,MATCH($G438,cases!$G$4:$G$2458,0),FALSE)),"",HLOOKUP(CaseName,CaseData,MATCH($G438,cases!$G$4:$G$2458,0),FALSE))</f>
        <v/>
      </c>
      <c r="K438" s="625">
        <v>2.7779999999999998E-8</v>
      </c>
      <c r="L438" s="298">
        <f>IF(ISBLANK(I438),IF(ISNUMBER(J438)=FALSE,K438,J438),I438)</f>
        <v>2.7779999999999998E-8</v>
      </c>
      <c r="M438" s="17" t="s">
        <v>697</v>
      </c>
      <c r="N438" s="17"/>
    </row>
    <row r="439" spans="1:14" ht="12.75" customHeight="1" x14ac:dyDescent="0.2">
      <c r="A439" s="17"/>
      <c r="B439" s="17"/>
      <c r="C439" s="17"/>
      <c r="D439" s="17"/>
      <c r="E439" s="17"/>
      <c r="F439" s="17"/>
      <c r="G439" s="17"/>
      <c r="H439" s="17"/>
      <c r="I439" s="215"/>
      <c r="J439" s="294" t="str">
        <f>IF(ISBLANK(HLOOKUP(CaseName,CaseData,MATCH($G439,cases!$G$4:$G$2458,0),FALSE)),"",HLOOKUP(CaseName,CaseData,MATCH($G439,cases!$G$4:$G$2458,0),FALSE))</f>
        <v/>
      </c>
      <c r="K439" s="165"/>
      <c r="L439" s="165"/>
      <c r="M439" s="17"/>
      <c r="N439" s="17"/>
    </row>
    <row r="440" spans="1:14" ht="12.75" customHeight="1" x14ac:dyDescent="0.2">
      <c r="A440" s="38" t="s">
        <v>3075</v>
      </c>
      <c r="B440" s="17"/>
      <c r="C440" s="17"/>
      <c r="D440" s="17"/>
      <c r="E440" s="17"/>
      <c r="F440" s="17"/>
      <c r="G440" s="38" t="s">
        <v>3076</v>
      </c>
      <c r="H440" s="38" t="s">
        <v>624</v>
      </c>
      <c r="I440" s="276"/>
      <c r="J440" s="294" t="str">
        <f>IF(ISBLANK(HLOOKUP(CaseName,CaseData,MATCH($G440,cases!$G$4:$G$2458,0),FALSE)),"",HLOOKUP(CaseName,CaseData,MATCH($G440,cases!$G$4:$G$2458,0),FALSE))</f>
        <v/>
      </c>
      <c r="K440" s="428">
        <f>(L414*L442/L392+L441)*L443/L347</f>
        <v>1.6920216252100849E-9</v>
      </c>
      <c r="L440" s="298">
        <f>IF(ISBLANK(I440),IF(ISNUMBER(J440)=FALSE,K440,J440),I440)</f>
        <v>1.6920216252100849E-9</v>
      </c>
      <c r="M440" s="17" t="s">
        <v>1048</v>
      </c>
      <c r="N440" s="17"/>
    </row>
    <row r="441" spans="1:14" ht="12.75" customHeight="1" x14ac:dyDescent="0.2">
      <c r="A441" s="17"/>
      <c r="B441" s="17"/>
      <c r="C441" s="146" t="s">
        <v>2713</v>
      </c>
      <c r="D441" s="17"/>
      <c r="E441" s="17"/>
      <c r="F441" s="17"/>
      <c r="G441" s="146" t="s">
        <v>3077</v>
      </c>
      <c r="H441" s="146" t="s">
        <v>1202</v>
      </c>
      <c r="I441" s="281"/>
      <c r="J441" s="294" t="str">
        <f>IF(ISBLANK(HLOOKUP(CaseName,CaseData,MATCH($G441,cases!$G$4:$G$2458,0),FALSE)),"",HLOOKUP(CaseName,CaseData,MATCH($G441,cases!$G$4:$G$2458,0),FALSE))</f>
        <v/>
      </c>
      <c r="K441" s="428">
        <f>EROSION.C</f>
        <v>9.5129375951293754E-13</v>
      </c>
      <c r="L441" s="298">
        <f>IF(ISBLANK(I441),IF(ISNUMBER(J441)=FALSE,K441,J441),I441)</f>
        <v>9.5129375951293754E-13</v>
      </c>
      <c r="M441" s="17" t="s">
        <v>697</v>
      </c>
      <c r="N441" s="17"/>
    </row>
    <row r="442" spans="1:14" ht="12.75" customHeight="1" x14ac:dyDescent="0.2">
      <c r="A442" s="17"/>
      <c r="B442" s="17"/>
      <c r="C442" s="38" t="s">
        <v>2715</v>
      </c>
      <c r="D442" s="17"/>
      <c r="E442" s="17"/>
      <c r="F442" s="17"/>
      <c r="G442" s="146" t="s">
        <v>3078</v>
      </c>
      <c r="H442" s="38" t="s">
        <v>296</v>
      </c>
      <c r="I442" s="281"/>
      <c r="J442" s="294" t="str">
        <f>IF(ISBLANK(HLOOKUP(CaseName,CaseData,MATCH($G442,cases!$G$4:$G$2458,0),FALSE)),"",HLOOKUP(CaseName,CaseData,MATCH($G442,cases!$G$4:$G$2458,0),FALSE))</f>
        <v/>
      </c>
      <c r="K442" s="428">
        <f>FRACrun.C</f>
        <v>0.25</v>
      </c>
      <c r="L442" s="298">
        <f>IF(ISBLANK(I442),IF(ISNUMBER(J442)=FALSE,K442,J442),I442)</f>
        <v>0.25</v>
      </c>
      <c r="M442" s="17" t="s">
        <v>297</v>
      </c>
      <c r="N442" s="17"/>
    </row>
    <row r="443" spans="1:14" ht="12.75" customHeight="1" x14ac:dyDescent="0.2">
      <c r="A443" s="38"/>
      <c r="B443" s="38"/>
      <c r="C443" s="17" t="s">
        <v>1236</v>
      </c>
      <c r="D443" s="17"/>
      <c r="E443" s="146"/>
      <c r="F443" s="146"/>
      <c r="G443" s="38" t="s">
        <v>3079</v>
      </c>
      <c r="H443" s="17" t="s">
        <v>296</v>
      </c>
      <c r="I443" s="276"/>
      <c r="J443" s="294" t="str">
        <f>IF(ISBLANK(HLOOKUP(CaseName,CaseData,MATCH($G443,cases!$G$4:$G$2458,0),FALSE)),"",HLOOKUP(CaseName,CaseData,MATCH($G443,cases!$G$4:$G$2458,0),FALSE))</f>
        <v/>
      </c>
      <c r="K443" s="428">
        <f>(EXP((-1/0.1)*0)*(1/0.1)*L347/(1-EXP((-1/0.1)*L347)))</f>
        <v>1.2707470412683992</v>
      </c>
      <c r="L443" s="298">
        <f>IF(ISBLANK(I443),IF(ISNUMBER(J443)=FALSE,K443,J443),I443)</f>
        <v>1.2707470412683992</v>
      </c>
      <c r="M443" s="38" t="s">
        <v>297</v>
      </c>
      <c r="N443" s="17" t="s">
        <v>1238</v>
      </c>
    </row>
    <row r="444" spans="1:14" ht="12.75" customHeight="1" x14ac:dyDescent="0.2">
      <c r="A444" s="17"/>
      <c r="B444" s="17"/>
      <c r="C444" s="17"/>
      <c r="D444" s="146"/>
      <c r="E444" s="17"/>
      <c r="F444" s="17"/>
      <c r="G444" s="17"/>
      <c r="H444" s="17"/>
      <c r="I444" s="265"/>
      <c r="J444" s="294"/>
      <c r="K444" s="296"/>
      <c r="L444" s="165"/>
      <c r="M444" s="17"/>
      <c r="N444" s="17"/>
    </row>
    <row r="445" spans="1:14" customFormat="1" ht="12.75" customHeight="1" x14ac:dyDescent="0.2">
      <c r="A445" s="148" t="s">
        <v>1321</v>
      </c>
      <c r="B445" s="147"/>
      <c r="C445" s="147"/>
      <c r="D445" s="147"/>
      <c r="E445" s="147"/>
      <c r="F445" s="147"/>
      <c r="G445" s="148" t="s">
        <v>263</v>
      </c>
      <c r="H445" s="148" t="s">
        <v>279</v>
      </c>
      <c r="I445" s="147" t="s">
        <v>264</v>
      </c>
      <c r="J445" s="271" t="s">
        <v>2960</v>
      </c>
      <c r="K445" s="331" t="s">
        <v>265</v>
      </c>
      <c r="L445" s="331" t="s">
        <v>266</v>
      </c>
      <c r="M445" s="147"/>
      <c r="N445" s="148" t="s">
        <v>267</v>
      </c>
    </row>
    <row r="446" spans="1:14" ht="12.75" customHeight="1" x14ac:dyDescent="0.2">
      <c r="A446" s="38"/>
      <c r="B446" s="17"/>
      <c r="C446" s="17"/>
      <c r="D446" s="17"/>
      <c r="E446" s="17"/>
      <c r="F446" s="17"/>
      <c r="G446" s="17"/>
      <c r="H446" s="17"/>
      <c r="I446" s="13"/>
      <c r="J446" s="294"/>
      <c r="K446" s="189"/>
      <c r="L446" s="124"/>
      <c r="M446" s="17"/>
      <c r="N446" s="17"/>
    </row>
    <row r="447" spans="1:14" ht="12.75" customHeight="1" x14ac:dyDescent="0.2">
      <c r="A447" s="38" t="s">
        <v>1322</v>
      </c>
      <c r="B447" s="17"/>
      <c r="C447" s="17"/>
      <c r="D447" s="17"/>
      <c r="E447" s="17"/>
      <c r="F447" s="17"/>
      <c r="G447" s="38" t="s">
        <v>3080</v>
      </c>
      <c r="H447" s="38" t="s">
        <v>624</v>
      </c>
      <c r="I447" s="276"/>
      <c r="J447" s="294" t="str">
        <f>IF(ISBLANK(HLOOKUP(CaseName,CaseData,MATCH($G447,cases!$G$4:$G$2458,0),FALSE)),"",HLOOKUP(CaseName,CaseData,MATCH($G447,cases!$G$4:$G$2458,0),FALSE))</f>
        <v/>
      </c>
      <c r="K447" s="617">
        <f>L452+L453</f>
        <v>3.663258818281463E-10</v>
      </c>
      <c r="L447" s="298">
        <f t="shared" ref="L447:L464" si="30">IF(ISBLANK(I447),IF(ISNUMBER(J447)=FALSE,K447,J447),I447)</f>
        <v>3.663258818281463E-10</v>
      </c>
      <c r="M447" s="17" t="s">
        <v>1048</v>
      </c>
      <c r="N447" s="17"/>
    </row>
    <row r="448" spans="1:14" ht="12.75" customHeight="1" x14ac:dyDescent="0.2">
      <c r="A448" s="38" t="s">
        <v>2719</v>
      </c>
      <c r="B448" s="17"/>
      <c r="C448" s="17"/>
      <c r="D448" s="17"/>
      <c r="E448" s="17"/>
      <c r="F448" s="17"/>
      <c r="G448" s="38" t="s">
        <v>3081</v>
      </c>
      <c r="H448" s="38" t="s">
        <v>624</v>
      </c>
      <c r="I448" s="276"/>
      <c r="J448" s="294" t="str">
        <f>IF(ISBLANK(HLOOKUP(CaseName,CaseData,MATCH($G448,cases!$G$4:$G$2458,0),FALSE)),"",HLOOKUP(CaseName,CaseData,MATCH($G448,cases!$G$4:$G$2458,0),FALSE))</f>
        <v/>
      </c>
      <c r="K448" s="617">
        <f>L456</f>
        <v>8.8324753825564025E-22</v>
      </c>
      <c r="L448" s="298">
        <f t="shared" si="30"/>
        <v>8.8324753825564025E-22</v>
      </c>
      <c r="M448" s="17" t="s">
        <v>1048</v>
      </c>
      <c r="N448" s="17"/>
    </row>
    <row r="449" spans="1:14" ht="12.75" customHeight="1" x14ac:dyDescent="0.2">
      <c r="A449" s="38" t="s">
        <v>2721</v>
      </c>
      <c r="B449" s="17"/>
      <c r="C449" s="17"/>
      <c r="D449" s="17"/>
      <c r="E449" s="17"/>
      <c r="F449" s="17"/>
      <c r="G449" s="38" t="s">
        <v>3082</v>
      </c>
      <c r="H449" s="38" t="s">
        <v>624</v>
      </c>
      <c r="I449" s="276"/>
      <c r="J449" s="294" t="str">
        <f>IF(ISBLANK(HLOOKUP(CaseName,CaseData,MATCH($G449,cases!$G$4:$G$2458,0),FALSE)),"",HLOOKUP(CaseName,CaseData,MATCH($G449,cases!$G$4:$G$2458,0),FALSE))</f>
        <v/>
      </c>
      <c r="K449" s="617">
        <f>L457</f>
        <v>8.8324753825564025E-22</v>
      </c>
      <c r="L449" s="298">
        <f t="shared" si="30"/>
        <v>8.8324753825564025E-22</v>
      </c>
      <c r="M449" s="17" t="s">
        <v>1048</v>
      </c>
      <c r="N449" s="17"/>
    </row>
    <row r="450" spans="1:14" ht="12.75" customHeight="1" x14ac:dyDescent="0.2">
      <c r="A450" s="38" t="s">
        <v>2723</v>
      </c>
      <c r="B450" s="17"/>
      <c r="C450" s="17"/>
      <c r="D450" s="17"/>
      <c r="E450" s="17"/>
      <c r="F450" s="17"/>
      <c r="G450" s="38" t="s">
        <v>3083</v>
      </c>
      <c r="H450" s="38" t="s">
        <v>624</v>
      </c>
      <c r="I450" s="276"/>
      <c r="J450" s="294" t="str">
        <f>IF(ISBLANK(HLOOKUP(CaseName,CaseData,MATCH($G450,cases!$G$4:$G$2458,0),FALSE)),"",HLOOKUP(CaseName,CaseData,MATCH($G450,cases!$G$4:$G$2458,0),FALSE))</f>
        <v/>
      </c>
      <c r="K450" s="617">
        <f>L461+L433/L346</f>
        <v>2.1139861331348332E-12</v>
      </c>
      <c r="L450" s="298">
        <f t="shared" si="30"/>
        <v>2.1139861331348332E-12</v>
      </c>
      <c r="M450" s="17" t="s">
        <v>1048</v>
      </c>
      <c r="N450" s="17"/>
    </row>
    <row r="451" spans="1:14" ht="12.75" customHeight="1" x14ac:dyDescent="0.2">
      <c r="A451" s="38" t="s">
        <v>2725</v>
      </c>
      <c r="B451" s="17"/>
      <c r="C451" s="17"/>
      <c r="D451" s="17"/>
      <c r="E451" s="17"/>
      <c r="F451" s="17"/>
      <c r="G451" s="38" t="s">
        <v>3084</v>
      </c>
      <c r="H451" s="38" t="s">
        <v>624</v>
      </c>
      <c r="I451" s="276"/>
      <c r="J451" s="294" t="str">
        <f>IF(ISBLANK(HLOOKUP(CaseName,CaseData,MATCH($G451,cases!$G$4:$G$2458,0),FALSE)),"",HLOOKUP(CaseName,CaseData,MATCH($G451,cases!$G$4:$G$2458,0),FALSE))</f>
        <v/>
      </c>
      <c r="K451" s="617">
        <f>L462+L463*L414/L392*L464/L347</f>
        <v>1.1237848185570671E-11</v>
      </c>
      <c r="L451" s="298">
        <f t="shared" si="30"/>
        <v>1.1237848185570671E-11</v>
      </c>
      <c r="M451" s="17" t="s">
        <v>1048</v>
      </c>
      <c r="N451" s="17"/>
    </row>
    <row r="452" spans="1:14" ht="12.75" customHeight="1" x14ac:dyDescent="0.2">
      <c r="A452" s="38"/>
      <c r="B452" s="38" t="s">
        <v>1342</v>
      </c>
      <c r="C452" s="146"/>
      <c r="D452" s="17"/>
      <c r="E452" s="17"/>
      <c r="F452" s="17"/>
      <c r="G452" s="146" t="s">
        <v>3085</v>
      </c>
      <c r="H452" s="38" t="s">
        <v>624</v>
      </c>
      <c r="I452" s="281"/>
      <c r="J452" s="294" t="str">
        <f>IF(ISBLANK(HLOOKUP(CaseName,CaseData,MATCH($G452,cases!$G$4:$G$2458,0),FALSE)),"",HLOOKUP(CaseName,CaseData,MATCH($G452,cases!$G$4:$G$2458,0),FALSE))</f>
        <v/>
      </c>
      <c r="K452" s="617">
        <f>LN(2)/(60*365*24*3600)</f>
        <v>3.663258818281463E-10</v>
      </c>
      <c r="L452" s="298">
        <f t="shared" si="30"/>
        <v>3.663258818281463E-10</v>
      </c>
      <c r="M452" s="38" t="s">
        <v>1048</v>
      </c>
      <c r="N452" s="17"/>
    </row>
    <row r="453" spans="1:14" ht="12.75" customHeight="1" x14ac:dyDescent="0.2">
      <c r="A453" s="38"/>
      <c r="B453" s="38" t="s">
        <v>1344</v>
      </c>
      <c r="C453" s="17"/>
      <c r="D453" s="17"/>
      <c r="E453" s="17"/>
      <c r="F453" s="17"/>
      <c r="G453" s="38" t="s">
        <v>3086</v>
      </c>
      <c r="H453" s="38" t="s">
        <v>624</v>
      </c>
      <c r="I453" s="281"/>
      <c r="J453" s="294" t="str">
        <f>IF(ISBLANK(HLOOKUP(CaseName,CaseData,MATCH($G453,cases!$G$4:$G$2458,0),FALSE)),"",HLOOKUP(CaseName,CaseData,MATCH($G453,cases!$G$4:$G$2458,0),FALSE))</f>
        <v/>
      </c>
      <c r="K453" s="617">
        <f>L370*kdegG.air*(L454/C.OHrad)*L455</f>
        <v>3.1848818074386004E-33</v>
      </c>
      <c r="L453" s="298">
        <f t="shared" si="30"/>
        <v>3.1848818074386004E-33</v>
      </c>
      <c r="M453" s="38" t="s">
        <v>1048</v>
      </c>
      <c r="N453" s="17"/>
    </row>
    <row r="454" spans="1:14" ht="12.75" customHeight="1" x14ac:dyDescent="0.2">
      <c r="A454" s="146"/>
      <c r="B454" s="146"/>
      <c r="C454" s="38" t="s">
        <v>3087</v>
      </c>
      <c r="D454" s="17"/>
      <c r="E454" s="17"/>
      <c r="F454" s="17"/>
      <c r="G454" s="38" t="s">
        <v>3088</v>
      </c>
      <c r="H454" s="38" t="s">
        <v>627</v>
      </c>
      <c r="I454" s="281"/>
      <c r="J454" s="294" t="str">
        <f>IF(ISBLANK(HLOOKUP(CaseName,CaseData,MATCH($G454,cases!$G$4:$G$2458,0),FALSE)),"",HLOOKUP(CaseName,CaseData,MATCH($G454,cases!$G$4:$G$2458,0),FALSE))</f>
        <v/>
      </c>
      <c r="K454" s="617">
        <v>500000</v>
      </c>
      <c r="L454" s="298">
        <f t="shared" si="30"/>
        <v>500000</v>
      </c>
      <c r="M454" s="38" t="s">
        <v>1348</v>
      </c>
      <c r="N454" s="17"/>
    </row>
    <row r="455" spans="1:14" ht="12.75" customHeight="1" x14ac:dyDescent="0.2">
      <c r="A455" s="146"/>
      <c r="B455" s="146"/>
      <c r="C455" s="38" t="s">
        <v>2190</v>
      </c>
      <c r="D455" s="17"/>
      <c r="E455" s="17"/>
      <c r="F455" s="17"/>
      <c r="G455" s="38" t="s">
        <v>3089</v>
      </c>
      <c r="H455" s="38" t="s">
        <v>296</v>
      </c>
      <c r="I455" s="281"/>
      <c r="J455" s="294" t="str">
        <f>IF(ISBLANK(HLOOKUP(CaseName,CaseData,MATCH($G455,cases!$G$4:$G$2458,0),FALSE)),"",HLOOKUP(CaseName,CaseData,MATCH($G455,cases!$G$4:$G$2458,0),FALSE))</f>
        <v/>
      </c>
      <c r="K455" s="617">
        <f>EXP((Ea.OHrad/8.314)*(L374-298)/298^2)</f>
        <v>0.75244236176784551</v>
      </c>
      <c r="L455" s="298">
        <f t="shared" si="30"/>
        <v>0.75244236176784551</v>
      </c>
      <c r="M455" s="38" t="s">
        <v>297</v>
      </c>
      <c r="N455" s="17"/>
    </row>
    <row r="456" spans="1:14" ht="12.75" customHeight="1" x14ac:dyDescent="0.2">
      <c r="A456" s="38"/>
      <c r="B456" s="38" t="s">
        <v>2732</v>
      </c>
      <c r="C456" s="17"/>
      <c r="D456" s="17"/>
      <c r="E456" s="17"/>
      <c r="F456" s="17"/>
      <c r="G456" s="38" t="s">
        <v>3090</v>
      </c>
      <c r="H456" s="38" t="s">
        <v>624</v>
      </c>
      <c r="I456" s="281"/>
      <c r="J456" s="294" t="str">
        <f>IF(ISBLANK(HLOOKUP(CaseName,CaseData,MATCH($G456,cases!$G$4:$G$2458,0),FALSE)),"",HLOOKUP(CaseName,CaseData,MATCH($G456,cases!$G$4:$G$2458,0),FALSE))</f>
        <v/>
      </c>
      <c r="K456" s="624">
        <f>kdeg.water*L460*(L458/BACT.test)*L377</f>
        <v>8.8324753825564025E-22</v>
      </c>
      <c r="L456" s="298">
        <f t="shared" si="30"/>
        <v>8.8324753825564025E-22</v>
      </c>
      <c r="M456" s="38" t="s">
        <v>1048</v>
      </c>
      <c r="N456" s="17"/>
    </row>
    <row r="457" spans="1:14" ht="12.75" customHeight="1" x14ac:dyDescent="0.2">
      <c r="A457" s="38"/>
      <c r="B457" s="38" t="s">
        <v>2734</v>
      </c>
      <c r="C457" s="17"/>
      <c r="D457" s="17"/>
      <c r="E457" s="17"/>
      <c r="F457" s="17"/>
      <c r="G457" s="38" t="s">
        <v>3091</v>
      </c>
      <c r="H457" s="38" t="s">
        <v>624</v>
      </c>
      <c r="I457" s="281"/>
      <c r="J457" s="294" t="str">
        <f>IF(ISBLANK(HLOOKUP(CaseName,CaseData,MATCH($G457,cases!$G$4:$G$2458,0),FALSE)),"",HLOOKUP(CaseName,CaseData,MATCH($G457,cases!$G$4:$G$2458,0),FALSE))</f>
        <v/>
      </c>
      <c r="K457" s="624">
        <f>kdeg.water*L460*(L459/BACT.test)*L378</f>
        <v>8.8324753825564025E-22</v>
      </c>
      <c r="L457" s="298">
        <f t="shared" si="30"/>
        <v>8.8324753825564025E-22</v>
      </c>
      <c r="M457" s="38" t="s">
        <v>1048</v>
      </c>
      <c r="N457" s="17"/>
    </row>
    <row r="458" spans="1:14" ht="12.75" customHeight="1" x14ac:dyDescent="0.2">
      <c r="A458" s="38"/>
      <c r="B458" s="38"/>
      <c r="C458" s="38" t="s">
        <v>2736</v>
      </c>
      <c r="D458" s="17"/>
      <c r="E458" s="17"/>
      <c r="F458" s="17"/>
      <c r="G458" s="146" t="s">
        <v>3092</v>
      </c>
      <c r="H458" s="38" t="s">
        <v>1359</v>
      </c>
      <c r="I458" s="281"/>
      <c r="J458" s="294" t="str">
        <f>IF(ISBLANK(HLOOKUP(CaseName,CaseData,MATCH($G458,cases!$G$4:$G$2458,0),FALSE)),"",HLOOKUP(CaseName,CaseData,MATCH($G458,cases!$G$4:$G$2458,0),FALSE))</f>
        <v/>
      </c>
      <c r="K458" s="617">
        <v>40000</v>
      </c>
      <c r="L458" s="298">
        <f t="shared" si="30"/>
        <v>40000</v>
      </c>
      <c r="M458" s="38" t="s">
        <v>645</v>
      </c>
      <c r="N458" s="17"/>
    </row>
    <row r="459" spans="1:14" ht="12.75" customHeight="1" x14ac:dyDescent="0.2">
      <c r="A459" s="38"/>
      <c r="B459" s="38"/>
      <c r="C459" s="38" t="s">
        <v>3093</v>
      </c>
      <c r="D459" s="17"/>
      <c r="E459" s="17"/>
      <c r="F459" s="17"/>
      <c r="G459" s="146" t="s">
        <v>3094</v>
      </c>
      <c r="H459" s="38" t="s">
        <v>1359</v>
      </c>
      <c r="I459" s="281"/>
      <c r="J459" s="294" t="str">
        <f>IF(ISBLANK(HLOOKUP(CaseName,CaseData,MATCH($G459,cases!$G$4:$G$2458,0),FALSE)),"",HLOOKUP(CaseName,CaseData,MATCH($G459,cases!$G$4:$G$2458,0),FALSE))</f>
        <v/>
      </c>
      <c r="K459" s="617">
        <v>40000</v>
      </c>
      <c r="L459" s="298">
        <f t="shared" si="30"/>
        <v>40000</v>
      </c>
      <c r="M459" s="38" t="s">
        <v>645</v>
      </c>
      <c r="N459" s="17"/>
    </row>
    <row r="460" spans="1:14" ht="12.75" customHeight="1" x14ac:dyDescent="0.2">
      <c r="A460" s="146"/>
      <c r="B460" s="146"/>
      <c r="C460" s="38" t="s">
        <v>1365</v>
      </c>
      <c r="D460" s="17"/>
      <c r="E460" s="17"/>
      <c r="F460" s="17"/>
      <c r="G460" s="38" t="s">
        <v>3095</v>
      </c>
      <c r="H460" s="38" t="s">
        <v>296</v>
      </c>
      <c r="I460" s="281"/>
      <c r="J460" s="294" t="str">
        <f>IF(ISBLANK(HLOOKUP(CaseName,CaseData,MATCH($G460,cases!$G$4:$G$2458,0),FALSE)),"",HLOOKUP(CaseName,CaseData,MATCH($G460,cases!$G$4:$G$2458,0),FALSE))</f>
        <v/>
      </c>
      <c r="K460" s="624">
        <f>Q.10^((L374-298)/10)</f>
        <v>8.8388347648318447E-2</v>
      </c>
      <c r="L460" s="298">
        <f t="shared" si="30"/>
        <v>8.8388347648318447E-2</v>
      </c>
      <c r="M460" s="38" t="s">
        <v>297</v>
      </c>
      <c r="N460" s="17"/>
    </row>
    <row r="461" spans="1:14" ht="12.75" customHeight="1" x14ac:dyDescent="0.2">
      <c r="A461" s="38"/>
      <c r="B461" s="38" t="s">
        <v>2741</v>
      </c>
      <c r="C461" s="17"/>
      <c r="D461" s="17"/>
      <c r="E461" s="17"/>
      <c r="F461" s="17"/>
      <c r="G461" s="38" t="s">
        <v>3096</v>
      </c>
      <c r="H461" s="38" t="s">
        <v>624</v>
      </c>
      <c r="I461" s="281"/>
      <c r="J461" s="294" t="str">
        <f>IF(ISBLANK(HLOOKUP(CaseName,CaseData,MATCH($G461,cases!$G$4:$G$2458,0),FALSE)),"",HLOOKUP(CaseName,CaseData,MATCH($G461,cases!$G$4:$G$2458,0),FALSE))</f>
        <v/>
      </c>
      <c r="K461" s="624">
        <f>L460*kdeg.sed</f>
        <v>8.8388347648318438E-22</v>
      </c>
      <c r="L461" s="298">
        <f t="shared" si="30"/>
        <v>8.8388347648318438E-22</v>
      </c>
      <c r="M461" s="38" t="s">
        <v>1048</v>
      </c>
      <c r="N461" s="17"/>
    </row>
    <row r="462" spans="1:14" ht="12.75" customHeight="1" x14ac:dyDescent="0.2">
      <c r="A462" s="38"/>
      <c r="B462" s="38" t="s">
        <v>2743</v>
      </c>
      <c r="C462" s="17"/>
      <c r="D462" s="17"/>
      <c r="E462" s="17"/>
      <c r="F462" s="17"/>
      <c r="G462" s="38" t="s">
        <v>3097</v>
      </c>
      <c r="H462" s="38" t="s">
        <v>624</v>
      </c>
      <c r="I462" s="281"/>
      <c r="J462" s="294" t="str">
        <f>IF(ISBLANK(HLOOKUP(CaseName,CaseData,MATCH($G462,cases!$G$4:$G$2458,0),FALSE)),"",HLOOKUP(CaseName,CaseData,MATCH($G462,cases!$G$4:$G$2458,0),FALSE))</f>
        <v/>
      </c>
      <c r="K462" s="624">
        <f>L460*kdeg.soil</f>
        <v>8.8388347648318438E-22</v>
      </c>
      <c r="L462" s="298">
        <f t="shared" si="30"/>
        <v>8.8388347648318438E-22</v>
      </c>
      <c r="M462" s="38" t="s">
        <v>1048</v>
      </c>
      <c r="N462" s="17"/>
    </row>
    <row r="463" spans="1:14" ht="12.75" customHeight="1" x14ac:dyDescent="0.2">
      <c r="A463" s="17"/>
      <c r="B463" s="17"/>
      <c r="C463" s="38" t="s">
        <v>2745</v>
      </c>
      <c r="D463" s="17"/>
      <c r="E463" s="17"/>
      <c r="F463" s="17"/>
      <c r="G463" s="146" t="s">
        <v>3098</v>
      </c>
      <c r="H463" s="38" t="s">
        <v>296</v>
      </c>
      <c r="I463" s="281"/>
      <c r="J463" s="294" t="str">
        <f>IF(ISBLANK(HLOOKUP(CaseName,CaseData,MATCH($G463,cases!$G$4:$G$2458,0),FALSE)),"",HLOOKUP(CaseName,CaseData,MATCH($G463,cases!$G$4:$G$2458,0),FALSE))</f>
        <v/>
      </c>
      <c r="K463" s="617">
        <f>FRACinf.C</f>
        <v>0.25</v>
      </c>
      <c r="L463" s="298">
        <f t="shared" si="30"/>
        <v>0.25</v>
      </c>
      <c r="M463" s="17" t="s">
        <v>297</v>
      </c>
      <c r="N463" s="17"/>
    </row>
    <row r="464" spans="1:14" ht="12.75" customHeight="1" x14ac:dyDescent="0.2">
      <c r="A464" s="38"/>
      <c r="B464" s="38"/>
      <c r="C464" s="17" t="s">
        <v>1236</v>
      </c>
      <c r="D464" s="17"/>
      <c r="E464" s="146"/>
      <c r="F464" s="146"/>
      <c r="G464" s="38" t="s">
        <v>3099</v>
      </c>
      <c r="H464" s="17" t="s">
        <v>296</v>
      </c>
      <c r="I464" s="276"/>
      <c r="J464" s="294" t="str">
        <f>IF(ISBLANK(HLOOKUP(CaseName,CaseData,MATCH($G464,cases!$G$4:$G$2458,0),FALSE)),"",HLOOKUP(CaseName,CaseData,MATCH($G464,cases!$G$4:$G$2458,0),FALSE))</f>
        <v/>
      </c>
      <c r="K464" s="617">
        <f>(EXP((-1/0.1)*0.5)*(1/0.1)*L347/(1-EXP((-1/0.1)*L347)))</f>
        <v>8.5622262133111474E-3</v>
      </c>
      <c r="L464" s="298">
        <f t="shared" si="30"/>
        <v>8.5622262133111474E-3</v>
      </c>
      <c r="M464" s="38" t="s">
        <v>297</v>
      </c>
      <c r="N464" s="17" t="s">
        <v>1238</v>
      </c>
    </row>
    <row r="465" spans="1:16" ht="12.75" customHeight="1" x14ac:dyDescent="0.2">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2">
      <c r="A466" s="631" t="s">
        <v>1389</v>
      </c>
      <c r="G466" s="631" t="s">
        <v>263</v>
      </c>
      <c r="H466" s="631" t="s">
        <v>279</v>
      </c>
      <c r="I466" s="413" t="s">
        <v>264</v>
      </c>
      <c r="J466" s="498" t="s">
        <v>2960</v>
      </c>
      <c r="K466" s="648" t="s">
        <v>265</v>
      </c>
      <c r="L466" s="649" t="s">
        <v>266</v>
      </c>
      <c r="N466" s="631" t="s">
        <v>267</v>
      </c>
      <c r="O466" s="209" t="s">
        <v>1390</v>
      </c>
      <c r="P466" s="413" t="s">
        <v>1391</v>
      </c>
    </row>
    <row r="467" spans="1:16" s="410" customFormat="1" ht="12.75" customHeight="1" x14ac:dyDescent="0.2">
      <c r="A467" s="410" t="s">
        <v>3100</v>
      </c>
      <c r="G467" s="655"/>
      <c r="H467" s="655"/>
      <c r="J467" s="657" t="str">
        <f t="shared" ref="J467" si="31">IF(HLOOKUP(CaseName,CaseData,ROW()+1421,FALSE)="","",HLOOKUP(CaseName,CaseData,ROW()+1421,FALSE))</f>
        <v/>
      </c>
      <c r="K467" s="658"/>
      <c r="L467" s="659"/>
      <c r="O467" s="417"/>
    </row>
    <row r="468" spans="1:16" customFormat="1" ht="12.75" customHeight="1" x14ac:dyDescent="0.2">
      <c r="A468" s="567" t="s">
        <v>1393</v>
      </c>
      <c r="B468" s="567"/>
      <c r="C468" s="567"/>
      <c r="D468" s="567"/>
      <c r="E468" s="567"/>
      <c r="F468" s="567"/>
      <c r="G468" s="567" t="s">
        <v>3101</v>
      </c>
      <c r="H468" s="568" t="s">
        <v>340</v>
      </c>
      <c r="I468" s="678"/>
      <c r="J468" s="294" t="str">
        <f>IF(ISBLANK(HLOOKUP(CaseName,CaseData,MATCH($G468,cases!$G$4:$G$2458,0),FALSE)),"",HLOOKUP(CaseName,CaseData,MATCH($G468,cases!$G$4:$G$2458,0),FALSE))</f>
        <v/>
      </c>
      <c r="K468" s="626">
        <f>L469+L474</f>
        <v>5.0675868920732721E-5</v>
      </c>
      <c r="L468" s="298">
        <f t="shared" ref="L468:L483" si="32">IF(ISBLANK(I468),IF(ISNUMBER(J468)=FALSE,K468,J468),I468)</f>
        <v>5.0675868920732721E-5</v>
      </c>
      <c r="M468" s="568" t="s">
        <v>340</v>
      </c>
      <c r="N468" s="567"/>
      <c r="O468" s="605">
        <v>2</v>
      </c>
      <c r="P468" s="567" t="s">
        <v>1395</v>
      </c>
    </row>
    <row r="469" spans="1:16" customFormat="1" ht="12.75" customHeight="1" x14ac:dyDescent="0.2">
      <c r="A469" s="567"/>
      <c r="B469" s="567" t="s">
        <v>1396</v>
      </c>
      <c r="C469" s="567"/>
      <c r="D469" s="567"/>
      <c r="E469" s="567"/>
      <c r="F469" s="567"/>
      <c r="G469" s="567" t="s">
        <v>3102</v>
      </c>
      <c r="H469" s="567" t="s">
        <v>340</v>
      </c>
      <c r="I469" s="678"/>
      <c r="J469" s="294" t="str">
        <f>IF(ISBLANK(HLOOKUP(CaseName,CaseData,MATCH($G469,cases!$G$4:$G$2458,0),FALSE)),"",HLOOKUP(CaseName,CaseData,MATCH($G469,cases!$G$4:$G$2458,0),FALSE))</f>
        <v/>
      </c>
      <c r="K469" s="577">
        <f>L473*(4*PI()*(RadNuc+RadS)*(L472+DiffS.aA))*L470</f>
        <v>4.8942510635357542E-6</v>
      </c>
      <c r="L469" s="298">
        <f t="shared" si="32"/>
        <v>4.8942510635357542E-6</v>
      </c>
      <c r="M469" s="567" t="s">
        <v>340</v>
      </c>
      <c r="N469" s="567"/>
      <c r="O469" s="605">
        <v>10</v>
      </c>
      <c r="P469" s="567" t="s">
        <v>915</v>
      </c>
    </row>
    <row r="470" spans="1:16" customFormat="1" ht="12.75" customHeight="1" x14ac:dyDescent="0.2">
      <c r="A470" s="567"/>
      <c r="B470" s="567"/>
      <c r="C470" s="567" t="s">
        <v>713</v>
      </c>
      <c r="D470" s="567"/>
      <c r="E470" s="567"/>
      <c r="F470" s="567"/>
      <c r="G470" s="567" t="s">
        <v>3103</v>
      </c>
      <c r="H470" s="568" t="s">
        <v>715</v>
      </c>
      <c r="I470" s="678"/>
      <c r="J470" s="294" t="str">
        <f>IF(ISBLANK(HLOOKUP(CaseName,CaseData,MATCH($G470,cases!$G$4:$G$2458,0),FALSE)),"",HLOOKUP(CaseName,CaseData,MATCH($G470,cases!$G$4:$G$2458,0),FALSE))</f>
        <v/>
      </c>
      <c r="K470" s="577">
        <f>3.2*10^9</f>
        <v>3200000000</v>
      </c>
      <c r="L470" s="298">
        <f t="shared" si="32"/>
        <v>3200000000</v>
      </c>
      <c r="M470" s="568" t="s">
        <v>715</v>
      </c>
      <c r="N470" s="567"/>
      <c r="O470" s="675"/>
      <c r="P470" s="567" t="s">
        <v>716</v>
      </c>
    </row>
    <row r="471" spans="1:16" customFormat="1" ht="12.75" customHeight="1" x14ac:dyDescent="0.2">
      <c r="A471" s="567"/>
      <c r="B471" s="567"/>
      <c r="C471" s="567" t="s">
        <v>1403</v>
      </c>
      <c r="D471" s="567"/>
      <c r="E471" s="567"/>
      <c r="F471" s="567"/>
      <c r="G471" s="568" t="s">
        <v>3104</v>
      </c>
      <c r="H471" s="568" t="s">
        <v>873</v>
      </c>
      <c r="I471" s="678"/>
      <c r="J471" s="294" t="str">
        <f>IF(ISBLANK(HLOOKUP(CaseName,CaseData,MATCH($G471,cases!$G$4:$G$2458,0),FALSE)),"",HLOOKUP(CaseName,CaseData,MATCH($G471,cases!$G$4:$G$2458,0),FALSE))</f>
        <v/>
      </c>
      <c r="K471" s="577">
        <f>((8*kboltz*L374)/((PI()*(4/3*PI()*(RadNuc)^3)*RhoNuc)))^0.5</f>
        <v>1.3030874450354406</v>
      </c>
      <c r="L471" s="298">
        <f t="shared" si="32"/>
        <v>1.3030874450354406</v>
      </c>
      <c r="M471" s="568" t="s">
        <v>873</v>
      </c>
      <c r="N471" s="567"/>
      <c r="O471" s="605"/>
      <c r="P471" s="567"/>
    </row>
    <row r="472" spans="1:16" customFormat="1" ht="12.75" customHeight="1" x14ac:dyDescent="0.2">
      <c r="A472" s="567"/>
      <c r="B472" s="567"/>
      <c r="C472" s="567" t="s">
        <v>1401</v>
      </c>
      <c r="D472" s="567"/>
      <c r="E472" s="567"/>
      <c r="F472" s="567"/>
      <c r="G472" s="567" t="s">
        <v>3105</v>
      </c>
      <c r="H472" s="567" t="s">
        <v>907</v>
      </c>
      <c r="I472" s="678"/>
      <c r="J472" s="294" t="str">
        <f>IF(ISBLANK(HLOOKUP(CaseName,CaseData,MATCH($G472,cases!$G$4:$G$2458,0),FALSE)),"",HLOOKUP(CaseName,CaseData,MATCH($G472,cases!$G$4:$G$2458,0),FALSE))</f>
        <v/>
      </c>
      <c r="K472" s="577">
        <f>(kboltz*L374*(1+(66*10^-9/RadNuc)*(1.142+0.558*EXP(-0.999/(66*10^-9/RadNuc)))))/(6*PI()*DYNVISC.a*RadNuc)</f>
        <v>1.2455041721249486E-8</v>
      </c>
      <c r="L472" s="298">
        <f t="shared" si="32"/>
        <v>1.2455041721249486E-8</v>
      </c>
      <c r="M472" s="567" t="s">
        <v>907</v>
      </c>
      <c r="N472" s="567"/>
      <c r="O472" s="605"/>
      <c r="P472" s="567"/>
    </row>
    <row r="473" spans="1:16" customFormat="1" ht="12.75" customHeight="1" x14ac:dyDescent="0.2">
      <c r="A473" s="567"/>
      <c r="B473" s="567"/>
      <c r="C473" s="567" t="s">
        <v>1398</v>
      </c>
      <c r="D473" s="567"/>
      <c r="E473" s="567"/>
      <c r="F473" s="567"/>
      <c r="G473" s="568" t="s">
        <v>3106</v>
      </c>
      <c r="H473" s="568" t="s">
        <v>296</v>
      </c>
      <c r="I473" s="678"/>
      <c r="J473" s="294" t="str">
        <f>IF(ISBLANK(HLOOKUP(CaseName,CaseData,MATCH($G473,cases!$G$4:$G$2458,0),FALSE)),"",HLOOKUP(CaseName,CaseData,MATCH($G473,cases!$G$4:$G$2458,0),FALSE))</f>
        <v/>
      </c>
      <c r="K473" s="577">
        <f>(1+(4*(DiffS.aA+L472))/((RadS+RadNuc)*(ThermvelS^2+L471^2)^0.5))^-1</f>
        <v>0.13256851509923223</v>
      </c>
      <c r="L473" s="298">
        <f t="shared" si="32"/>
        <v>0.13256851509923223</v>
      </c>
      <c r="M473" s="568" t="s">
        <v>296</v>
      </c>
      <c r="N473" s="567"/>
      <c r="O473" s="676" t="s">
        <v>1400</v>
      </c>
      <c r="P473" s="567"/>
    </row>
    <row r="474" spans="1:16" customFormat="1" ht="12.75" customHeight="1" x14ac:dyDescent="0.2">
      <c r="A474" s="567" t="s">
        <v>1405</v>
      </c>
      <c r="B474" s="567"/>
      <c r="C474" s="567"/>
      <c r="D474" s="567"/>
      <c r="E474" s="567"/>
      <c r="F474" s="567"/>
      <c r="G474" s="567" t="s">
        <v>3107</v>
      </c>
      <c r="H474" s="567" t="s">
        <v>340</v>
      </c>
      <c r="I474" s="678"/>
      <c r="J474" s="294" t="str">
        <f>IF(ISBLANK(HLOOKUP(CaseName,CaseData,MATCH($G474,cases!$G$4:$G$2458,0),FALSE)),"",HLOOKUP(CaseName,CaseData,MATCH($G474,cases!$G$4:$G$2458,0),FALSE))</f>
        <v/>
      </c>
      <c r="K474" s="577">
        <f>L478*(4*PI()*(RadAcc+RadS)*(L477+DiffS.aA))*L475</f>
        <v>4.5781617857196965E-5</v>
      </c>
      <c r="L474" s="298">
        <f t="shared" si="32"/>
        <v>4.5781617857196965E-5</v>
      </c>
      <c r="M474" s="567" t="s">
        <v>340</v>
      </c>
      <c r="N474" s="567"/>
      <c r="O474" s="605"/>
      <c r="P474" s="567"/>
    </row>
    <row r="475" spans="1:16" customFormat="1" ht="12.75" customHeight="1" x14ac:dyDescent="0.2">
      <c r="A475" s="567"/>
      <c r="B475" s="567"/>
      <c r="C475" s="567" t="s">
        <v>717</v>
      </c>
      <c r="D475" s="567"/>
      <c r="E475" s="567"/>
      <c r="F475" s="567"/>
      <c r="G475" s="567" t="s">
        <v>3108</v>
      </c>
      <c r="H475" s="568" t="s">
        <v>715</v>
      </c>
      <c r="I475" s="678"/>
      <c r="J475" s="294" t="str">
        <f>IF(ISBLANK(HLOOKUP(CaseName,CaseData,MATCH($G475,cases!$G$4:$G$2458,0),FALSE)),"",HLOOKUP(CaseName,CaseData,MATCH($G475,cases!$G$4:$G$2458,0),FALSE))</f>
        <v/>
      </c>
      <c r="K475" s="577">
        <f>2.9*10^9</f>
        <v>2900000000</v>
      </c>
      <c r="L475" s="298">
        <f t="shared" si="32"/>
        <v>2900000000</v>
      </c>
      <c r="M475" s="568" t="s">
        <v>715</v>
      </c>
      <c r="N475" s="567"/>
      <c r="O475" s="675"/>
      <c r="P475" s="567" t="s">
        <v>716</v>
      </c>
    </row>
    <row r="476" spans="1:16" customFormat="1" ht="12.75" customHeight="1" x14ac:dyDescent="0.2">
      <c r="A476" s="567"/>
      <c r="B476" s="567"/>
      <c r="C476" s="567" t="s">
        <v>1407</v>
      </c>
      <c r="D476" s="567"/>
      <c r="E476" s="567"/>
      <c r="F476" s="567"/>
      <c r="G476" s="568" t="s">
        <v>3109</v>
      </c>
      <c r="H476" s="568" t="s">
        <v>873</v>
      </c>
      <c r="I476" s="678"/>
      <c r="J476" s="294" t="str">
        <f>IF(ISBLANK(HLOOKUP(CaseName,CaseData,MATCH($G476,cases!$G$4:$G$2458,0),FALSE)),"",HLOOKUP(CaseName,CaseData,MATCH($G476,cases!$G$4:$G$2458,0),FALSE))</f>
        <v/>
      </c>
      <c r="K476" s="577">
        <f>((8*kboltz*L374)/((PI()*(4/3*PI()*(RadAcc)^3)*RhoAcc)))^0.5</f>
        <v>7.521219241859671E-2</v>
      </c>
      <c r="L476" s="298">
        <f t="shared" si="32"/>
        <v>7.521219241859671E-2</v>
      </c>
      <c r="M476" s="568" t="s">
        <v>873</v>
      </c>
      <c r="N476" s="567"/>
      <c r="O476" s="605"/>
      <c r="P476" s="567"/>
    </row>
    <row r="477" spans="1:16" customFormat="1" ht="12.75" customHeight="1" x14ac:dyDescent="0.2">
      <c r="A477" s="567"/>
      <c r="B477" s="567"/>
      <c r="C477" s="567" t="s">
        <v>1409</v>
      </c>
      <c r="D477" s="567"/>
      <c r="E477" s="567"/>
      <c r="F477" s="567"/>
      <c r="G477" s="567" t="s">
        <v>3110</v>
      </c>
      <c r="H477" s="567" t="s">
        <v>907</v>
      </c>
      <c r="I477" s="678"/>
      <c r="J477" s="294" t="str">
        <f>IF(ISBLANK(HLOOKUP(CaseName,CaseData,MATCH($G477,cases!$G$4:$G$2458,0),FALSE)),"",HLOOKUP(CaseName,CaseData,MATCH($G477,cases!$G$4:$G$2458,0),FALSE))</f>
        <v/>
      </c>
      <c r="K477" s="577">
        <f>(kboltz*L374*(1+(66*10^-9/RadAcc)*(1.142+0.558*EXP(-0.999/(66*10^-9/RadAcc)))))/(6*PI()*DYNVISC.a*RadAcc)</f>
        <v>4.7038629804181629E-10</v>
      </c>
      <c r="L477" s="298">
        <f t="shared" si="32"/>
        <v>4.7038629804181629E-10</v>
      </c>
      <c r="M477" s="567" t="s">
        <v>907</v>
      </c>
      <c r="N477" s="567"/>
      <c r="O477" s="605"/>
      <c r="P477" s="567"/>
    </row>
    <row r="478" spans="1:16" customFormat="1" ht="12.75" customHeight="1" x14ac:dyDescent="0.2">
      <c r="A478" s="567"/>
      <c r="B478" s="567"/>
      <c r="C478" s="567" t="s">
        <v>1411</v>
      </c>
      <c r="D478" s="567"/>
      <c r="E478" s="567"/>
      <c r="F478" s="567"/>
      <c r="G478" s="568" t="s">
        <v>3111</v>
      </c>
      <c r="H478" s="568" t="s">
        <v>296</v>
      </c>
      <c r="I478" s="678"/>
      <c r="J478" s="294" t="str">
        <f>IF(ISBLANK(HLOOKUP(CaseName,CaseData,MATCH($G478,cases!$G$4:$G$2458,0),FALSE)),"",HLOOKUP(CaseName,CaseData,MATCH($G478,cases!$G$4:$G$2458,0),FALSE))</f>
        <v/>
      </c>
      <c r="K478" s="577">
        <f>(1+(4*(DiffS.aA+L477))/((RadS+RadAcc)*(L476^2+ThermvelS^2)^0.5))^-1</f>
        <v>0.40512432032211204</v>
      </c>
      <c r="L478" s="298">
        <f t="shared" si="32"/>
        <v>0.40512432032211204</v>
      </c>
      <c r="M478" s="568" t="s">
        <v>296</v>
      </c>
      <c r="N478" s="567"/>
      <c r="O478" s="605"/>
      <c r="P478" s="567"/>
    </row>
    <row r="479" spans="1:16" customFormat="1" ht="12.75" customHeight="1" x14ac:dyDescent="0.2">
      <c r="A479" s="567" t="s">
        <v>1413</v>
      </c>
      <c r="B479" s="567"/>
      <c r="C479" s="567"/>
      <c r="D479" s="567"/>
      <c r="E479" s="567"/>
      <c r="F479" s="567"/>
      <c r="G479" s="568" t="s">
        <v>3112</v>
      </c>
      <c r="H479" s="568" t="s">
        <v>340</v>
      </c>
      <c r="I479" s="678"/>
      <c r="J479" s="294" t="str">
        <f>IF(ISBLANK(HLOOKUP(CaseName,CaseData,MATCH($G479,cases!$G$4:$G$2458,0),FALSE)),"",HLOOKUP(CaseName,CaseData,MATCH($G479,cases!$G$4:$G$2458,0),FALSE))</f>
        <v/>
      </c>
      <c r="K479" s="577">
        <f>L483*(4*PI()*(RadCP.a+RadS)*(L482+DiffS.aA))*L480</f>
        <v>1.5106081917716844E-7</v>
      </c>
      <c r="L479" s="298">
        <f t="shared" si="32"/>
        <v>1.5106081917716844E-7</v>
      </c>
      <c r="M479" s="567" t="s">
        <v>340</v>
      </c>
      <c r="N479" s="567"/>
      <c r="O479" s="605"/>
      <c r="P479" s="567"/>
    </row>
    <row r="480" spans="1:16" customFormat="1" ht="12.75" customHeight="1" x14ac:dyDescent="0.2">
      <c r="A480" s="567"/>
      <c r="B480" s="567" t="s">
        <v>719</v>
      </c>
      <c r="C480" s="567"/>
      <c r="D480" s="567"/>
      <c r="E480" s="567"/>
      <c r="F480" s="567"/>
      <c r="G480" s="567" t="s">
        <v>3113</v>
      </c>
      <c r="H480" s="568" t="s">
        <v>715</v>
      </c>
      <c r="I480" s="678"/>
      <c r="J480" s="294" t="str">
        <f>IF(ISBLANK(HLOOKUP(CaseName,CaseData,MATCH($G480,cases!$G$4:$G$2458,0),FALSE)),"",HLOOKUP(CaseName,CaseData,MATCH($G480,cases!$G$4:$G$2458,0),FALSE))</f>
        <v/>
      </c>
      <c r="K480" s="577">
        <f>3*10^5</f>
        <v>300000</v>
      </c>
      <c r="L480" s="298">
        <f t="shared" si="32"/>
        <v>300000</v>
      </c>
      <c r="M480" s="568" t="s">
        <v>715</v>
      </c>
      <c r="N480" s="567"/>
      <c r="O480" s="675"/>
      <c r="P480" s="567" t="s">
        <v>716</v>
      </c>
    </row>
    <row r="481" spans="1:16" customFormat="1" ht="12.75" customHeight="1" x14ac:dyDescent="0.2">
      <c r="A481" s="567"/>
      <c r="B481" s="567" t="s">
        <v>1415</v>
      </c>
      <c r="C481" s="567"/>
      <c r="D481" s="567"/>
      <c r="E481" s="567"/>
      <c r="F481" s="567"/>
      <c r="G481" s="568" t="s">
        <v>3114</v>
      </c>
      <c r="H481" s="568" t="s">
        <v>873</v>
      </c>
      <c r="I481" s="678"/>
      <c r="J481" s="294" t="str">
        <f>IF(ISBLANK(HLOOKUP(CaseName,CaseData,MATCH($G481,cases!$G$4:$G$2458,0),FALSE)),"",HLOOKUP(CaseName,CaseData,MATCH($G481,cases!$G$4:$G$2458,0),FALSE))</f>
        <v/>
      </c>
      <c r="K481" s="577">
        <f>((8*kboltz*L374)/((PI()*(4/3*PI()*(RadCP.a)^3)*RhoCP.a)))^0.5</f>
        <v>1.2304570944728663E-3</v>
      </c>
      <c r="L481" s="298">
        <f t="shared" si="32"/>
        <v>1.2304570944728663E-3</v>
      </c>
      <c r="M481" s="568" t="s">
        <v>873</v>
      </c>
      <c r="N481" s="567"/>
      <c r="O481" s="605"/>
      <c r="P481" s="567"/>
    </row>
    <row r="482" spans="1:16" customFormat="1" ht="12.75" customHeight="1" x14ac:dyDescent="0.2">
      <c r="A482" s="567"/>
      <c r="B482" s="567" t="s">
        <v>1417</v>
      </c>
      <c r="C482" s="567"/>
      <c r="D482" s="567"/>
      <c r="E482" s="567"/>
      <c r="F482" s="567"/>
      <c r="G482" s="567" t="s">
        <v>3115</v>
      </c>
      <c r="H482" s="567" t="s">
        <v>907</v>
      </c>
      <c r="I482" s="678"/>
      <c r="J482" s="294" t="str">
        <f>IF(ISBLANK(HLOOKUP(CaseName,CaseData,MATCH($G482,cases!$G$4:$G$2458,0),FALSE)),"",HLOOKUP(CaseName,CaseData,MATCH($G482,cases!$G$4:$G$2458,0),FALSE))</f>
        <v/>
      </c>
      <c r="K482" s="577">
        <f>(kboltz*L374)/(6*PI()*DYNVISC.a*RadCP.a)</f>
        <v>1.1825425077551464E-11</v>
      </c>
      <c r="L482" s="298">
        <f t="shared" si="32"/>
        <v>1.1825425077551464E-11</v>
      </c>
      <c r="M482" s="567" t="s">
        <v>907</v>
      </c>
      <c r="N482" s="567"/>
      <c r="O482" s="605"/>
      <c r="P482" s="567"/>
    </row>
    <row r="483" spans="1:16" customFormat="1" ht="12.75" customHeight="1" x14ac:dyDescent="0.2">
      <c r="A483" s="567"/>
      <c r="B483" s="567" t="s">
        <v>1419</v>
      </c>
      <c r="C483" s="567"/>
      <c r="D483" s="567"/>
      <c r="E483" s="567"/>
      <c r="F483" s="567"/>
      <c r="G483" s="568" t="s">
        <v>3116</v>
      </c>
      <c r="H483" s="568" t="s">
        <v>296</v>
      </c>
      <c r="I483" s="678"/>
      <c r="J483" s="294" t="str">
        <f>IF(ISBLANK(HLOOKUP(CaseName,CaseData,MATCH($G483,cases!$G$4:$G$2458,0),FALSE)),"",HLOOKUP(CaseName,CaseData,MATCH($G483,cases!$G$4:$G$2458,0),FALSE))</f>
        <v/>
      </c>
      <c r="K483" s="627">
        <f>(1+(4*(DiffS.aA+L482))/((RadS+RadCP.a)*(L481^2+ThermvelS^2)^0.5))^-1</f>
        <v>0.9079934227428752</v>
      </c>
      <c r="L483" s="298">
        <f t="shared" si="32"/>
        <v>0.9079934227428752</v>
      </c>
      <c r="M483" s="568" t="s">
        <v>296</v>
      </c>
      <c r="N483" s="567"/>
      <c r="O483" s="605"/>
      <c r="P483" s="567"/>
    </row>
    <row r="484" spans="1:16" s="410" customFormat="1" ht="12.75" customHeight="1" x14ac:dyDescent="0.2">
      <c r="A484" s="410" t="s">
        <v>3117</v>
      </c>
      <c r="G484" s="655"/>
      <c r="H484" s="655"/>
      <c r="J484" s="294" t="str">
        <f>IF(ISBLANK(HLOOKUP(CaseName,CaseData,MATCH($G484,cases!$G$4:$G$2458,0),FALSE)),"",HLOOKUP(CaseName,CaseData,MATCH($G484,cases!$G$4:$G$2458,0),FALSE))</f>
        <v/>
      </c>
      <c r="K484" s="658"/>
      <c r="L484" s="659"/>
      <c r="O484" s="417"/>
    </row>
    <row r="485" spans="1:16" customFormat="1" ht="12.75" customHeight="1" x14ac:dyDescent="0.2">
      <c r="A485" s="567" t="s">
        <v>1444</v>
      </c>
      <c r="B485" s="567"/>
      <c r="C485" s="567"/>
      <c r="D485" s="567"/>
      <c r="E485" s="567"/>
      <c r="F485" s="567"/>
      <c r="G485" s="568" t="s">
        <v>3118</v>
      </c>
      <c r="H485" s="568" t="s">
        <v>340</v>
      </c>
      <c r="I485" s="678"/>
      <c r="J485" s="294" t="str">
        <f>IF(ISBLANK(HLOOKUP(CaseName,CaseData,MATCH($G485,cases!$G$4:$G$2458,0),FALSE)),"",HLOOKUP(CaseName,CaseData,MATCH($G485,cases!$G$4:$G$2458,0),FALSE))</f>
        <v/>
      </c>
      <c r="K485" s="626">
        <f>L487*L486*AtefSA.w2</f>
        <v>5.4779613967207092E-3</v>
      </c>
      <c r="L485" s="298">
        <f t="shared" ref="L485:L506" si="33">IF(ISBLANK(I485),IF(ISNUMBER(J485)=FALSE,K485,J485),I485)</f>
        <v>5.4779613967207092E-3</v>
      </c>
      <c r="M485" s="567" t="s">
        <v>340</v>
      </c>
      <c r="N485" s="567"/>
      <c r="O485" s="605"/>
      <c r="P485" s="567"/>
    </row>
    <row r="486" spans="1:16" customFormat="1" ht="12.75" customHeight="1" x14ac:dyDescent="0.2">
      <c r="A486" s="567"/>
      <c r="B486" s="567" t="s">
        <v>1446</v>
      </c>
      <c r="C486" s="567"/>
      <c r="D486" s="567"/>
      <c r="E486" s="567"/>
      <c r="F486" s="567"/>
      <c r="G486" s="568" t="s">
        <v>3119</v>
      </c>
      <c r="H486" s="568" t="s">
        <v>715</v>
      </c>
      <c r="I486" s="678"/>
      <c r="J486" s="294" t="str">
        <f>IF(ISBLANK(HLOOKUP(CaseName,CaseData,MATCH($G486,cases!$G$4:$G$2458,0),FALSE)),"",HLOOKUP(CaseName,CaseData,MATCH($G486,cases!$G$4:$G$2458,0),FALSE))</f>
        <v/>
      </c>
      <c r="K486" s="577">
        <f>2*L387/(SingleVolNC.w*RhoNC.w)</f>
        <v>70735530263064.578</v>
      </c>
      <c r="L486" s="298">
        <f t="shared" si="33"/>
        <v>70735530263064.578</v>
      </c>
      <c r="M486" s="568" t="s">
        <v>715</v>
      </c>
      <c r="N486" s="567"/>
      <c r="O486" s="605"/>
      <c r="P486" s="587" t="s">
        <v>1448</v>
      </c>
    </row>
    <row r="487" spans="1:16" customFormat="1" ht="12.75" customHeight="1" x14ac:dyDescent="0.2">
      <c r="A487" s="567"/>
      <c r="B487" s="567" t="s">
        <v>1449</v>
      </c>
      <c r="C487" s="567"/>
      <c r="D487" s="567"/>
      <c r="E487" s="567"/>
      <c r="F487" s="567"/>
      <c r="G487" s="568" t="s">
        <v>3120</v>
      </c>
      <c r="H487" s="568" t="s">
        <v>340</v>
      </c>
      <c r="I487" s="678"/>
      <c r="J487" s="294" t="str">
        <f>IF(ISBLANK(HLOOKUP(CaseName,CaseData,MATCH($G487,cases!$G$4:$G$2458,0),FALSE)),"",HLOOKUP(CaseName,CaseData,MATCH($G487,cases!$G$4:$G$2458,0),FALSE))</f>
        <v/>
      </c>
      <c r="K487" s="577">
        <f>L488+L495+L496</f>
        <v>7.7442854762638198E-17</v>
      </c>
      <c r="L487" s="298">
        <f t="shared" si="33"/>
        <v>7.7442854762638198E-17</v>
      </c>
      <c r="M487" s="567" t="s">
        <v>340</v>
      </c>
      <c r="N487" s="567"/>
      <c r="O487" s="605"/>
      <c r="P487" s="567"/>
    </row>
    <row r="488" spans="1:16" customFormat="1" ht="12.75" customHeight="1" x14ac:dyDescent="0.2">
      <c r="A488" s="567"/>
      <c r="B488" s="567"/>
      <c r="C488" s="567" t="s">
        <v>1428</v>
      </c>
      <c r="D488" s="567"/>
      <c r="E488" s="567"/>
      <c r="F488" s="567"/>
      <c r="G488" s="568" t="s">
        <v>3121</v>
      </c>
      <c r="H488" s="568" t="s">
        <v>340</v>
      </c>
      <c r="I488" s="678"/>
      <c r="J488" s="294" t="str">
        <f>IF(ISBLANK(HLOOKUP(CaseName,CaseData,MATCH($G488,cases!$G$4:$G$2458,0),FALSE)),"",HLOOKUP(CaseName,CaseData,MATCH($G488,cases!$G$4:$G$2458,0),FALSE))</f>
        <v/>
      </c>
      <c r="K488" s="577">
        <f>(4/3)*L489*(RadS+RadNC.w)^3</f>
        <v>4.9651666666666685E-20</v>
      </c>
      <c r="L488" s="298">
        <f t="shared" si="33"/>
        <v>4.9651666666666685E-20</v>
      </c>
      <c r="M488" s="567" t="s">
        <v>340</v>
      </c>
      <c r="N488" s="567"/>
      <c r="O488" s="605"/>
      <c r="P488" s="567"/>
    </row>
    <row r="489" spans="1:16" customFormat="1" ht="12.75" customHeight="1" x14ac:dyDescent="0.2">
      <c r="A489" s="567"/>
      <c r="B489" s="567"/>
      <c r="C489" s="567"/>
      <c r="D489" s="567" t="s">
        <v>1452</v>
      </c>
      <c r="E489" s="567"/>
      <c r="F489" s="567"/>
      <c r="G489" s="568" t="s">
        <v>3122</v>
      </c>
      <c r="H489" s="568" t="s">
        <v>340</v>
      </c>
      <c r="I489" s="678"/>
      <c r="J489" s="294" t="str">
        <f>IF(ISBLANK(HLOOKUP(CaseName,CaseData,MATCH($G489,cases!$G$4:$G$2458,0),FALSE)),"",HLOOKUP(CaseName,CaseData,MATCH($G489,cases!$G$4:$G$2458,0),FALSE))</f>
        <v/>
      </c>
      <c r="K489" s="577">
        <v>10</v>
      </c>
      <c r="L489" s="298">
        <f t="shared" si="33"/>
        <v>10</v>
      </c>
      <c r="M489" s="568" t="s">
        <v>340</v>
      </c>
      <c r="N489" s="567"/>
      <c r="O489" s="605"/>
      <c r="P489" s="587" t="s">
        <v>1432</v>
      </c>
    </row>
    <row r="490" spans="1:16" customFormat="1" ht="12.75" customHeight="1" x14ac:dyDescent="0.2">
      <c r="A490" s="567" t="s">
        <v>1444</v>
      </c>
      <c r="B490" s="567"/>
      <c r="C490" s="567"/>
      <c r="D490" s="567"/>
      <c r="E490" s="567"/>
      <c r="F490" s="567"/>
      <c r="G490" s="568" t="s">
        <v>3123</v>
      </c>
      <c r="H490" s="568" t="s">
        <v>340</v>
      </c>
      <c r="I490" s="678"/>
      <c r="J490" s="294" t="str">
        <f>IF(ISBLANK(HLOOKUP(CaseName,CaseData,MATCH($G490,cases!$G$4:$G$2458,0),FALSE)),"",HLOOKUP(CaseName,CaseData,MATCH($G490,cases!$G$4:$G$2458,0),FALSE))</f>
        <v/>
      </c>
      <c r="K490" s="577">
        <f>L492*L491*AtefSA.w3</f>
        <v>5.4779613967207092E-3</v>
      </c>
      <c r="L490" s="298">
        <f t="shared" si="33"/>
        <v>5.4779613967207092E-3</v>
      </c>
      <c r="M490" s="567" t="s">
        <v>340</v>
      </c>
      <c r="N490" s="567"/>
      <c r="O490" s="605"/>
      <c r="P490" s="567"/>
    </row>
    <row r="491" spans="1:16" customFormat="1" ht="12.75" customHeight="1" x14ac:dyDescent="0.2">
      <c r="A491" s="567"/>
      <c r="B491" s="567" t="s">
        <v>1446</v>
      </c>
      <c r="C491" s="567"/>
      <c r="D491" s="567"/>
      <c r="E491" s="567"/>
      <c r="F491" s="567"/>
      <c r="G491" s="568" t="s">
        <v>3124</v>
      </c>
      <c r="H491" s="568" t="s">
        <v>715</v>
      </c>
      <c r="I491" s="678"/>
      <c r="J491" s="294" t="str">
        <f>IF(ISBLANK(HLOOKUP(CaseName,CaseData,MATCH($G491,cases!$G$4:$G$2458,0),FALSE)),"",HLOOKUP(CaseName,CaseData,MATCH($G491,cases!$G$4:$G$2458,0),FALSE))</f>
        <v/>
      </c>
      <c r="K491" s="577">
        <f>2*L388/(SingleVolNC.w*RhoNC.w)</f>
        <v>70735530263064.578</v>
      </c>
      <c r="L491" s="298">
        <f t="shared" si="33"/>
        <v>70735530263064.578</v>
      </c>
      <c r="M491" s="568" t="s">
        <v>715</v>
      </c>
      <c r="N491" s="567"/>
      <c r="O491" s="605"/>
      <c r="P491" s="587" t="s">
        <v>1448</v>
      </c>
    </row>
    <row r="492" spans="1:16" customFormat="1" ht="12.75" customHeight="1" x14ac:dyDescent="0.2">
      <c r="A492" s="567"/>
      <c r="B492" s="567" t="s">
        <v>1449</v>
      </c>
      <c r="C492" s="567"/>
      <c r="D492" s="567"/>
      <c r="E492" s="567"/>
      <c r="F492" s="567"/>
      <c r="G492" s="568" t="s">
        <v>3125</v>
      </c>
      <c r="H492" s="568" t="s">
        <v>340</v>
      </c>
      <c r="I492" s="678"/>
      <c r="J492" s="294" t="str">
        <f>IF(ISBLANK(HLOOKUP(CaseName,CaseData,MATCH($G492,cases!$G$4:$G$2458,0),FALSE)),"",HLOOKUP(CaseName,CaseData,MATCH($G492,cases!$G$4:$G$2458,0),FALSE))</f>
        <v/>
      </c>
      <c r="K492" s="577">
        <f>L493+L495+L496</f>
        <v>7.7442854762638198E-17</v>
      </c>
      <c r="L492" s="298">
        <f t="shared" si="33"/>
        <v>7.7442854762638198E-17</v>
      </c>
      <c r="M492" s="567" t="s">
        <v>340</v>
      </c>
      <c r="N492" s="567"/>
      <c r="O492" s="605"/>
      <c r="P492" s="567"/>
    </row>
    <row r="493" spans="1:16" customFormat="1" ht="12.75" customHeight="1" x14ac:dyDescent="0.2">
      <c r="A493" s="567"/>
      <c r="B493" s="567"/>
      <c r="C493" s="567" t="s">
        <v>1428</v>
      </c>
      <c r="D493" s="567"/>
      <c r="E493" s="567"/>
      <c r="F493" s="567"/>
      <c r="G493" s="568" t="s">
        <v>3126</v>
      </c>
      <c r="H493" s="568" t="s">
        <v>340</v>
      </c>
      <c r="I493" s="678"/>
      <c r="J493" s="294" t="str">
        <f>IF(ISBLANK(HLOOKUP(CaseName,CaseData,MATCH($G493,cases!$G$4:$G$2458,0),FALSE)),"",HLOOKUP(CaseName,CaseData,MATCH($G493,cases!$G$4:$G$2458,0),FALSE))</f>
        <v/>
      </c>
      <c r="K493" s="577">
        <f>(4/3)*L494*(RadS+RadNC.w)^3</f>
        <v>4.9651666666666685E-20</v>
      </c>
      <c r="L493" s="298">
        <f t="shared" si="33"/>
        <v>4.9651666666666685E-20</v>
      </c>
      <c r="M493" s="567" t="s">
        <v>340</v>
      </c>
      <c r="N493" s="567"/>
      <c r="O493" s="605"/>
      <c r="P493" s="567"/>
    </row>
    <row r="494" spans="1:16" customFormat="1" ht="12.75" customHeight="1" x14ac:dyDescent="0.2">
      <c r="A494" s="567"/>
      <c r="B494" s="567"/>
      <c r="C494" s="567"/>
      <c r="D494" s="567" t="s">
        <v>1452</v>
      </c>
      <c r="E494" s="567"/>
      <c r="F494" s="567"/>
      <c r="G494" s="568" t="s">
        <v>3127</v>
      </c>
      <c r="H494" s="568" t="s">
        <v>340</v>
      </c>
      <c r="I494" s="678"/>
      <c r="J494" s="294" t="str">
        <f>IF(ISBLANK(HLOOKUP(CaseName,CaseData,MATCH($G494,cases!$G$4:$G$2458,0),FALSE)),"",HLOOKUP(CaseName,CaseData,MATCH($G494,cases!$G$4:$G$2458,0),FALSE))</f>
        <v/>
      </c>
      <c r="K494" s="577">
        <v>10</v>
      </c>
      <c r="L494" s="298">
        <f t="shared" si="33"/>
        <v>10</v>
      </c>
      <c r="M494" s="568" t="s">
        <v>340</v>
      </c>
      <c r="N494" s="567"/>
      <c r="O494" s="605"/>
      <c r="P494" s="587" t="s">
        <v>1432</v>
      </c>
    </row>
    <row r="495" spans="1:16" customFormat="1" ht="12.75" customHeight="1" x14ac:dyDescent="0.2">
      <c r="A495" s="567"/>
      <c r="B495" s="567"/>
      <c r="C495" s="567" t="s">
        <v>1454</v>
      </c>
      <c r="D495" s="567"/>
      <c r="E495" s="567"/>
      <c r="F495" s="567"/>
      <c r="G495" s="567" t="s">
        <v>3128</v>
      </c>
      <c r="H495" s="567" t="s">
        <v>340</v>
      </c>
      <c r="I495" s="678"/>
      <c r="J495" s="294" t="str">
        <f>IF(ISBLANK(HLOOKUP(CaseName,CaseData,MATCH($G495,cases!$G$4:$G$2458,0),FALSE)),"",HLOOKUP(CaseName,CaseData,MATCH($G495,cases!$G$4:$G$2458,0),FALSE))</f>
        <v/>
      </c>
      <c r="K495" s="577">
        <f>(2*kboltz*L374)/(3*DYNVISC.w)*(RadS+RadNC.w)^2/(RadS*RadNC.w)</f>
        <v>7.7389514228964282E-17</v>
      </c>
      <c r="L495" s="552">
        <f t="shared" si="33"/>
        <v>7.7389514228964282E-17</v>
      </c>
      <c r="M495" s="567" t="s">
        <v>340</v>
      </c>
      <c r="N495" s="567"/>
      <c r="O495" s="605"/>
      <c r="P495" s="567"/>
    </row>
    <row r="496" spans="1:16" customFormat="1" ht="12.75" customHeight="1" x14ac:dyDescent="0.2">
      <c r="A496" s="567"/>
      <c r="B496" s="567"/>
      <c r="C496" s="567" t="s">
        <v>1456</v>
      </c>
      <c r="D496" s="567"/>
      <c r="E496" s="567"/>
      <c r="F496" s="567"/>
      <c r="G496" s="568" t="s">
        <v>3129</v>
      </c>
      <c r="H496" s="568" t="s">
        <v>340</v>
      </c>
      <c r="I496" s="678"/>
      <c r="J496" s="294" t="str">
        <f>IF(ISBLANK(HLOOKUP(CaseName,CaseData,MATCH($G496,cases!$G$4:$G$2458,0),FALSE)),"",HLOOKUP(CaseName,CaseData,MATCH($G496,cases!$G$4:$G$2458,0),FALSE))</f>
        <v/>
      </c>
      <c r="K496" s="577">
        <f>PI()*(RadS+RadNC.w)^2*ABS(SetVelS.w-SetVelNC.w)</f>
        <v>3.6888670072520785E-21</v>
      </c>
      <c r="L496" s="298">
        <f t="shared" si="33"/>
        <v>3.6888670072520785E-21</v>
      </c>
      <c r="M496" s="567" t="s">
        <v>340</v>
      </c>
      <c r="N496" s="567"/>
      <c r="O496" s="605"/>
      <c r="P496" s="567"/>
    </row>
    <row r="497" spans="1:16" customFormat="1" ht="12.75" customHeight="1" x14ac:dyDescent="0.2">
      <c r="A497" s="567" t="s">
        <v>1476</v>
      </c>
      <c r="B497" s="567"/>
      <c r="C497" s="567"/>
      <c r="D497" s="567"/>
      <c r="E497" s="567"/>
      <c r="F497" s="567"/>
      <c r="G497" s="568" t="s">
        <v>3130</v>
      </c>
      <c r="H497" s="568" t="s">
        <v>340</v>
      </c>
      <c r="I497" s="678"/>
      <c r="J497" s="294" t="str">
        <f>IF(ISBLANK(HLOOKUP(CaseName,CaseData,MATCH($G497,cases!$G$4:$G$2458,0),FALSE)),"",HLOOKUP(CaseName,CaseData,MATCH($G497,cases!$G$4:$G$2458,0),FALSE))</f>
        <v/>
      </c>
      <c r="K497" s="577">
        <f>L498*L499*AtefSP.w2</f>
        <v>4.6871333945527385E-5</v>
      </c>
      <c r="L497" s="298">
        <f t="shared" si="33"/>
        <v>4.6871333945527385E-5</v>
      </c>
      <c r="M497" s="567" t="s">
        <v>340</v>
      </c>
      <c r="N497" s="567"/>
      <c r="O497" s="605"/>
      <c r="P497" s="567"/>
    </row>
    <row r="498" spans="1:16" customFormat="1" ht="12.75" customHeight="1" x14ac:dyDescent="0.2">
      <c r="A498" s="567"/>
      <c r="B498" s="567" t="s">
        <v>1470</v>
      </c>
      <c r="C498" s="567"/>
      <c r="D498" s="567"/>
      <c r="E498" s="567"/>
      <c r="F498" s="567"/>
      <c r="G498" s="568" t="s">
        <v>3131</v>
      </c>
      <c r="H498" s="568" t="s">
        <v>715</v>
      </c>
      <c r="I498" s="678"/>
      <c r="J498" s="294" t="str">
        <f>IF(ISBLANK(HLOOKUP(CaseName,CaseData,MATCH($G498,cases!$G$4:$G$2458,0),FALSE)),"",HLOOKUP(CaseName,CaseData,MATCH($G498,cases!$G$4:$G$2458,0),FALSE))</f>
        <v/>
      </c>
      <c r="K498" s="577">
        <f>(L383)/(SingleVolSPM.w*RhoSPM.w)</f>
        <v>17683882565.766148</v>
      </c>
      <c r="L498" s="298">
        <f t="shared" si="33"/>
        <v>17683882565.766148</v>
      </c>
      <c r="M498" s="567" t="s">
        <v>715</v>
      </c>
      <c r="N498" s="567"/>
      <c r="O498" s="605"/>
      <c r="P498" s="567"/>
    </row>
    <row r="499" spans="1:16" customFormat="1" ht="12.75" customHeight="1" x14ac:dyDescent="0.2">
      <c r="A499" s="567"/>
      <c r="B499" s="567" t="s">
        <v>1481</v>
      </c>
      <c r="C499" s="567"/>
      <c r="D499" s="567"/>
      <c r="E499" s="567"/>
      <c r="F499" s="567"/>
      <c r="G499" s="568" t="s">
        <v>3132</v>
      </c>
      <c r="H499" s="567" t="s">
        <v>340</v>
      </c>
      <c r="I499" s="678"/>
      <c r="J499" s="294" t="str">
        <f>IF(ISBLANK(HLOOKUP(CaseName,CaseData,MATCH($G499,cases!$G$4:$G$2458,0),FALSE)),"",HLOOKUP(CaseName,CaseData,MATCH($G499,cases!$G$4:$G$2458,0),FALSE))</f>
        <v/>
      </c>
      <c r="K499" s="577">
        <f>L505+L506+L500</f>
        <v>2.6505114909700093E-15</v>
      </c>
      <c r="L499" s="298">
        <f t="shared" si="33"/>
        <v>2.6505114909700093E-15</v>
      </c>
      <c r="M499" s="567" t="s">
        <v>340</v>
      </c>
      <c r="N499" s="567"/>
      <c r="O499" s="605"/>
      <c r="P499" s="567"/>
    </row>
    <row r="500" spans="1:16" customFormat="1" ht="12.75" customHeight="1" x14ac:dyDescent="0.2">
      <c r="A500" s="567"/>
      <c r="B500" s="567"/>
      <c r="C500" s="567" t="s">
        <v>1466</v>
      </c>
      <c r="D500" s="567"/>
      <c r="E500" s="567"/>
      <c r="F500" s="567"/>
      <c r="G500" s="568" t="s">
        <v>3133</v>
      </c>
      <c r="H500" s="568" t="s">
        <v>340</v>
      </c>
      <c r="I500" s="678"/>
      <c r="J500" s="294" t="str">
        <f>IF(ISBLANK(HLOOKUP(CaseName,CaseData,MATCH($G500,cases!$G$4:$G$2458,0),FALSE)),"",HLOOKUP(CaseName,CaseData,MATCH($G500,cases!$G$4:$G$2458,0),FALSE))</f>
        <v/>
      </c>
      <c r="K500" s="577">
        <f>(4/3)*L489*(RadS+RadSPM.w)^3</f>
        <v>3.6180300166666665E-16</v>
      </c>
      <c r="L500" s="298">
        <f t="shared" si="33"/>
        <v>3.6180300166666665E-16</v>
      </c>
      <c r="M500" s="567" t="s">
        <v>340</v>
      </c>
      <c r="N500" s="567"/>
      <c r="O500" s="605"/>
      <c r="P500" s="567"/>
    </row>
    <row r="501" spans="1:16" customFormat="1" ht="12.75" customHeight="1" x14ac:dyDescent="0.2">
      <c r="A501" s="567" t="s">
        <v>1476</v>
      </c>
      <c r="B501" s="567"/>
      <c r="C501" s="567"/>
      <c r="D501" s="567"/>
      <c r="E501" s="567"/>
      <c r="F501" s="567"/>
      <c r="G501" s="568" t="s">
        <v>3134</v>
      </c>
      <c r="H501" s="568" t="s">
        <v>340</v>
      </c>
      <c r="I501" s="678"/>
      <c r="J501" s="294" t="str">
        <f>IF(ISBLANK(HLOOKUP(CaseName,CaseData,MATCH($G501,cases!$G$4:$G$2458,0),FALSE)),"",HLOOKUP(CaseName,CaseData,MATCH($G501,cases!$G$4:$G$2458,0),FALSE))</f>
        <v/>
      </c>
      <c r="K501" s="577">
        <f>L502*L503*AtefSP.w3</f>
        <v>4.6871333945527385E-5</v>
      </c>
      <c r="L501" s="298">
        <f t="shared" si="33"/>
        <v>4.6871333945527385E-5</v>
      </c>
      <c r="M501" s="567" t="s">
        <v>340</v>
      </c>
      <c r="N501" s="567"/>
      <c r="O501" s="605"/>
      <c r="P501" s="567"/>
    </row>
    <row r="502" spans="1:16" customFormat="1" ht="12.75" customHeight="1" x14ac:dyDescent="0.2">
      <c r="A502" s="567"/>
      <c r="B502" s="567" t="s">
        <v>1470</v>
      </c>
      <c r="C502" s="567"/>
      <c r="D502" s="567"/>
      <c r="E502" s="567"/>
      <c r="F502" s="567"/>
      <c r="G502" s="568" t="s">
        <v>3135</v>
      </c>
      <c r="H502" s="568" t="s">
        <v>715</v>
      </c>
      <c r="I502" s="678"/>
      <c r="J502" s="294" t="str">
        <f>IF(ISBLANK(HLOOKUP(CaseName,CaseData,MATCH($G502,cases!$G$4:$G$2458,0),FALSE)),"",HLOOKUP(CaseName,CaseData,MATCH($G502,cases!$G$4:$G$2458,0),FALSE))</f>
        <v/>
      </c>
      <c r="K502" s="577">
        <f>(L384)/(SingleVolSPM.w*RhoSPM.w)</f>
        <v>17683882565.766148</v>
      </c>
      <c r="L502" s="298">
        <f t="shared" si="33"/>
        <v>17683882565.766148</v>
      </c>
      <c r="M502" s="567" t="s">
        <v>715</v>
      </c>
      <c r="N502" s="567"/>
      <c r="O502" s="605"/>
      <c r="P502" s="567"/>
    </row>
    <row r="503" spans="1:16" customFormat="1" ht="12.75" customHeight="1" x14ac:dyDescent="0.2">
      <c r="A503" s="567"/>
      <c r="B503" s="567" t="s">
        <v>1481</v>
      </c>
      <c r="C503" s="567"/>
      <c r="D503" s="567"/>
      <c r="E503" s="567"/>
      <c r="F503" s="567"/>
      <c r="G503" s="568" t="s">
        <v>3136</v>
      </c>
      <c r="H503" s="567" t="s">
        <v>340</v>
      </c>
      <c r="I503" s="678"/>
      <c r="J503" s="294" t="str">
        <f>IF(ISBLANK(HLOOKUP(CaseName,CaseData,MATCH($G503,cases!$G$4:$G$2458,0),FALSE)),"",HLOOKUP(CaseName,CaseData,MATCH($G503,cases!$G$4:$G$2458,0),FALSE))</f>
        <v/>
      </c>
      <c r="K503" s="577">
        <f>L505+L506+L504</f>
        <v>2.6505114909700093E-15</v>
      </c>
      <c r="L503" s="298">
        <f t="shared" si="33"/>
        <v>2.6505114909700093E-15</v>
      </c>
      <c r="M503" s="567" t="s">
        <v>340</v>
      </c>
      <c r="N503" s="567"/>
      <c r="O503" s="605"/>
      <c r="P503" s="567"/>
    </row>
    <row r="504" spans="1:16" customFormat="1" ht="12.75" customHeight="1" x14ac:dyDescent="0.2">
      <c r="A504" s="567"/>
      <c r="B504" s="567"/>
      <c r="C504" s="567" t="s">
        <v>1466</v>
      </c>
      <c r="D504" s="567"/>
      <c r="E504" s="567"/>
      <c r="F504" s="567"/>
      <c r="G504" s="568" t="s">
        <v>3137</v>
      </c>
      <c r="H504" s="568" t="s">
        <v>340</v>
      </c>
      <c r="I504" s="678"/>
      <c r="J504" s="294" t="str">
        <f>IF(ISBLANK(HLOOKUP(CaseName,CaseData,MATCH($G504,cases!$G$4:$G$2458,0),FALSE)),"",HLOOKUP(CaseName,CaseData,MATCH($G504,cases!$G$4:$G$2458,0),FALSE))</f>
        <v/>
      </c>
      <c r="K504" s="577">
        <f>(4/3)*L494*(RadS+RadSPM.w)^3</f>
        <v>3.6180300166666665E-16</v>
      </c>
      <c r="L504" s="298">
        <f t="shared" si="33"/>
        <v>3.6180300166666665E-16</v>
      </c>
      <c r="M504" s="567" t="s">
        <v>340</v>
      </c>
      <c r="N504" s="567"/>
      <c r="O504" s="605"/>
      <c r="P504" s="567"/>
    </row>
    <row r="505" spans="1:16" customFormat="1" ht="12.75" customHeight="1" x14ac:dyDescent="0.2">
      <c r="A505" s="567"/>
      <c r="B505" s="567"/>
      <c r="C505" s="567" t="s">
        <v>1484</v>
      </c>
      <c r="D505" s="567"/>
      <c r="E505" s="567"/>
      <c r="F505" s="567"/>
      <c r="G505" s="568" t="s">
        <v>3138</v>
      </c>
      <c r="H505" s="568" t="s">
        <v>340</v>
      </c>
      <c r="I505" s="678"/>
      <c r="J505" s="294" t="str">
        <f>IF(ISBLANK(HLOOKUP(CaseName,CaseData,MATCH($G505,cases!$G$4:$G$2458,0),FALSE)),"",HLOOKUP(CaseName,CaseData,MATCH($G505,cases!$G$4:$G$2458,0),FALSE))</f>
        <v/>
      </c>
      <c r="K505" s="577">
        <f>((2*kboltz*L374)/(3*DYNVISC.w))*(RadS+RadSPM.w)^2/(RadS*RadSPM.w)</f>
        <v>1.4543792887105168E-15</v>
      </c>
      <c r="L505" s="298">
        <f t="shared" si="33"/>
        <v>1.4543792887105168E-15</v>
      </c>
      <c r="M505" s="567" t="s">
        <v>340</v>
      </c>
      <c r="N505" s="567"/>
      <c r="O505" s="605"/>
      <c r="P505" s="567"/>
    </row>
    <row r="506" spans="1:16" customFormat="1" ht="12.75" customHeight="1" x14ac:dyDescent="0.2">
      <c r="A506" s="567"/>
      <c r="B506" s="567"/>
      <c r="C506" s="567" t="s">
        <v>2255</v>
      </c>
      <c r="D506" s="567"/>
      <c r="E506" s="567"/>
      <c r="F506" s="567"/>
      <c r="G506" s="568" t="s">
        <v>3139</v>
      </c>
      <c r="H506" s="568" t="s">
        <v>340</v>
      </c>
      <c r="I506" s="678"/>
      <c r="J506" s="294" t="str">
        <f>IF(ISBLANK(HLOOKUP(CaseName,CaseData,MATCH($G506,cases!$G$4:$G$2458,0),FALSE)),"",HLOOKUP(CaseName,CaseData,MATCH($G506,cases!$G$4:$G$2458,0),FALSE))</f>
        <v/>
      </c>
      <c r="K506" s="627">
        <f>PI()*(RadS+RadSPM.w)^2*ABS(SetVelS.w-SetVelSPM.w)</f>
        <v>8.3432920059282575E-16</v>
      </c>
      <c r="L506" s="298">
        <f t="shared" si="33"/>
        <v>8.3432920059282575E-16</v>
      </c>
      <c r="M506" s="567" t="s">
        <v>340</v>
      </c>
      <c r="N506" s="567"/>
      <c r="O506" s="605"/>
      <c r="P506" s="567"/>
    </row>
    <row r="507" spans="1:16" customFormat="1" ht="12.75" customHeight="1" x14ac:dyDescent="0.2">
      <c r="A507" s="410" t="s">
        <v>3140</v>
      </c>
      <c r="G507" s="172"/>
      <c r="H507" s="172"/>
      <c r="J507" s="294" t="str">
        <f>IF(ISBLANK(HLOOKUP(CaseName,CaseData,MATCH($G507,cases!$G$4:$G$2458,0),FALSE)),"",HLOOKUP(CaseName,CaseData,MATCH($G507,cases!$G$4:$G$2458,0),FALSE))</f>
        <v/>
      </c>
      <c r="K507" s="335"/>
      <c r="L507" s="332"/>
      <c r="O507" s="176"/>
    </row>
    <row r="508" spans="1:16" customFormat="1" ht="12.75" customHeight="1" x14ac:dyDescent="0.2">
      <c r="A508" s="567" t="s">
        <v>2789</v>
      </c>
      <c r="B508" s="567"/>
      <c r="C508" s="567"/>
      <c r="D508" s="567"/>
      <c r="E508" s="567"/>
      <c r="F508" s="567"/>
      <c r="G508" s="568" t="s">
        <v>3141</v>
      </c>
      <c r="H508" s="568" t="s">
        <v>340</v>
      </c>
      <c r="I508" s="678"/>
      <c r="J508" s="294" t="str">
        <f>IF(ISBLANK(HLOOKUP(CaseName,CaseData,MATCH($G508,cases!$G$4:$G$2458,0),FALSE)),"",HLOOKUP(CaseName,CaseData,MATCH($G508,cases!$G$4:$G$2458,0),FALSE))</f>
        <v/>
      </c>
      <c r="K508" s="626">
        <f>AtefSA.sd2*L509*(L510+L511)</f>
        <v>5.4744492597505979E-3</v>
      </c>
      <c r="L508" s="298">
        <f t="shared" ref="L508:L525" si="34">IF(ISBLANK(I508),IF(ISNUMBER(J508)=FALSE,K508,J508),I508)</f>
        <v>5.4744492597505979E-3</v>
      </c>
      <c r="M508" s="568" t="s">
        <v>340</v>
      </c>
      <c r="N508" s="567" t="s">
        <v>2791</v>
      </c>
      <c r="O508" s="605"/>
      <c r="P508" s="567"/>
    </row>
    <row r="509" spans="1:16" customFormat="1" ht="12.75" customHeight="1" x14ac:dyDescent="0.2">
      <c r="A509" s="567"/>
      <c r="B509" s="567" t="s">
        <v>1500</v>
      </c>
      <c r="C509" s="567"/>
      <c r="D509" s="567"/>
      <c r="E509" s="567"/>
      <c r="F509" s="567"/>
      <c r="G509" s="568" t="s">
        <v>3142</v>
      </c>
      <c r="H509" s="568" t="s">
        <v>715</v>
      </c>
      <c r="I509" s="678"/>
      <c r="J509" s="294" t="str">
        <f>IF(ISBLANK(HLOOKUP(CaseName,CaseData,MATCH($G509,cases!$G$4:$G$2458,0),FALSE)),"",HLOOKUP(CaseName,CaseData,MATCH($G509,cases!$G$4:$G$2458,0),FALSE))</f>
        <v/>
      </c>
      <c r="K509" s="577">
        <f>L486</f>
        <v>70735530263064.578</v>
      </c>
      <c r="L509" s="298">
        <f t="shared" si="34"/>
        <v>70735530263064.578</v>
      </c>
      <c r="M509" s="568" t="s">
        <v>715</v>
      </c>
      <c r="N509" s="567" t="s">
        <v>2260</v>
      </c>
      <c r="O509" s="605"/>
      <c r="P509" s="587" t="s">
        <v>3143</v>
      </c>
    </row>
    <row r="510" spans="1:16" customFormat="1" ht="12.75" customHeight="1" x14ac:dyDescent="0.2">
      <c r="A510" s="567"/>
      <c r="B510" s="567"/>
      <c r="C510" s="567" t="s">
        <v>1454</v>
      </c>
      <c r="D510" s="567"/>
      <c r="E510" s="567"/>
      <c r="F510" s="567"/>
      <c r="G510" s="567" t="s">
        <v>3144</v>
      </c>
      <c r="H510" s="567" t="s">
        <v>340</v>
      </c>
      <c r="I510" s="678"/>
      <c r="J510" s="294" t="str">
        <f>IF(ISBLANK(HLOOKUP(CaseName,CaseData,MATCH($G510,cases!$G$4:$G$2458,0),FALSE)),"",HLOOKUP(CaseName,CaseData,MATCH($G510,cases!$G$4:$G$2458,0),FALSE))</f>
        <v/>
      </c>
      <c r="K510" s="577">
        <f>((2*kboltz*L374)/(3*DYNVISC.w))*(RadS+RadNC.sd)^2/(RadS*RadNC.sd)</f>
        <v>7.7389514228964282E-17</v>
      </c>
      <c r="L510" s="552">
        <f t="shared" si="34"/>
        <v>7.7389514228964282E-17</v>
      </c>
      <c r="M510" s="567" t="s">
        <v>340</v>
      </c>
      <c r="N510" s="567"/>
      <c r="O510" s="605"/>
      <c r="P510" s="567"/>
    </row>
    <row r="511" spans="1:16" customFormat="1" ht="12.75" customHeight="1" x14ac:dyDescent="0.2">
      <c r="A511" s="567"/>
      <c r="B511" s="567"/>
      <c r="C511" s="567" t="s">
        <v>1456</v>
      </c>
      <c r="D511" s="567"/>
      <c r="E511" s="567"/>
      <c r="F511" s="567"/>
      <c r="G511" s="568" t="s">
        <v>3145</v>
      </c>
      <c r="H511" s="568" t="s">
        <v>340</v>
      </c>
      <c r="I511" s="678"/>
      <c r="J511" s="294" t="str">
        <f>IF(ISBLANK(HLOOKUP(CaseName,CaseData,MATCH($G511,cases!$G$4:$G$2458,0),FALSE)),"",HLOOKUP(CaseName,CaseData,MATCH($G511,cases!$G$4:$G$2458,0),FALSE))</f>
        <v/>
      </c>
      <c r="K511" s="577">
        <f>PI()*(RadS+RadNC.sd)^2*ABS(SetVelS.w-SetVelNC.sd)</f>
        <v>3.6888670072520785E-21</v>
      </c>
      <c r="L511" s="298">
        <f t="shared" si="34"/>
        <v>3.6888670072520785E-21</v>
      </c>
      <c r="M511" s="567" t="s">
        <v>340</v>
      </c>
      <c r="N511" s="567"/>
      <c r="O511" s="605"/>
      <c r="P511" s="567"/>
    </row>
    <row r="512" spans="1:16" customFormat="1" ht="12.75" customHeight="1" x14ac:dyDescent="0.2">
      <c r="A512" s="567" t="s">
        <v>2795</v>
      </c>
      <c r="B512" s="567"/>
      <c r="C512" s="567"/>
      <c r="D512" s="567"/>
      <c r="E512" s="567"/>
      <c r="F512" s="567"/>
      <c r="G512" s="568" t="s">
        <v>3146</v>
      </c>
      <c r="H512" s="568" t="s">
        <v>340</v>
      </c>
      <c r="I512" s="678"/>
      <c r="J512" s="294" t="str">
        <f>IF(ISBLANK(HLOOKUP(CaseName,CaseData,MATCH($G512,cases!$G$4:$G$2458,0),FALSE)),"",HLOOKUP(CaseName,CaseData,MATCH($G512,cases!$G$4:$G$2458,0),FALSE))</f>
        <v/>
      </c>
      <c r="K512" s="577">
        <f>L513*L515*L514*AtefSP.sd2</f>
        <v>1.6105232713613839E-2</v>
      </c>
      <c r="L512" s="298">
        <f t="shared" si="34"/>
        <v>1.6105232713613839E-2</v>
      </c>
      <c r="M512" s="568" t="s">
        <v>340</v>
      </c>
      <c r="N512" s="567" t="s">
        <v>2791</v>
      </c>
      <c r="O512" s="605"/>
      <c r="P512" s="567"/>
    </row>
    <row r="513" spans="1:16" customFormat="1" ht="12.75" customHeight="1" x14ac:dyDescent="0.2">
      <c r="A513" s="567"/>
      <c r="B513" s="567" t="s">
        <v>1511</v>
      </c>
      <c r="C513" s="567"/>
      <c r="D513" s="567"/>
      <c r="E513" s="567"/>
      <c r="F513" s="567"/>
      <c r="G513" s="568" t="s">
        <v>3147</v>
      </c>
      <c r="H513" s="568" t="s">
        <v>1513</v>
      </c>
      <c r="I513" s="678"/>
      <c r="J513" s="294" t="str">
        <f>IF(ISBLANK(HLOOKUP(CaseName,CaseData,MATCH($G513,cases!$G$4:$G$2458,0),FALSE)),"",HLOOKUP(CaseName,CaseData,MATCH($G513,cases!$G$4:$G$2458,0),FALSE))</f>
        <v/>
      </c>
      <c r="K513" s="577">
        <f>(3/2)*((1-L519)/(2*RadFP.sd*L519))</f>
        <v>1464.8437499999995</v>
      </c>
      <c r="L513" s="298">
        <f t="shared" si="34"/>
        <v>1464.8437499999995</v>
      </c>
      <c r="M513" s="568" t="s">
        <v>1513</v>
      </c>
      <c r="N513" s="567"/>
      <c r="O513" s="605"/>
      <c r="P513" s="567"/>
    </row>
    <row r="514" spans="1:16" customFormat="1" ht="12.75" customHeight="1" x14ac:dyDescent="0.2">
      <c r="A514" s="567"/>
      <c r="B514" s="567" t="s">
        <v>1514</v>
      </c>
      <c r="C514" s="567"/>
      <c r="D514" s="567"/>
      <c r="E514" s="567"/>
      <c r="F514" s="567"/>
      <c r="G514" s="567" t="s">
        <v>3148</v>
      </c>
      <c r="H514" s="568" t="s">
        <v>873</v>
      </c>
      <c r="I514" s="678"/>
      <c r="J514" s="294" t="str">
        <f>IF(ISBLANK(HLOOKUP(CaseName,CaseData,MATCH($G514,cases!$G$4:$G$2458,0),FALSE)),"",HLOOKUP(CaseName,CaseData,MATCH($G514,cases!$G$4:$G$2458,0),FALSE))</f>
        <v/>
      </c>
      <c r="K514" s="628">
        <f>9*10^-6</f>
        <v>9.0000000000000002E-6</v>
      </c>
      <c r="L514" s="298">
        <f t="shared" si="34"/>
        <v>9.0000000000000002E-6</v>
      </c>
      <c r="M514" s="568" t="s">
        <v>873</v>
      </c>
      <c r="N514" s="567"/>
      <c r="O514" s="605"/>
      <c r="P514" s="567" t="s">
        <v>1516</v>
      </c>
    </row>
    <row r="515" spans="1:16" customFormat="1" ht="12.75" customHeight="1" x14ac:dyDescent="0.2">
      <c r="A515" s="567"/>
      <c r="B515" s="567" t="s">
        <v>1517</v>
      </c>
      <c r="C515" s="567"/>
      <c r="D515" s="567"/>
      <c r="E515" s="567"/>
      <c r="F515" s="567"/>
      <c r="G515" s="568" t="s">
        <v>3149</v>
      </c>
      <c r="H515" s="568" t="s">
        <v>296</v>
      </c>
      <c r="I515" s="678"/>
      <c r="J515" s="294" t="str">
        <f>IF(ISBLANK(HLOOKUP(CaseName,CaseData,MATCH($G515,cases!$G$4:$G$2458,0),FALSE)),"",HLOOKUP(CaseName,CaseData,MATCH($G515,cases!$G$4:$G$2458,0),FALSE))</f>
        <v/>
      </c>
      <c r="K515" s="577">
        <f>L516+L520+L521</f>
        <v>1.2216117258326351</v>
      </c>
      <c r="L515" s="298">
        <f t="shared" si="34"/>
        <v>1.2216117258326351</v>
      </c>
      <c r="M515" s="568" t="s">
        <v>296</v>
      </c>
      <c r="N515" s="567"/>
      <c r="O515" s="605"/>
      <c r="P515" s="567" t="s">
        <v>1516</v>
      </c>
    </row>
    <row r="516" spans="1:16" customFormat="1" ht="12.75" customHeight="1" x14ac:dyDescent="0.2">
      <c r="A516" s="567"/>
      <c r="B516" s="567"/>
      <c r="C516" s="567" t="s">
        <v>1519</v>
      </c>
      <c r="D516" s="567"/>
      <c r="E516" s="567"/>
      <c r="F516" s="567"/>
      <c r="G516" s="568" t="s">
        <v>3150</v>
      </c>
      <c r="H516" s="568" t="s">
        <v>296</v>
      </c>
      <c r="I516" s="678"/>
      <c r="J516" s="294" t="str">
        <f>IF(ISBLANK(HLOOKUP(CaseName,CaseData,MATCH($G516,cases!$G$4:$G$2458,0),FALSE)),"",HLOOKUP(CaseName,CaseData,MATCH($G516,cases!$G$4:$G$2458,0),FALSE))</f>
        <v/>
      </c>
      <c r="K516" s="577">
        <f>2.4*L524^(1/3)*L523^(-0.081)*L524^(-0.715)*L522^(0.053)</f>
        <v>1.2215962586924534</v>
      </c>
      <c r="L516" s="298">
        <f t="shared" si="34"/>
        <v>1.2215962586924534</v>
      </c>
      <c r="M516" s="568" t="s">
        <v>296</v>
      </c>
      <c r="N516" s="567"/>
      <c r="O516" s="605"/>
      <c r="P516" s="567" t="s">
        <v>1516</v>
      </c>
    </row>
    <row r="517" spans="1:16" customFormat="1" ht="12.75" customHeight="1" x14ac:dyDescent="0.2">
      <c r="A517" s="567"/>
      <c r="B517" s="567"/>
      <c r="C517" s="567"/>
      <c r="D517" s="567" t="s">
        <v>1521</v>
      </c>
      <c r="E517" s="567"/>
      <c r="F517" s="567"/>
      <c r="G517" s="567" t="s">
        <v>3151</v>
      </c>
      <c r="H517" s="568" t="s">
        <v>296</v>
      </c>
      <c r="I517" s="678"/>
      <c r="J517" s="294" t="str">
        <f>IF(ISBLANK(HLOOKUP(CaseName,CaseData,MATCH($G517,cases!$G$4:$G$2458,0),FALSE)),"",HLOOKUP(CaseName,CaseData,MATCH($G517,cases!$G$4:$G$2458,0),FALSE))</f>
        <v/>
      </c>
      <c r="K517" s="628">
        <f>(2*(1-L518^5))/(2-3*L518+3*L518^5-2*L518^6)</f>
        <v>5.0249997549306684</v>
      </c>
      <c r="L517" s="298">
        <f t="shared" si="34"/>
        <v>5.0249997549306684</v>
      </c>
      <c r="M517" s="568" t="s">
        <v>296</v>
      </c>
      <c r="N517" s="567"/>
      <c r="O517" s="605"/>
      <c r="P517" s="567" t="s">
        <v>1516</v>
      </c>
    </row>
    <row r="518" spans="1:16" customFormat="1" ht="12.75" customHeight="1" x14ac:dyDescent="0.2">
      <c r="A518" s="567"/>
      <c r="B518" s="567"/>
      <c r="C518" s="567"/>
      <c r="D518" s="567"/>
      <c r="E518" s="567" t="s">
        <v>1523</v>
      </c>
      <c r="F518" s="567"/>
      <c r="G518" s="567" t="s">
        <v>3152</v>
      </c>
      <c r="H518" s="568" t="s">
        <v>296</v>
      </c>
      <c r="I518" s="678"/>
      <c r="J518" s="294" t="str">
        <f>IF(ISBLANK(HLOOKUP(CaseName,CaseData,MATCH($G518,cases!$G$4:$G$2458,0),FALSE)),"",HLOOKUP(CaseName,CaseData,MATCH($G518,cases!$G$4:$G$2458,0),FALSE))</f>
        <v/>
      </c>
      <c r="K518" s="628">
        <f>(1-L519)^(1/3)</f>
        <v>0.58480354764257325</v>
      </c>
      <c r="L518" s="298">
        <f t="shared" si="34"/>
        <v>0.58480354764257325</v>
      </c>
      <c r="M518" s="568" t="s">
        <v>296</v>
      </c>
      <c r="N518" s="567"/>
      <c r="O518" s="605"/>
      <c r="P518" s="567" t="s">
        <v>1516</v>
      </c>
    </row>
    <row r="519" spans="1:16" customFormat="1" ht="12.75" customHeight="1" x14ac:dyDescent="0.2">
      <c r="A519" s="567"/>
      <c r="B519" s="567"/>
      <c r="C519" s="567"/>
      <c r="D519" s="567"/>
      <c r="E519" s="567"/>
      <c r="F519" s="567" t="s">
        <v>1525</v>
      </c>
      <c r="G519" s="567" t="s">
        <v>3153</v>
      </c>
      <c r="H519" s="568" t="s">
        <v>1527</v>
      </c>
      <c r="I519" s="678"/>
      <c r="J519" s="294" t="str">
        <f>IF(ISBLANK(HLOOKUP(CaseName,CaseData,MATCH($G519,cases!$G$4:$G$2458,0),FALSE)),"",HLOOKUP(CaseName,CaseData,MATCH($G519,cases!$G$4:$G$2458,0),FALSE))</f>
        <v/>
      </c>
      <c r="K519" s="577">
        <f>L354</f>
        <v>0.8</v>
      </c>
      <c r="L519" s="298">
        <f t="shared" si="34"/>
        <v>0.8</v>
      </c>
      <c r="M519" s="568" t="s">
        <v>1527</v>
      </c>
      <c r="N519" s="567" t="s">
        <v>1528</v>
      </c>
      <c r="O519" s="605"/>
      <c r="P519" s="567"/>
    </row>
    <row r="520" spans="1:16" customFormat="1" ht="12.75" customHeight="1" x14ac:dyDescent="0.2">
      <c r="A520" s="567"/>
      <c r="B520" s="567"/>
      <c r="C520" s="567" t="s">
        <v>1529</v>
      </c>
      <c r="D520" s="567"/>
      <c r="E520" s="567"/>
      <c r="F520" s="567"/>
      <c r="G520" s="568" t="s">
        <v>3154</v>
      </c>
      <c r="H520" s="568" t="s">
        <v>296</v>
      </c>
      <c r="I520" s="678"/>
      <c r="J520" s="294" t="str">
        <f>IF(ISBLANK(HLOOKUP(CaseName,CaseData,MATCH($G520,cases!$G$4:$G$2458,0),FALSE)),"",HLOOKUP(CaseName,CaseData,MATCH($G520,cases!$G$4:$G$2458,0),FALSE))</f>
        <v/>
      </c>
      <c r="K520" s="577">
        <f>0.55*L523^1.55*L524^-0.125*L522^0.125</f>
        <v>5.3040224435209045E-8</v>
      </c>
      <c r="L520" s="298">
        <f t="shared" si="34"/>
        <v>5.3040224435209045E-8</v>
      </c>
      <c r="M520" s="568" t="s">
        <v>296</v>
      </c>
      <c r="N520" s="567"/>
      <c r="O520" s="605"/>
      <c r="P520" s="567" t="s">
        <v>1516</v>
      </c>
    </row>
    <row r="521" spans="1:16" customFormat="1" ht="12.75" customHeight="1" x14ac:dyDescent="0.2">
      <c r="A521" s="567"/>
      <c r="B521" s="567"/>
      <c r="C521" s="567" t="s">
        <v>1531</v>
      </c>
      <c r="D521" s="567"/>
      <c r="E521" s="567"/>
      <c r="F521" s="567"/>
      <c r="G521" s="568" t="s">
        <v>3155</v>
      </c>
      <c r="H521" s="568" t="s">
        <v>296</v>
      </c>
      <c r="I521" s="678"/>
      <c r="J521" s="294" t="str">
        <f>IF(ISBLANK(HLOOKUP(CaseName,CaseData,MATCH($G521,cases!$G$4:$G$2458,0),FALSE)),"",HLOOKUP(CaseName,CaseData,MATCH($G521,cases!$G$4:$G$2458,0),FALSE))</f>
        <v/>
      </c>
      <c r="K521" s="577">
        <f>0.22*L523^-0.24*L525^1.11*L522^0.053</f>
        <v>1.5414099957360726E-5</v>
      </c>
      <c r="L521" s="298">
        <f t="shared" si="34"/>
        <v>1.5414099957360726E-5</v>
      </c>
      <c r="M521" s="568" t="s">
        <v>296</v>
      </c>
      <c r="N521" s="567"/>
      <c r="O521" s="605"/>
      <c r="P521" s="567" t="s">
        <v>1516</v>
      </c>
    </row>
    <row r="522" spans="1:16" customFormat="1" ht="12.75" customHeight="1" x14ac:dyDescent="0.2">
      <c r="A522" s="567"/>
      <c r="B522" s="567"/>
      <c r="C522" s="567"/>
      <c r="D522" s="567" t="s">
        <v>1533</v>
      </c>
      <c r="E522" s="567"/>
      <c r="F522" s="567"/>
      <c r="G522" s="567" t="s">
        <v>3156</v>
      </c>
      <c r="H522" s="568" t="s">
        <v>296</v>
      </c>
      <c r="I522" s="678"/>
      <c r="J522" s="294" t="str">
        <f>IF(ISBLANK(HLOOKUP(CaseName,CaseData,MATCH($G522,cases!$G$4:$G$2458,0),FALSE)),"",HLOOKUP(CaseName,CaseData,MATCH($G522,cases!$G$4:$G$2458,0),FALSE))</f>
        <v/>
      </c>
      <c r="K522" s="628">
        <f>AHamakerSP.w/(kboltz*L374)</f>
        <v>1.9002472927848792</v>
      </c>
      <c r="L522" s="298">
        <f t="shared" si="34"/>
        <v>1.9002472927848792</v>
      </c>
      <c r="M522" s="568" t="s">
        <v>296</v>
      </c>
      <c r="N522" s="567"/>
      <c r="O522" s="605"/>
      <c r="P522" s="567" t="s">
        <v>1516</v>
      </c>
    </row>
    <row r="523" spans="1:16" customFormat="1" ht="12.75" customHeight="1" x14ac:dyDescent="0.2">
      <c r="A523" s="567"/>
      <c r="B523" s="567"/>
      <c r="C523" s="567"/>
      <c r="D523" s="567" t="s">
        <v>1535</v>
      </c>
      <c r="E523" s="567"/>
      <c r="F523" s="567"/>
      <c r="G523" s="567" t="s">
        <v>3157</v>
      </c>
      <c r="H523" s="568" t="s">
        <v>1537</v>
      </c>
      <c r="I523" s="678"/>
      <c r="J523" s="294" t="str">
        <f>IF(ISBLANK(HLOOKUP(CaseName,CaseData,MATCH($G523,cases!$G$4:$G$2458,0),FALSE)),"",HLOOKUP(CaseName,CaseData,MATCH($G523,cases!$G$4:$G$2458,0),FALSE))</f>
        <v/>
      </c>
      <c r="K523" s="628">
        <f>RadS/RadFP.sd</f>
        <v>3.9062500000000001E-5</v>
      </c>
      <c r="L523" s="298">
        <f t="shared" si="34"/>
        <v>3.9062500000000001E-5</v>
      </c>
      <c r="M523" s="568" t="s">
        <v>1537</v>
      </c>
      <c r="N523" s="567"/>
      <c r="O523" s="605"/>
      <c r="P523" s="567" t="s">
        <v>1516</v>
      </c>
    </row>
    <row r="524" spans="1:16" customFormat="1" ht="12.75" customHeight="1" x14ac:dyDescent="0.2">
      <c r="A524" s="567"/>
      <c r="B524" s="567"/>
      <c r="C524" s="567"/>
      <c r="D524" s="567" t="s">
        <v>1538</v>
      </c>
      <c r="E524" s="567"/>
      <c r="F524" s="567"/>
      <c r="G524" s="567" t="s">
        <v>3158</v>
      </c>
      <c r="H524" s="568" t="s">
        <v>296</v>
      </c>
      <c r="I524" s="678"/>
      <c r="J524" s="294" t="str">
        <f>IF(ISBLANK(HLOOKUP(CaseName,CaseData,MATCH($G524,cases!$G$4:$G$2458,0),FALSE)),"",HLOOKUP(CaseName,CaseData,MATCH($G524,cases!$G$4:$G$2458,0),FALSE))</f>
        <v/>
      </c>
      <c r="K524" s="628">
        <f>(L514*2*RadFP.sd)/DiffS.wC</f>
        <v>55.295939834256309</v>
      </c>
      <c r="L524" s="298">
        <f t="shared" si="34"/>
        <v>55.295939834256309</v>
      </c>
      <c r="M524" s="568" t="s">
        <v>296</v>
      </c>
      <c r="N524" s="567"/>
      <c r="O524" s="605"/>
      <c r="P524" s="567" t="s">
        <v>1516</v>
      </c>
    </row>
    <row r="525" spans="1:16" customFormat="1" ht="12.75" customHeight="1" x14ac:dyDescent="0.2">
      <c r="A525" s="567"/>
      <c r="B525" s="567"/>
      <c r="C525" s="567"/>
      <c r="D525" s="567" t="s">
        <v>1540</v>
      </c>
      <c r="E525" s="567"/>
      <c r="F525" s="567"/>
      <c r="G525" s="568" t="s">
        <v>3159</v>
      </c>
      <c r="H525" s="568" t="s">
        <v>296</v>
      </c>
      <c r="I525" s="678"/>
      <c r="J525" s="294" t="str">
        <f>IF(ISBLANK(HLOOKUP(CaseName,CaseData,MATCH($G525,cases!$G$4:$G$2458,0),FALSE)),"",HLOOKUP(CaseName,CaseData,MATCH($G525,cases!$G$4:$G$2458,0),FALSE))</f>
        <v/>
      </c>
      <c r="K525" s="629">
        <f>(2*RadS^2*(ABS(RhoS-Rho.w))*9.81)/(9*DYNVISC.w*L514)</f>
        <v>1.9532490574406746E-5</v>
      </c>
      <c r="L525" s="298">
        <f t="shared" si="34"/>
        <v>1.9532490574406746E-5</v>
      </c>
      <c r="M525" s="568" t="s">
        <v>296</v>
      </c>
      <c r="N525" s="567"/>
      <c r="O525" s="605"/>
      <c r="P525" s="567" t="s">
        <v>1516</v>
      </c>
    </row>
    <row r="526" spans="1:16" customFormat="1" ht="12.75" customHeight="1" x14ac:dyDescent="0.2">
      <c r="A526" s="410" t="s">
        <v>3160</v>
      </c>
      <c r="G526" s="172"/>
      <c r="H526" s="172"/>
      <c r="J526" s="294" t="str">
        <f>IF(ISBLANK(HLOOKUP(CaseName,CaseData,MATCH($G526,cases!$G$4:$G$2458,0),FALSE)),"",HLOOKUP(CaseName,CaseData,MATCH($G526,cases!$G$4:$G$2458,0),FALSE))</f>
        <v/>
      </c>
      <c r="K526" s="335"/>
      <c r="L526" s="332"/>
      <c r="M526" s="172"/>
      <c r="O526" s="176"/>
    </row>
    <row r="527" spans="1:16" customFormat="1" ht="12.75" customHeight="1" x14ac:dyDescent="0.2">
      <c r="A527" s="567" t="s">
        <v>2811</v>
      </c>
      <c r="B527" s="567"/>
      <c r="C527" s="567"/>
      <c r="D527" s="567"/>
      <c r="E527" s="567"/>
      <c r="F527" s="567"/>
      <c r="G527" s="568" t="s">
        <v>3161</v>
      </c>
      <c r="H527" s="568" t="s">
        <v>340</v>
      </c>
      <c r="I527" s="678"/>
      <c r="J527" s="294" t="str">
        <f>IF(ISBLANK(HLOOKUP(CaseName,CaseData,MATCH($G527,cases!$G$4:$G$2458,0),FALSE)),"",HLOOKUP(CaseName,CaseData,MATCH($G527,cases!$G$4:$G$2458,0),FALSE))</f>
        <v/>
      </c>
      <c r="K527" s="626">
        <f>AtefSA.s1*L528*(L530+L531)</f>
        <v>9.1970747563810074E-2</v>
      </c>
      <c r="L527" s="298">
        <f>IF(ISBLANK(I527),IF(ISNUMBER(J527)=FALSE,K527,J527),I527)</f>
        <v>9.1970747563810074E-2</v>
      </c>
      <c r="M527" s="568" t="s">
        <v>340</v>
      </c>
      <c r="N527" s="567"/>
      <c r="O527" s="605"/>
      <c r="P527" s="567"/>
    </row>
    <row r="528" spans="1:16" customFormat="1" ht="12.75" customHeight="1" x14ac:dyDescent="0.2">
      <c r="A528" s="567"/>
      <c r="B528" s="567" t="s">
        <v>1549</v>
      </c>
      <c r="C528" s="567"/>
      <c r="D528" s="567"/>
      <c r="E528" s="567"/>
      <c r="F528" s="567"/>
      <c r="G528" s="568" t="s">
        <v>3162</v>
      </c>
      <c r="H528" s="568" t="s">
        <v>715</v>
      </c>
      <c r="I528" s="678"/>
      <c r="J528" s="294" t="str">
        <f>IF(ISBLANK(HLOOKUP(CaseName,CaseData,MATCH($G528,cases!$G$4:$G$2458,0),FALSE)),"",HLOOKUP(CaseName,CaseData,MATCH($G528,cases!$G$4:$G$2458,0),FALSE))</f>
        <v/>
      </c>
      <c r="K528" s="577">
        <f>(L529)/(SingleVolNC.s*RhoNC.s)</f>
        <v>3536776513153229.5</v>
      </c>
      <c r="L528" s="298">
        <f>IF(ISBLANK(I528),IF(ISNUMBER(J528)=FALSE,K528,J528),I528)</f>
        <v>3536776513153229.5</v>
      </c>
      <c r="M528" s="568" t="s">
        <v>715</v>
      </c>
      <c r="N528" s="567"/>
      <c r="O528" s="605"/>
      <c r="P528" s="567"/>
    </row>
    <row r="529" spans="1:16" customFormat="1" ht="12.75" customHeight="1" x14ac:dyDescent="0.2">
      <c r="A529" s="567"/>
      <c r="B529" s="567" t="s">
        <v>734</v>
      </c>
      <c r="C529" s="567"/>
      <c r="D529" s="567"/>
      <c r="E529" s="567"/>
      <c r="F529" s="567"/>
      <c r="G529" s="568" t="s">
        <v>3163</v>
      </c>
      <c r="H529" s="568" t="s">
        <v>736</v>
      </c>
      <c r="I529" s="678"/>
      <c r="J529" s="294" t="str">
        <f>IF(ISBLANK(HLOOKUP(CaseName,CaseData,MATCH($G529,cases!$G$4:$G$2458,0),FALSE)),"",HLOOKUP(CaseName,CaseData,MATCH($G529,cases!$G$4:$G$2458,0),FALSE))</f>
        <v/>
      </c>
      <c r="K529" s="577">
        <v>100</v>
      </c>
      <c r="L529" s="298">
        <f>IF(ISBLANK(I529),IF(ISNUMBER(J529)=FALSE,K529/1000,J529/1000),I529/1000)</f>
        <v>0.1</v>
      </c>
      <c r="M529" s="568" t="s">
        <v>737</v>
      </c>
      <c r="N529" s="567" t="s">
        <v>738</v>
      </c>
      <c r="O529" s="605"/>
      <c r="P529" s="567"/>
    </row>
    <row r="530" spans="1:16" customFormat="1" ht="12.75" customHeight="1" x14ac:dyDescent="0.2">
      <c r="A530" s="567"/>
      <c r="B530" s="567" t="s">
        <v>1454</v>
      </c>
      <c r="C530" s="567"/>
      <c r="D530" s="567"/>
      <c r="E530" s="567"/>
      <c r="F530" s="567"/>
      <c r="G530" s="568" t="s">
        <v>3164</v>
      </c>
      <c r="H530" s="568" t="s">
        <v>340</v>
      </c>
      <c r="I530" s="678"/>
      <c r="J530" s="294" t="str">
        <f>IF(ISBLANK(HLOOKUP(CaseName,CaseData,MATCH($G530,cases!$G$4:$G$2458,0),FALSE)),"",HLOOKUP(CaseName,CaseData,MATCH($G530,cases!$G$4:$G$2458,0),FALSE))</f>
        <v/>
      </c>
      <c r="K530" s="577">
        <f>((2*kboltz*L374)/(3*DYNVISC.w))*(RadS+RadNC.s)^2/(RadS*RadNC.s)</f>
        <v>7.7389514228964282E-17</v>
      </c>
      <c r="L530" s="298">
        <f t="shared" ref="L530:L545" si="35">IF(ISBLANK(I530),IF(ISNUMBER(J530)=FALSE,K530,J530),I530)</f>
        <v>7.7389514228964282E-17</v>
      </c>
      <c r="M530" s="567" t="s">
        <v>340</v>
      </c>
      <c r="N530" s="567"/>
      <c r="O530" s="605"/>
      <c r="P530" s="567"/>
    </row>
    <row r="531" spans="1:16" customFormat="1" ht="12.75" customHeight="1" x14ac:dyDescent="0.2">
      <c r="A531" s="567"/>
      <c r="B531" s="567" t="s">
        <v>1456</v>
      </c>
      <c r="C531" s="567"/>
      <c r="D531" s="567"/>
      <c r="E531" s="567"/>
      <c r="F531" s="567"/>
      <c r="G531" s="568" t="s">
        <v>3165</v>
      </c>
      <c r="H531" s="568" t="s">
        <v>340</v>
      </c>
      <c r="I531" s="678"/>
      <c r="J531" s="294" t="str">
        <f>IF(ISBLANK(HLOOKUP(CaseName,CaseData,MATCH($G531,cases!$G$4:$G$2458,0),FALSE)),"",HLOOKUP(CaseName,CaseData,MATCH($G531,cases!$G$4:$G$2458,0),FALSE))</f>
        <v/>
      </c>
      <c r="K531" s="577">
        <f>PI()*(RadS+RadNC.s)^2*ABS(SetVelS.w-SetVelNC.s)</f>
        <v>3.6888670072520785E-21</v>
      </c>
      <c r="L531" s="298">
        <f t="shared" si="35"/>
        <v>3.6888670072520785E-21</v>
      </c>
      <c r="M531" s="567" t="s">
        <v>340</v>
      </c>
      <c r="N531" s="567"/>
      <c r="O531" s="605"/>
      <c r="P531" s="567"/>
    </row>
    <row r="532" spans="1:16" customFormat="1" ht="12.75" customHeight="1" x14ac:dyDescent="0.2">
      <c r="A532" s="567" t="s">
        <v>2818</v>
      </c>
      <c r="B532" s="567"/>
      <c r="C532" s="567"/>
      <c r="D532" s="567"/>
      <c r="E532" s="567"/>
      <c r="F532" s="567"/>
      <c r="G532" s="568" t="s">
        <v>3166</v>
      </c>
      <c r="H532" s="568" t="s">
        <v>340</v>
      </c>
      <c r="I532" s="678"/>
      <c r="J532" s="294" t="str">
        <f>IF(ISBLANK(HLOOKUP(CaseName,CaseData,MATCH($G532,cases!$G$4:$G$2458,0),FALSE)),"",HLOOKUP(CaseName,CaseData,MATCH($G532,cases!$G$4:$G$2458,0),FALSE))</f>
        <v/>
      </c>
      <c r="K532" s="577">
        <f>L533*L534*L535*AtefSP.s1</f>
        <v>2.8646752293557606E-2</v>
      </c>
      <c r="L532" s="298">
        <f t="shared" si="35"/>
        <v>2.8646752293557606E-2</v>
      </c>
      <c r="M532" s="568" t="s">
        <v>340</v>
      </c>
      <c r="N532" s="567"/>
      <c r="O532" s="605"/>
      <c r="P532" s="567"/>
    </row>
    <row r="533" spans="1:16" customFormat="1" ht="12.75" customHeight="1" x14ac:dyDescent="0.2">
      <c r="A533" s="567"/>
      <c r="B533" s="567" t="s">
        <v>1556</v>
      </c>
      <c r="C533" s="567"/>
      <c r="D533" s="567"/>
      <c r="E533" s="567"/>
      <c r="F533" s="567"/>
      <c r="G533" s="568" t="s">
        <v>3167</v>
      </c>
      <c r="H533" s="568" t="s">
        <v>1513</v>
      </c>
      <c r="I533" s="678"/>
      <c r="J533" s="294" t="str">
        <f>IF(ISBLANK(HLOOKUP(CaseName,CaseData,MATCH($G533,cases!$G$4:$G$2458,0),FALSE)),"",HLOOKUP(CaseName,CaseData,MATCH($G533,cases!$G$4:$G$2458,0),FALSE))</f>
        <v/>
      </c>
      <c r="K533" s="577">
        <f>(3/2)*(1-L539)/(2*RadFP.s*L539)</f>
        <v>8789.0625000000036</v>
      </c>
      <c r="L533" s="298">
        <f t="shared" si="35"/>
        <v>8789.0625000000036</v>
      </c>
      <c r="M533" s="568" t="s">
        <v>1513</v>
      </c>
      <c r="N533" s="567"/>
      <c r="O533" s="605"/>
      <c r="P533" s="567"/>
    </row>
    <row r="534" spans="1:16" customFormat="1" ht="12.75" customHeight="1" x14ac:dyDescent="0.2">
      <c r="A534" s="567"/>
      <c r="B534" s="567" t="s">
        <v>1558</v>
      </c>
      <c r="C534" s="567"/>
      <c r="D534" s="567"/>
      <c r="E534" s="567"/>
      <c r="F534" s="567"/>
      <c r="G534" s="567" t="s">
        <v>3168</v>
      </c>
      <c r="H534" s="568" t="s">
        <v>873</v>
      </c>
      <c r="I534" s="678"/>
      <c r="J534" s="294" t="str">
        <f>IF(ISBLANK(HLOOKUP(CaseName,CaseData,MATCH($G534,cases!$G$4:$G$2458,0),FALSE)),"",HLOOKUP(CaseName,CaseData,MATCH($G534,cases!$G$4:$G$2458,0),FALSE))</f>
        <v/>
      </c>
      <c r="K534" s="628">
        <f>9*10^-6</f>
        <v>9.0000000000000002E-6</v>
      </c>
      <c r="L534" s="298">
        <f t="shared" si="35"/>
        <v>9.0000000000000002E-6</v>
      </c>
      <c r="M534" s="568" t="s">
        <v>873</v>
      </c>
      <c r="N534" s="567"/>
      <c r="O534" s="605"/>
      <c r="P534" s="567" t="s">
        <v>1516</v>
      </c>
    </row>
    <row r="535" spans="1:16" customFormat="1" ht="12.75" customHeight="1" x14ac:dyDescent="0.2">
      <c r="A535" s="567"/>
      <c r="B535" s="567" t="s">
        <v>1517</v>
      </c>
      <c r="C535" s="567"/>
      <c r="D535" s="567"/>
      <c r="E535" s="567"/>
      <c r="F535" s="567"/>
      <c r="G535" s="568" t="s">
        <v>3169</v>
      </c>
      <c r="H535" s="568" t="s">
        <v>296</v>
      </c>
      <c r="I535" s="678"/>
      <c r="J535" s="294" t="str">
        <f>IF(ISBLANK(HLOOKUP(CaseName,CaseData,MATCH($G535,cases!$G$4:$G$2458,0),FALSE)),"",HLOOKUP(CaseName,CaseData,MATCH($G535,cases!$G$4:$G$2458,0),FALSE))</f>
        <v/>
      </c>
      <c r="K535" s="577">
        <f>L536+L540+L541</f>
        <v>1.0778319499045772</v>
      </c>
      <c r="L535" s="298">
        <f t="shared" si="35"/>
        <v>1.0778319499045772</v>
      </c>
      <c r="M535" s="568" t="s">
        <v>296</v>
      </c>
      <c r="N535" s="567"/>
      <c r="O535" s="605"/>
      <c r="P535" s="567" t="s">
        <v>1516</v>
      </c>
    </row>
    <row r="536" spans="1:16" customFormat="1" ht="12.75" customHeight="1" x14ac:dyDescent="0.2">
      <c r="A536" s="567"/>
      <c r="B536" s="567"/>
      <c r="C536" s="567" t="s">
        <v>1519</v>
      </c>
      <c r="D536" s="567"/>
      <c r="E536" s="567"/>
      <c r="F536" s="567"/>
      <c r="G536" s="568" t="s">
        <v>3170</v>
      </c>
      <c r="H536" s="568" t="s">
        <v>296</v>
      </c>
      <c r="I536" s="678"/>
      <c r="J536" s="294" t="str">
        <f>IF(ISBLANK(HLOOKUP(CaseName,CaseData,MATCH($G536,cases!$G$4:$G$2458,0),FALSE)),"",HLOOKUP(CaseName,CaseData,MATCH($G536,cases!$G$4:$G$2458,0),FALSE))</f>
        <v/>
      </c>
      <c r="K536" s="577">
        <f>2.4*L537^(1/3)*L542^(-0.081)*L543^-0.715*L544^0.053</f>
        <v>1.0778164827643955</v>
      </c>
      <c r="L536" s="298">
        <f t="shared" si="35"/>
        <v>1.0778164827643955</v>
      </c>
      <c r="M536" s="568" t="s">
        <v>296</v>
      </c>
      <c r="N536" s="567"/>
      <c r="O536" s="605"/>
      <c r="P536" s="567" t="s">
        <v>1516</v>
      </c>
    </row>
    <row r="537" spans="1:16" customFormat="1" ht="12.75" customHeight="1" x14ac:dyDescent="0.2">
      <c r="A537" s="567"/>
      <c r="B537" s="567"/>
      <c r="C537" s="567"/>
      <c r="D537" s="567" t="s">
        <v>1521</v>
      </c>
      <c r="E537" s="567"/>
      <c r="F537" s="567"/>
      <c r="G537" s="567" t="s">
        <v>3171</v>
      </c>
      <c r="H537" s="568" t="s">
        <v>296</v>
      </c>
      <c r="I537" s="678"/>
      <c r="J537" s="294" t="str">
        <f>IF(ISBLANK(HLOOKUP(CaseName,CaseData,MATCH($G537,cases!$G$4:$G$2458,0),FALSE)),"",HLOOKUP(CaseName,CaseData,MATCH($G537,cases!$G$4:$G$2458,0),FALSE))</f>
        <v/>
      </c>
      <c r="K537" s="628">
        <f>(2*(1-L538^5))/(2-3*L538+3*L538^5-2*L538^6)</f>
        <v>37.979096123930859</v>
      </c>
      <c r="L537" s="298">
        <f t="shared" si="35"/>
        <v>37.979096123930859</v>
      </c>
      <c r="M537" s="568" t="s">
        <v>296</v>
      </c>
      <c r="N537" s="567"/>
      <c r="O537" s="605"/>
      <c r="P537" s="567" t="s">
        <v>1516</v>
      </c>
    </row>
    <row r="538" spans="1:16" customFormat="1" ht="12.75" customHeight="1" x14ac:dyDescent="0.2">
      <c r="A538" s="567"/>
      <c r="B538" s="567"/>
      <c r="C538" s="567"/>
      <c r="D538" s="567"/>
      <c r="E538" s="567" t="s">
        <v>1563</v>
      </c>
      <c r="F538" s="567"/>
      <c r="G538" s="567" t="s">
        <v>3172</v>
      </c>
      <c r="H538" s="568" t="s">
        <v>296</v>
      </c>
      <c r="I538" s="678"/>
      <c r="J538" s="294" t="str">
        <f>IF(ISBLANK(HLOOKUP(CaseName,CaseData,MATCH($G538,cases!$G$4:$G$2458,0),FALSE)),"",HLOOKUP(CaseName,CaseData,MATCH($G538,cases!$G$4:$G$2458,0),FALSE))</f>
        <v/>
      </c>
      <c r="K538" s="628">
        <f>(1-L539)^(1/3)</f>
        <v>0.84343266530174932</v>
      </c>
      <c r="L538" s="298">
        <f t="shared" si="35"/>
        <v>0.84343266530174932</v>
      </c>
      <c r="M538" s="568" t="s">
        <v>296</v>
      </c>
      <c r="N538" s="567"/>
      <c r="O538" s="605"/>
      <c r="P538" s="567" t="s">
        <v>1516</v>
      </c>
    </row>
    <row r="539" spans="1:16" customFormat="1" ht="12.75" customHeight="1" x14ac:dyDescent="0.2">
      <c r="A539" s="567"/>
      <c r="B539" s="567"/>
      <c r="C539" s="567"/>
      <c r="D539" s="567"/>
      <c r="E539" s="567"/>
      <c r="F539" s="567" t="s">
        <v>1565</v>
      </c>
      <c r="G539" s="567" t="s">
        <v>3173</v>
      </c>
      <c r="H539" s="568" t="s">
        <v>1527</v>
      </c>
      <c r="I539" s="678"/>
      <c r="J539" s="294" t="str">
        <f>IF(ISBLANK(HLOOKUP(CaseName,CaseData,MATCH($G539,cases!$G$4:$G$2458,0),FALSE)),"",HLOOKUP(CaseName,CaseData,MATCH($G539,cases!$G$4:$G$2458,0),FALSE))</f>
        <v/>
      </c>
      <c r="K539" s="577">
        <f>1-L353</f>
        <v>0.39999999999999991</v>
      </c>
      <c r="L539" s="298">
        <f t="shared" si="35"/>
        <v>0.39999999999999991</v>
      </c>
      <c r="M539" s="568" t="s">
        <v>1527</v>
      </c>
      <c r="N539" s="567" t="s">
        <v>1583</v>
      </c>
      <c r="O539" s="605"/>
      <c r="P539" s="567"/>
    </row>
    <row r="540" spans="1:16" customFormat="1" ht="12.75" customHeight="1" x14ac:dyDescent="0.2">
      <c r="A540" s="567"/>
      <c r="B540" s="567"/>
      <c r="C540" s="567" t="s">
        <v>1529</v>
      </c>
      <c r="D540" s="567"/>
      <c r="E540" s="567"/>
      <c r="F540" s="567"/>
      <c r="G540" s="568" t="s">
        <v>3174</v>
      </c>
      <c r="H540" s="568" t="s">
        <v>296</v>
      </c>
      <c r="I540" s="678"/>
      <c r="J540" s="294" t="str">
        <f>IF(ISBLANK(HLOOKUP(CaseName,CaseData,MATCH($G540,cases!$G$4:$G$2458,0),FALSE)),"",HLOOKUP(CaseName,CaseData,MATCH($G540,cases!$G$4:$G$2458,0),FALSE))</f>
        <v/>
      </c>
      <c r="K540" s="577">
        <f>0.55*L542^1.55*L543^-0.125*L544^0.125</f>
        <v>5.3040224435209045E-8</v>
      </c>
      <c r="L540" s="298">
        <f t="shared" si="35"/>
        <v>5.3040224435209045E-8</v>
      </c>
      <c r="M540" s="568" t="s">
        <v>296</v>
      </c>
      <c r="N540" s="567"/>
      <c r="O540" s="605"/>
      <c r="P540" s="567" t="s">
        <v>1516</v>
      </c>
    </row>
    <row r="541" spans="1:16" customFormat="1" ht="12.75" customHeight="1" x14ac:dyDescent="0.2">
      <c r="A541" s="567"/>
      <c r="B541" s="567"/>
      <c r="C541" s="567" t="s">
        <v>1531</v>
      </c>
      <c r="D541" s="567"/>
      <c r="E541" s="567"/>
      <c r="F541" s="567"/>
      <c r="G541" s="568" t="s">
        <v>3175</v>
      </c>
      <c r="H541" s="568" t="s">
        <v>296</v>
      </c>
      <c r="I541" s="678"/>
      <c r="J541" s="294" t="str">
        <f>IF(ISBLANK(HLOOKUP(CaseName,CaseData,MATCH($G541,cases!$G$4:$G$2458,0),FALSE)),"",HLOOKUP(CaseName,CaseData,MATCH($G541,cases!$G$4:$G$2458,0),FALSE))</f>
        <v/>
      </c>
      <c r="K541" s="577">
        <f>0.22*L542^-0.24*L545^1.11*L544^0.053</f>
        <v>1.5414099957360726E-5</v>
      </c>
      <c r="L541" s="298">
        <f t="shared" si="35"/>
        <v>1.5414099957360726E-5</v>
      </c>
      <c r="M541" s="568" t="s">
        <v>296</v>
      </c>
      <c r="N541" s="567"/>
      <c r="O541" s="605"/>
      <c r="P541" s="567" t="s">
        <v>1516</v>
      </c>
    </row>
    <row r="542" spans="1:16" customFormat="1" ht="12.75" customHeight="1" x14ac:dyDescent="0.2">
      <c r="A542" s="567"/>
      <c r="B542" s="567"/>
      <c r="C542" s="567"/>
      <c r="D542" s="567" t="s">
        <v>1535</v>
      </c>
      <c r="E542" s="567"/>
      <c r="F542" s="567"/>
      <c r="G542" s="567" t="s">
        <v>3176</v>
      </c>
      <c r="H542" s="568" t="s">
        <v>1537</v>
      </c>
      <c r="I542" s="678"/>
      <c r="J542" s="294" t="str">
        <f>IF(ISBLANK(HLOOKUP(CaseName,CaseData,MATCH($G542,cases!$G$4:$G$2458,0),FALSE)),"",HLOOKUP(CaseName,CaseData,MATCH($G542,cases!$G$4:$G$2458,0),FALSE))</f>
        <v/>
      </c>
      <c r="K542" s="628">
        <f>RadS/RadFP.s</f>
        <v>3.9062500000000001E-5</v>
      </c>
      <c r="L542" s="298">
        <f t="shared" si="35"/>
        <v>3.9062500000000001E-5</v>
      </c>
      <c r="M542" s="568" t="s">
        <v>1537</v>
      </c>
      <c r="N542" s="567"/>
      <c r="O542" s="605"/>
      <c r="P542" s="567" t="s">
        <v>1516</v>
      </c>
    </row>
    <row r="543" spans="1:16" customFormat="1" ht="12.75" customHeight="1" x14ac:dyDescent="0.2">
      <c r="A543" s="567"/>
      <c r="B543" s="567"/>
      <c r="C543" s="567"/>
      <c r="D543" s="567" t="s">
        <v>1538</v>
      </c>
      <c r="E543" s="567"/>
      <c r="F543" s="567"/>
      <c r="G543" s="567" t="s">
        <v>3177</v>
      </c>
      <c r="H543" s="568" t="s">
        <v>296</v>
      </c>
      <c r="I543" s="678"/>
      <c r="J543" s="294" t="str">
        <f>IF(ISBLANK(HLOOKUP(CaseName,CaseData,MATCH($G543,cases!$G$4:$G$2458,0),FALSE)),"",HLOOKUP(CaseName,CaseData,MATCH($G543,cases!$G$4:$G$2458,0),FALSE))</f>
        <v/>
      </c>
      <c r="K543" s="628">
        <f>(L534*2*RadFP.s)/(DiffS.wC)</f>
        <v>55.295939834256309</v>
      </c>
      <c r="L543" s="298">
        <f t="shared" si="35"/>
        <v>55.295939834256309</v>
      </c>
      <c r="M543" s="568" t="s">
        <v>296</v>
      </c>
      <c r="N543" s="567"/>
      <c r="O543" s="605"/>
      <c r="P543" s="567" t="s">
        <v>1516</v>
      </c>
    </row>
    <row r="544" spans="1:16" customFormat="1" ht="12.75" customHeight="1" x14ac:dyDescent="0.2">
      <c r="A544" s="567"/>
      <c r="B544" s="567"/>
      <c r="C544" s="567"/>
      <c r="D544" s="567" t="s">
        <v>1533</v>
      </c>
      <c r="E544" s="567"/>
      <c r="F544" s="567"/>
      <c r="G544" s="567" t="s">
        <v>3178</v>
      </c>
      <c r="H544" s="568" t="s">
        <v>296</v>
      </c>
      <c r="I544" s="678"/>
      <c r="J544" s="294" t="str">
        <f>IF(ISBLANK(HLOOKUP(CaseName,CaseData,MATCH($G544,cases!$G$4:$G$2458,0),FALSE)),"",HLOOKUP(CaseName,CaseData,MATCH($G544,cases!$G$4:$G$2458,0),FALSE))</f>
        <v/>
      </c>
      <c r="K544" s="628">
        <f>AHamakerSP.w/(kboltz*L374)</f>
        <v>1.9002472927848792</v>
      </c>
      <c r="L544" s="298">
        <f t="shared" si="35"/>
        <v>1.9002472927848792</v>
      </c>
      <c r="M544" s="568" t="s">
        <v>296</v>
      </c>
      <c r="N544" s="567"/>
      <c r="O544" s="605"/>
      <c r="P544" s="567" t="s">
        <v>1516</v>
      </c>
    </row>
    <row r="545" spans="1:16" customFormat="1" ht="12.75" customHeight="1" x14ac:dyDescent="0.2">
      <c r="A545" s="567"/>
      <c r="B545" s="567"/>
      <c r="C545" s="567"/>
      <c r="D545" s="567" t="s">
        <v>1540</v>
      </c>
      <c r="E545" s="567"/>
      <c r="F545" s="567"/>
      <c r="G545" s="568" t="s">
        <v>3179</v>
      </c>
      <c r="H545" s="568" t="s">
        <v>296</v>
      </c>
      <c r="I545" s="678"/>
      <c r="J545" s="294" t="str">
        <f>IF(ISBLANK(HLOOKUP(CaseName,CaseData,MATCH($G545,cases!$G$4:$G$2458,0),FALSE)),"",HLOOKUP(CaseName,CaseData,MATCH($G545,cases!$G$4:$G$2458,0),FALSE))</f>
        <v/>
      </c>
      <c r="K545" s="629">
        <f>(2*RadS^2*(ABS(RhoS-Rho.w))*9.81)/(9*DYNVISC.w*L534)</f>
        <v>1.9532490574406746E-5</v>
      </c>
      <c r="L545" s="298">
        <f t="shared" si="35"/>
        <v>1.9532490574406746E-5</v>
      </c>
      <c r="M545" s="568" t="s">
        <v>296</v>
      </c>
      <c r="N545" s="567"/>
      <c r="O545" s="605"/>
      <c r="P545" s="567" t="s">
        <v>1516</v>
      </c>
    </row>
    <row r="546" spans="1:16" customFormat="1" ht="12.75" customHeight="1" x14ac:dyDescent="0.2">
      <c r="G546" s="172"/>
      <c r="H546" s="172"/>
      <c r="J546" s="273"/>
      <c r="K546" s="335"/>
      <c r="L546" s="332"/>
      <c r="O546" s="176"/>
    </row>
    <row r="547" spans="1:16" s="634" customFormat="1" ht="12.75" customHeight="1" x14ac:dyDescent="0.2">
      <c r="A547" s="633" t="s">
        <v>1605</v>
      </c>
      <c r="G547" s="633" t="s">
        <v>263</v>
      </c>
      <c r="H547" s="633" t="s">
        <v>279</v>
      </c>
      <c r="I547" s="634" t="s">
        <v>264</v>
      </c>
      <c r="J547" s="673" t="s">
        <v>2960</v>
      </c>
      <c r="K547" s="661" t="s">
        <v>265</v>
      </c>
      <c r="L547" s="180" t="s">
        <v>266</v>
      </c>
      <c r="N547" s="633" t="s">
        <v>267</v>
      </c>
      <c r="O547" s="395" t="s">
        <v>1390</v>
      </c>
      <c r="P547" s="634" t="s">
        <v>1391</v>
      </c>
    </row>
    <row r="548" spans="1:16" customFormat="1" ht="12.75" customHeight="1" x14ac:dyDescent="0.2">
      <c r="A548" t="s">
        <v>3180</v>
      </c>
      <c r="G548" s="172"/>
      <c r="H548" s="172"/>
      <c r="J548" s="273"/>
      <c r="K548" s="335"/>
      <c r="L548" s="332"/>
      <c r="O548" s="176"/>
    </row>
    <row r="549" spans="1:16" customFormat="1" ht="12.75" customHeight="1" x14ac:dyDescent="0.2">
      <c r="A549" s="567"/>
      <c r="B549" s="567" t="s">
        <v>1607</v>
      </c>
      <c r="C549" s="567"/>
      <c r="D549" s="567"/>
      <c r="E549" s="567"/>
      <c r="F549" s="567"/>
      <c r="G549" s="568" t="s">
        <v>3181</v>
      </c>
      <c r="H549" s="568" t="s">
        <v>820</v>
      </c>
      <c r="I549" s="678"/>
      <c r="J549" s="294" t="str">
        <f>IF(ISBLANK(HLOOKUP(CaseName,CaseData,MATCH($G549,cases!$G$4:$G$2458,0),FALSE)),"",HLOOKUP(CaseName,CaseData,MATCH($G549,cases!$G$4:$G$2458,0),FALSE))</f>
        <v/>
      </c>
      <c r="K549" s="626">
        <f>((7*10^-4)*(60*6*10^4*L551)^0.25)/2</f>
        <v>1.4385568189503067E-4</v>
      </c>
      <c r="L549" s="298">
        <f t="shared" ref="L549:L555" si="36">IF(ISBLANK(I549),IF(ISNUMBER(J549)=FALSE,K549,J549),I549)</f>
        <v>1.4385568189503067E-4</v>
      </c>
      <c r="M549" s="568" t="s">
        <v>820</v>
      </c>
      <c r="N549" s="567"/>
      <c r="O549" s="605"/>
      <c r="P549" s="567" t="s">
        <v>1609</v>
      </c>
    </row>
    <row r="550" spans="1:16" customFormat="1" ht="12.75" customHeight="1" x14ac:dyDescent="0.2">
      <c r="A550" s="567"/>
      <c r="B550" s="567" t="s">
        <v>1610</v>
      </c>
      <c r="C550" s="567"/>
      <c r="D550" s="567"/>
      <c r="E550" s="567"/>
      <c r="F550" s="567"/>
      <c r="G550" s="568" t="s">
        <v>3182</v>
      </c>
      <c r="H550" s="568" t="s">
        <v>296</v>
      </c>
      <c r="I550" s="678">
        <v>1</v>
      </c>
      <c r="J550" s="294" t="str">
        <f>IF(ISBLANK(HLOOKUP(CaseName,CaseData,MATCH($G550,cases!$G$4:$G$2458,0),FALSE)),"",HLOOKUP(CaseName,CaseData,MATCH($G550,cases!$G$4:$G$2458,0),FALSE))</f>
        <v/>
      </c>
      <c r="K550" s="577">
        <f>L409/(L409+L408)</f>
        <v>0.06</v>
      </c>
      <c r="L550" s="298">
        <f t="shared" si="36"/>
        <v>1</v>
      </c>
      <c r="M550" s="568" t="s">
        <v>296</v>
      </c>
      <c r="N550" s="567"/>
      <c r="O550" s="605"/>
      <c r="P550" s="567"/>
    </row>
    <row r="551" spans="1:16" customFormat="1" ht="12.75" customHeight="1" x14ac:dyDescent="0.2">
      <c r="A551" s="567"/>
      <c r="B551" s="567" t="s">
        <v>1613</v>
      </c>
      <c r="C551" s="567"/>
      <c r="D551" s="567"/>
      <c r="E551" s="567"/>
      <c r="F551" s="567"/>
      <c r="G551" s="568" t="s">
        <v>3183</v>
      </c>
      <c r="H551" s="568" t="s">
        <v>873</v>
      </c>
      <c r="I551" s="678"/>
      <c r="J551" s="294" t="str">
        <f>IF(ISBLANK(HLOOKUP(CaseName,CaseData,MATCH($G551,cases!$G$4:$G$2458,0),FALSE)),"",HLOOKUP(CaseName,CaseData,MATCH($G551,cases!$G$4:$G$2458,0),FALSE))</f>
        <v/>
      </c>
      <c r="K551" s="577">
        <f>L414/L550</f>
        <v>7.9274479959411465E-9</v>
      </c>
      <c r="L551" s="298">
        <f t="shared" si="36"/>
        <v>7.9274479959411465E-9</v>
      </c>
      <c r="M551" s="568" t="s">
        <v>873</v>
      </c>
      <c r="N551" s="567"/>
      <c r="O551" s="605"/>
      <c r="P551" s="567"/>
    </row>
    <row r="552" spans="1:16" customFormat="1" ht="12.75" customHeight="1" x14ac:dyDescent="0.2">
      <c r="A552" s="567"/>
      <c r="B552" s="567" t="s">
        <v>1617</v>
      </c>
      <c r="C552" s="567"/>
      <c r="D552" s="567"/>
      <c r="E552" s="567"/>
      <c r="F552" s="567"/>
      <c r="G552" s="568" t="s">
        <v>3184</v>
      </c>
      <c r="H552" s="568" t="s">
        <v>873</v>
      </c>
      <c r="I552" s="678"/>
      <c r="J552" s="294" t="str">
        <f>IF(ISBLANK(HLOOKUP(CaseName,CaseData,MATCH($G552,cases!$G$4:$G$2458,0),FALSE)),"",HLOOKUP(CaseName,CaseData,MATCH($G552,cases!$G$4:$G$2458,0),FALSE))</f>
        <v/>
      </c>
      <c r="K552" s="577">
        <f>((2*L549)^2*(Rho.w-Rho.a)*g*L553)/(18*DYNVISC.a)</f>
        <v>2.4844433339202356</v>
      </c>
      <c r="L552" s="298">
        <f t="shared" si="36"/>
        <v>2.4844433339202356</v>
      </c>
      <c r="M552" s="568" t="s">
        <v>873</v>
      </c>
      <c r="N552" s="567"/>
      <c r="O552" s="605"/>
      <c r="P552" s="567"/>
    </row>
    <row r="553" spans="1:16" customFormat="1" ht="12.75" customHeight="1" x14ac:dyDescent="0.2">
      <c r="A553" s="567"/>
      <c r="B553" s="567" t="s">
        <v>1619</v>
      </c>
      <c r="C553" s="567"/>
      <c r="D553" s="567"/>
      <c r="E553" s="567"/>
      <c r="F553" s="567"/>
      <c r="G553" s="568" t="s">
        <v>3185</v>
      </c>
      <c r="H553" s="568" t="s">
        <v>296</v>
      </c>
      <c r="I553" s="678"/>
      <c r="J553" s="294" t="str">
        <f>IF(ISBLANK(HLOOKUP(CaseName,CaseData,MATCH($G553,cases!$G$4:$G$2458,0),FALSE)),"",HLOOKUP(CaseName,CaseData,MATCH($G553,cases!$G$4:$G$2458,0),FALSE))</f>
        <v/>
      </c>
      <c r="K553" s="577">
        <v>1</v>
      </c>
      <c r="L553" s="298">
        <f t="shared" si="36"/>
        <v>1</v>
      </c>
      <c r="M553" s="568" t="s">
        <v>296</v>
      </c>
      <c r="N553" s="567"/>
      <c r="O553" s="605"/>
      <c r="P553" s="567"/>
    </row>
    <row r="554" spans="1:16" customFormat="1" ht="12.75" customHeight="1" x14ac:dyDescent="0.2">
      <c r="A554" s="567"/>
      <c r="B554" s="567" t="s">
        <v>1621</v>
      </c>
      <c r="C554" s="567"/>
      <c r="D554" s="567"/>
      <c r="E554" s="567"/>
      <c r="F554" s="567"/>
      <c r="G554" s="568" t="s">
        <v>3186</v>
      </c>
      <c r="H554" s="568" t="s">
        <v>296</v>
      </c>
      <c r="I554" s="678"/>
      <c r="J554" s="294" t="str">
        <f>IF(ISBLANK(HLOOKUP(CaseName,CaseData,MATCH($G554,cases!$G$4:$G$2458,0),FALSE)),"",HLOOKUP(CaseName,CaseData,MATCH($G554,cases!$G$4:$G$2458,0),FALSE))</f>
        <v/>
      </c>
      <c r="K554" s="577">
        <f>((1.2+(1/12)*LN(1+L555))/(1+LN(L555)))</f>
        <v>0.35090916234212288</v>
      </c>
      <c r="L554" s="298">
        <f t="shared" si="36"/>
        <v>0.35090916234212288</v>
      </c>
      <c r="M554" s="568" t="s">
        <v>296</v>
      </c>
      <c r="N554" s="567"/>
      <c r="O554" s="605"/>
      <c r="P554" s="567"/>
    </row>
    <row r="555" spans="1:16" customFormat="1" ht="12.75" customHeight="1" x14ac:dyDescent="0.2">
      <c r="A555" s="567"/>
      <c r="B555" s="567" t="s">
        <v>1623</v>
      </c>
      <c r="C555" s="567"/>
      <c r="D555" s="567"/>
      <c r="E555" s="567"/>
      <c r="F555" s="567"/>
      <c r="G555" s="568" t="s">
        <v>3187</v>
      </c>
      <c r="H555" s="568" t="s">
        <v>296</v>
      </c>
      <c r="I555" s="678"/>
      <c r="J555" s="294" t="str">
        <f>IF(ISBLANK(HLOOKUP(CaseName,CaseData,MATCH($G555,cases!$G$4:$G$2458,0),FALSE)),"",HLOOKUP(CaseName,CaseData,MATCH($G555,cases!$G$4:$G$2458,0),FALSE))</f>
        <v/>
      </c>
      <c r="K555" s="627">
        <f>((2*L549)*L552*Rho.a)/(2*DYNVISC.a)</f>
        <v>24.188761335086028</v>
      </c>
      <c r="L555" s="298">
        <f t="shared" si="36"/>
        <v>24.188761335086028</v>
      </c>
      <c r="M555" s="568" t="s">
        <v>2341</v>
      </c>
      <c r="N555" s="567"/>
      <c r="O555" s="605"/>
      <c r="P555" s="567"/>
    </row>
    <row r="556" spans="1:16" customFormat="1" ht="12.75" customHeight="1" x14ac:dyDescent="0.2">
      <c r="A556" t="s">
        <v>3188</v>
      </c>
      <c r="J556" s="294" t="str">
        <f>IF(ISBLANK(HLOOKUP(CaseName,CaseData,MATCH($G556,cases!$G$4:$G$2458,0),FALSE)),"",HLOOKUP(CaseName,CaseData,MATCH($G556,cases!$G$4:$G$2458,0),FALSE))</f>
        <v/>
      </c>
      <c r="K556" s="335"/>
      <c r="L556" s="332"/>
      <c r="O556" s="176"/>
    </row>
    <row r="557" spans="1:16" customFormat="1" ht="12.75" customHeight="1" x14ac:dyDescent="0.2">
      <c r="A557" s="567"/>
      <c r="B557" s="567" t="s">
        <v>1626</v>
      </c>
      <c r="C557" s="567"/>
      <c r="D557" s="567"/>
      <c r="E557" s="567"/>
      <c r="F557" s="567"/>
      <c r="G557" s="567" t="s">
        <v>3189</v>
      </c>
      <c r="H557" s="567" t="s">
        <v>820</v>
      </c>
      <c r="I557" s="678"/>
      <c r="J557" s="294" t="str">
        <f>IF(ISBLANK(HLOOKUP(CaseName,CaseData,MATCH($G557,cases!$G$4:$G$2458,0),FALSE)),"",HLOOKUP(CaseName,CaseData,MATCH($G557,cases!$G$4:$G$2458,0),FALSE))</f>
        <v/>
      </c>
      <c r="K557" s="626">
        <f>(L559/((4/3)*PI()))^(1/3)</f>
        <v>4.5372667230498981E-8</v>
      </c>
      <c r="L557" s="298">
        <f>IF(ISBLANK(I557),IF(ISNUMBER(J557)=FALSE,K557,J557),I557)</f>
        <v>4.5372667230498981E-8</v>
      </c>
      <c r="M557" s="567" t="s">
        <v>820</v>
      </c>
      <c r="N557" s="567"/>
      <c r="O557" s="605"/>
      <c r="P557" s="567"/>
    </row>
    <row r="558" spans="1:16" customFormat="1" ht="12.75" customHeight="1" x14ac:dyDescent="0.2">
      <c r="A558" s="567"/>
      <c r="B558" s="567" t="s">
        <v>1628</v>
      </c>
      <c r="C558" s="567"/>
      <c r="D558" s="567"/>
      <c r="E558" s="567"/>
      <c r="F558" s="567"/>
      <c r="G558" s="567" t="s">
        <v>3190</v>
      </c>
      <c r="H558" s="567" t="s">
        <v>287</v>
      </c>
      <c r="I558" s="678"/>
      <c r="J558" s="294" t="str">
        <f>IF(ISBLANK(HLOOKUP(CaseName,CaseData,MATCH($G558,cases!$G$4:$G$2458,0),FALSE)),"",HLOOKUP(CaseName,CaseData,MATCH($G558,cases!$G$4:$G$2458,0),FALSE))</f>
        <v/>
      </c>
      <c r="K558" s="577">
        <f>(L560)/L559</f>
        <v>1999.052936069301</v>
      </c>
      <c r="L558" s="298">
        <f>IF(ISBLANK(I558),IF(ISNUMBER(J558)=FALSE,K558,J558),I558)</f>
        <v>1999.052936069301</v>
      </c>
      <c r="M558" s="567" t="s">
        <v>287</v>
      </c>
      <c r="N558" s="567"/>
      <c r="O558" s="605"/>
      <c r="P558" s="567"/>
    </row>
    <row r="559" spans="1:16" customFormat="1" ht="12.75" customHeight="1" x14ac:dyDescent="0.2">
      <c r="A559" s="567"/>
      <c r="B559" s="567"/>
      <c r="C559" s="567" t="s">
        <v>1630</v>
      </c>
      <c r="D559" s="567"/>
      <c r="E559" s="567"/>
      <c r="F559" s="567"/>
      <c r="G559" s="567" t="s">
        <v>3191</v>
      </c>
      <c r="H559" s="567" t="s">
        <v>864</v>
      </c>
      <c r="I559" s="678"/>
      <c r="J559" s="294" t="str">
        <f>IF(ISBLANK(HLOOKUP(CaseName,CaseData,MATCH($G559,cases!$G$4:$G$2458,0),FALSE)),"",HLOOKUP(CaseName,CaseData,MATCH($G559,cases!$G$4:$G$2458,0),FALSE))</f>
        <v/>
      </c>
      <c r="K559" s="577">
        <f>((L470*(SingleVolS+(((4/3)*PI()*(RadNuc)^3))))+(L475*(SingleVolS+(((4/3)*PI()*(RadAcc)^3)))))/(L470+L475)</f>
        <v>3.9126548541830902E-22</v>
      </c>
      <c r="L559" s="298">
        <f>IF(ISBLANK(I559),IF(ISNUMBER(J559)=FALSE,K559,J559),I559)</f>
        <v>3.9126548541830902E-22</v>
      </c>
      <c r="M559" s="567" t="s">
        <v>864</v>
      </c>
      <c r="N559" s="567"/>
      <c r="O559" s="605"/>
      <c r="P559" s="567"/>
    </row>
    <row r="560" spans="1:16" customFormat="1" ht="12.75" customHeight="1" x14ac:dyDescent="0.2">
      <c r="A560" s="567"/>
      <c r="B560" s="567"/>
      <c r="C560" s="567" t="s">
        <v>1632</v>
      </c>
      <c r="D560" s="567"/>
      <c r="E560" s="567"/>
      <c r="F560" s="567"/>
      <c r="G560" s="567" t="s">
        <v>3192</v>
      </c>
      <c r="H560" s="567" t="s">
        <v>895</v>
      </c>
      <c r="I560" s="678"/>
      <c r="J560" s="294" t="str">
        <f>IF(ISBLANK(HLOOKUP(CaseName,CaseData,MATCH($G560,cases!$G$4:$G$2458,0),FALSE)),"",HLOOKUP(CaseName,CaseData,MATCH($G560,cases!$G$4:$G$2458,0),FALSE))</f>
        <v/>
      </c>
      <c r="K560" s="577">
        <f>((L470*(RhoNuc*(4/3*PI()*(RadNuc)^3)+RhoS*SingleVolS))+(L475*(RhoAcc*(4/3*PI()*(RadAcc)^3)+RhoS*SingleVolS)))/(L470+L475)</f>
        <v>7.8216041740805096E-19</v>
      </c>
      <c r="L560" s="298">
        <f>IF(ISBLANK(I560),IF(ISNUMBER(J560)=FALSE,K560,J560),I560)</f>
        <v>7.8216041740805096E-19</v>
      </c>
      <c r="M560" s="567" t="s">
        <v>895</v>
      </c>
      <c r="N560" s="567"/>
      <c r="O560" s="605"/>
      <c r="P560" s="567"/>
    </row>
    <row r="561" spans="1:16" customFormat="1" ht="12.75" customHeight="1" x14ac:dyDescent="0.2">
      <c r="A561" t="s">
        <v>3193</v>
      </c>
      <c r="J561" s="294" t="str">
        <f>IF(ISBLANK(HLOOKUP(CaseName,CaseData,MATCH($G561,cases!$G$4:$G$2458,0),FALSE)),"",HLOOKUP(CaseName,CaseData,MATCH($G561,cases!$G$4:$G$2458,0),FALSE))</f>
        <v/>
      </c>
      <c r="K561" s="437"/>
      <c r="L561" s="332"/>
      <c r="O561" s="176"/>
    </row>
    <row r="562" spans="1:16" customFormat="1" ht="12.75" customHeight="1" x14ac:dyDescent="0.2">
      <c r="A562" s="567" t="s">
        <v>1635</v>
      </c>
      <c r="B562" s="567"/>
      <c r="C562" s="567"/>
      <c r="D562" s="567"/>
      <c r="E562" s="567"/>
      <c r="F562" s="567"/>
      <c r="G562" s="568" t="s">
        <v>3194</v>
      </c>
      <c r="H562" s="568" t="s">
        <v>340</v>
      </c>
      <c r="I562" s="678"/>
      <c r="J562" s="294" t="str">
        <f>IF(ISBLANK(HLOOKUP(CaseName,CaseData,MATCH($G562,cases!$G$4:$G$2458,0),FALSE)),"",HLOOKUP(CaseName,CaseData,MATCH($G562,cases!$G$4:$G$2458,0),FALSE))</f>
        <v/>
      </c>
      <c r="K562" s="577">
        <f>(3/2)*(L570*L551)/(2*L549)</f>
        <v>6.3532809659995379E-7</v>
      </c>
      <c r="L562" s="298">
        <f t="shared" ref="L562:L593" si="37">IF(ISBLANK(I562),IF(ISNUMBER(J562)=FALSE,K562,J562),I562)</f>
        <v>6.3532809659995379E-7</v>
      </c>
      <c r="M562" s="568" t="s">
        <v>340</v>
      </c>
      <c r="N562" s="567"/>
      <c r="O562" s="605" t="s">
        <v>2348</v>
      </c>
      <c r="P562" s="567" t="s">
        <v>1637</v>
      </c>
    </row>
    <row r="563" spans="1:16" customFormat="1" ht="12.75" customHeight="1" x14ac:dyDescent="0.2">
      <c r="A563" s="567"/>
      <c r="B563" s="567" t="s">
        <v>1638</v>
      </c>
      <c r="C563" s="567"/>
      <c r="D563" s="567"/>
      <c r="E563" s="567"/>
      <c r="F563" s="567"/>
      <c r="G563" s="568" t="s">
        <v>3195</v>
      </c>
      <c r="H563" s="568" t="s">
        <v>1640</v>
      </c>
      <c r="I563" s="678"/>
      <c r="J563" s="294" t="str">
        <f>IF(ISBLANK(HLOOKUP(CaseName,CaseData,MATCH($G563,cases!$G$4:$G$2458,0),FALSE)),"",HLOOKUP(CaseName,CaseData,MATCH($G563,cases!$G$4:$G$2458,0),FALSE))</f>
        <v/>
      </c>
      <c r="K563" s="577">
        <f>((RhoS-Rho.a)*(2*RadS)^2*CunninghamS)/(18*DYNVISC.a)</f>
        <v>2.9727496338664685E-8</v>
      </c>
      <c r="L563" s="298">
        <f t="shared" si="37"/>
        <v>2.9727496338664685E-8</v>
      </c>
      <c r="M563" s="568" t="s">
        <v>1640</v>
      </c>
      <c r="N563" s="567"/>
      <c r="O563" s="605"/>
      <c r="P563" s="567"/>
    </row>
    <row r="564" spans="1:16" customFormat="1" ht="12.75" customHeight="1" x14ac:dyDescent="0.2">
      <c r="A564" s="567"/>
      <c r="B564" s="567" t="s">
        <v>1641</v>
      </c>
      <c r="C564" s="567"/>
      <c r="D564" s="567"/>
      <c r="E564" s="567"/>
      <c r="F564" s="567"/>
      <c r="G564" s="568" t="s">
        <v>3196</v>
      </c>
      <c r="H564" s="568" t="s">
        <v>296</v>
      </c>
      <c r="I564" s="678"/>
      <c r="J564" s="294" t="str">
        <f>IF(ISBLANK(HLOOKUP(CaseName,CaseData,MATCH($G564,cases!$G$4:$G$2458,0),FALSE)),"",HLOOKUP(CaseName,CaseData,MATCH($G564,cases!$G$4:$G$2458,0),FALSE))</f>
        <v/>
      </c>
      <c r="K564" s="577">
        <f>(2*L563*(L552-L565))/(2*L549)</f>
        <v>5.1340531337019186E-4</v>
      </c>
      <c r="L564" s="298">
        <f t="shared" si="37"/>
        <v>5.1340531337019186E-4</v>
      </c>
      <c r="M564" s="568" t="s">
        <v>296</v>
      </c>
      <c r="N564" s="567"/>
      <c r="O564" s="605" t="s">
        <v>1643</v>
      </c>
      <c r="P564" s="567"/>
    </row>
    <row r="565" spans="1:16" customFormat="1" ht="12.75" customHeight="1" x14ac:dyDescent="0.2">
      <c r="A565" s="567"/>
      <c r="B565" s="567" t="s">
        <v>1644</v>
      </c>
      <c r="C565" s="567"/>
      <c r="D565" s="567"/>
      <c r="E565" s="567"/>
      <c r="F565" s="567"/>
      <c r="G565" s="568" t="s">
        <v>3197</v>
      </c>
      <c r="H565" s="568" t="s">
        <v>873</v>
      </c>
      <c r="I565" s="678"/>
      <c r="J565" s="294" t="str">
        <f>IF(ISBLANK(HLOOKUP(CaseName,CaseData,MATCH($G565,cases!$G$4:$G$2458,0),FALSE)),"",HLOOKUP(CaseName,CaseData,MATCH($G565,cases!$G$4:$G$2458,0),FALSE))</f>
        <v/>
      </c>
      <c r="K565" s="577">
        <f>((2*RadS)^2*(RhoS-Rho.a)*9.81*CunninghamS)/(18*DYNVISC.a)</f>
        <v>2.9162673908230058E-7</v>
      </c>
      <c r="L565" s="298">
        <f t="shared" si="37"/>
        <v>2.9162673908230058E-7</v>
      </c>
      <c r="M565" s="568" t="s">
        <v>873</v>
      </c>
      <c r="N565" s="567"/>
      <c r="O565" s="605"/>
      <c r="P565" s="567"/>
    </row>
    <row r="566" spans="1:16" customFormat="1" ht="12.75" customHeight="1" x14ac:dyDescent="0.2">
      <c r="A566" s="567"/>
      <c r="B566" s="567" t="s">
        <v>1646</v>
      </c>
      <c r="C566" s="567"/>
      <c r="D566" s="567"/>
      <c r="E566" s="567"/>
      <c r="F566" s="567"/>
      <c r="G566" s="568" t="s">
        <v>3198</v>
      </c>
      <c r="H566" s="568" t="s">
        <v>296</v>
      </c>
      <c r="I566" s="678"/>
      <c r="J566" s="294" t="str">
        <f>IF(ISBLANK(HLOOKUP(CaseName,CaseData,MATCH($G566,cases!$G$4:$G$2458,0),FALSE)),"",HLOOKUP(CaseName,CaseData,MATCH($G566,cases!$G$4:$G$2458,0),FALSE))</f>
        <v/>
      </c>
      <c r="K566" s="577">
        <f>DYNVISC.a/(Rho.a*DiffS.aA)</f>
        <v>303.08077159842435</v>
      </c>
      <c r="L566" s="298">
        <f t="shared" si="37"/>
        <v>303.08077159842435</v>
      </c>
      <c r="M566" s="568" t="s">
        <v>296</v>
      </c>
      <c r="N566" s="567"/>
      <c r="O566" s="605"/>
      <c r="P566" s="567"/>
    </row>
    <row r="567" spans="1:16" customFormat="1" ht="12.75" customHeight="1" x14ac:dyDescent="0.2">
      <c r="A567" s="567"/>
      <c r="B567" s="567"/>
      <c r="C567" s="567" t="s">
        <v>1648</v>
      </c>
      <c r="D567" s="567"/>
      <c r="E567" s="567"/>
      <c r="F567" s="567"/>
      <c r="G567" s="568" t="s">
        <v>3199</v>
      </c>
      <c r="H567" s="568" t="s">
        <v>296</v>
      </c>
      <c r="I567" s="678"/>
      <c r="J567" s="294" t="str">
        <f>IF(ISBLANK(HLOOKUP(CaseName,CaseData,MATCH($G567,cases!$G$4:$G$2458,0),FALSE)),"",HLOOKUP(CaseName,CaseData,MATCH($G567,cases!$G$4:$G$2458,0),FALSE))</f>
        <v/>
      </c>
      <c r="K567" s="577">
        <f>(4/(L555*L566))*(1+0.4*(L555^0.5*L566^(1/3))+0.16*(L555^0.5*L566^0.5))</f>
        <v>1.5230414305566695E-2</v>
      </c>
      <c r="L567" s="298">
        <f t="shared" si="37"/>
        <v>1.5230414305566695E-2</v>
      </c>
      <c r="M567" s="568" t="s">
        <v>296</v>
      </c>
      <c r="N567" s="567"/>
      <c r="O567" s="605"/>
      <c r="P567" s="567"/>
    </row>
    <row r="568" spans="1:16" customFormat="1" ht="12.75" customHeight="1" x14ac:dyDescent="0.2">
      <c r="A568" s="567"/>
      <c r="B568" s="567"/>
      <c r="C568" s="567" t="s">
        <v>1650</v>
      </c>
      <c r="D568" s="567"/>
      <c r="E568" s="567"/>
      <c r="F568" s="567"/>
      <c r="G568" s="568" t="s">
        <v>3200</v>
      </c>
      <c r="H568" s="568" t="s">
        <v>296</v>
      </c>
      <c r="I568" s="678"/>
      <c r="J568" s="294" t="str">
        <f>IF(ISBLANK(HLOOKUP(CaseName,CaseData,MATCH($G568,cases!$G$4:$G$2458,0),FALSE)),"",HLOOKUP(CaseName,CaseData,MATCH($G568,cases!$G$4:$G$2458,0),FALSE))</f>
        <v/>
      </c>
      <c r="K568" s="577">
        <f>4*(RadS/L549)*((DYNVISC.a/DYNVISC.w)+(1+2*L555^0.5*(RadS/L549)))</f>
        <v>1.4158714395447858E-4</v>
      </c>
      <c r="L568" s="298">
        <f t="shared" si="37"/>
        <v>1.4158714395447858E-4</v>
      </c>
      <c r="M568" s="568" t="s">
        <v>296</v>
      </c>
      <c r="N568" s="567"/>
      <c r="O568" s="605"/>
      <c r="P568" s="567"/>
    </row>
    <row r="569" spans="1:16" customFormat="1" ht="12.75" customHeight="1" x14ac:dyDescent="0.2">
      <c r="A569" s="567"/>
      <c r="B569" s="567"/>
      <c r="C569" s="567" t="s">
        <v>1652</v>
      </c>
      <c r="D569" s="567"/>
      <c r="E569" s="567"/>
      <c r="F569" s="567"/>
      <c r="G569" s="568" t="s">
        <v>3201</v>
      </c>
      <c r="H569" s="568" t="s">
        <v>296</v>
      </c>
      <c r="I569" s="678"/>
      <c r="J569" s="294" t="str">
        <f>IF(ISBLANK(HLOOKUP(CaseName,CaseData,MATCH($G569,cases!$G$4:$G$2458,0),FALSE)),"",HLOOKUP(CaseName,CaseData,MATCH($G569,cases!$G$4:$G$2458,0),FALSE))</f>
        <v/>
      </c>
      <c r="K569" s="577">
        <f>IF(L564&gt;L554,((L564-L554)/(L564-L554+2/3))^(3/2),0)</f>
        <v>0</v>
      </c>
      <c r="L569" s="298">
        <f t="shared" si="37"/>
        <v>0</v>
      </c>
      <c r="M569" s="568" t="s">
        <v>296</v>
      </c>
      <c r="N569" s="567"/>
      <c r="O569" s="605"/>
      <c r="P569" s="567"/>
    </row>
    <row r="570" spans="1:16" customFormat="1" ht="12.75" customHeight="1" x14ac:dyDescent="0.2">
      <c r="A570" s="567"/>
      <c r="B570" s="567"/>
      <c r="C570" s="567" t="s">
        <v>1654</v>
      </c>
      <c r="D570" s="567"/>
      <c r="E570" s="567"/>
      <c r="F570" s="567"/>
      <c r="G570" s="568" t="s">
        <v>3202</v>
      </c>
      <c r="H570" s="568" t="s">
        <v>296</v>
      </c>
      <c r="I570" s="678"/>
      <c r="J570" s="294" t="str">
        <f>IF(ISBLANK(HLOOKUP(CaseName,CaseData,MATCH($G570,cases!$G$4:$G$2458,0),FALSE)),"",HLOOKUP(CaseName,CaseData,MATCH($G570,cases!$G$4:$G$2458,0),FALSE))</f>
        <v/>
      </c>
      <c r="K570" s="577">
        <f>L567+L568+L569</f>
        <v>1.5372001449521173E-2</v>
      </c>
      <c r="L570" s="298">
        <f t="shared" si="37"/>
        <v>1.5372001449521173E-2</v>
      </c>
      <c r="M570" s="568" t="s">
        <v>296</v>
      </c>
      <c r="N570" s="567"/>
      <c r="O570" s="605"/>
      <c r="P570" s="567"/>
    </row>
    <row r="571" spans="1:16" customFormat="1" ht="12.75" customHeight="1" x14ac:dyDescent="0.2">
      <c r="A571" s="567" t="s">
        <v>1656</v>
      </c>
      <c r="B571" s="567"/>
      <c r="C571" s="567"/>
      <c r="D571" s="567"/>
      <c r="E571" s="567"/>
      <c r="F571" s="567"/>
      <c r="G571" s="568" t="s">
        <v>3203</v>
      </c>
      <c r="H571" s="568" t="s">
        <v>340</v>
      </c>
      <c r="I571" s="678"/>
      <c r="J571" s="294" t="str">
        <f>IF(ISBLANK(HLOOKUP(CaseName,CaseData,MATCH($G571,cases!$G$4:$G$2458,0),FALSE)),"",HLOOKUP(CaseName,CaseData,MATCH($G571,cases!$G$4:$G$2458,0),FALSE))</f>
        <v/>
      </c>
      <c r="K571" s="577">
        <f>((3/2)*(L581*L551)/(2*L549))</f>
        <v>1.0906229255628956E-7</v>
      </c>
      <c r="L571" s="298">
        <f t="shared" si="37"/>
        <v>1.0906229255628956E-7</v>
      </c>
      <c r="M571" s="568" t="s">
        <v>340</v>
      </c>
      <c r="N571" s="567"/>
      <c r="O571" s="605"/>
      <c r="P571" s="567"/>
    </row>
    <row r="572" spans="1:16" customFormat="1" ht="12.75" customHeight="1" x14ac:dyDescent="0.2">
      <c r="A572" s="567"/>
      <c r="B572" s="567" t="s">
        <v>1658</v>
      </c>
      <c r="C572" s="567"/>
      <c r="D572" s="567"/>
      <c r="E572" s="567"/>
      <c r="F572" s="567"/>
      <c r="G572" s="568" t="s">
        <v>3204</v>
      </c>
      <c r="H572" s="568" t="s">
        <v>296</v>
      </c>
      <c r="I572" s="678"/>
      <c r="J572" s="294" t="str">
        <f>IF(ISBLANK(HLOOKUP(CaseName,CaseData,MATCH($G572,cases!$G$4:$G$2458,0),FALSE)),"",HLOOKUP(CaseName,CaseData,MATCH($G572,cases!$G$4:$G$2458,0),FALSE))</f>
        <v/>
      </c>
      <c r="K572" s="577">
        <f>1+(66*10^-9/L557)*(1.142+0.558*EXP(-0.999/(66*10^-9/L557)))</f>
        <v>3.0696088001070425</v>
      </c>
      <c r="L572" s="298">
        <f t="shared" si="37"/>
        <v>3.0696088001070425</v>
      </c>
      <c r="M572" s="568" t="s">
        <v>296</v>
      </c>
      <c r="N572" s="567"/>
      <c r="O572" s="605"/>
      <c r="P572" s="567"/>
    </row>
    <row r="573" spans="1:16" customFormat="1" ht="12.75" customHeight="1" x14ac:dyDescent="0.2">
      <c r="A573" s="567"/>
      <c r="B573" s="567" t="s">
        <v>1660</v>
      </c>
      <c r="C573" s="567"/>
      <c r="D573" s="567"/>
      <c r="E573" s="567"/>
      <c r="F573" s="567"/>
      <c r="G573" s="568" t="s">
        <v>3205</v>
      </c>
      <c r="H573" s="568"/>
      <c r="I573" s="678"/>
      <c r="J573" s="294" t="str">
        <f>IF(ISBLANK(HLOOKUP(CaseName,CaseData,MATCH($G573,cases!$G$4:$G$2458,0),FALSE)),"",HLOOKUP(CaseName,CaseData,MATCH($G573,cases!$G$4:$G$2458,0),FALSE))</f>
        <v/>
      </c>
      <c r="K573" s="577">
        <f>(kboltz*L374*L572)/(6*PI()*DYNVISC.a*L557)</f>
        <v>7.20025689227998E-10</v>
      </c>
      <c r="L573" s="298">
        <f t="shared" si="37"/>
        <v>7.20025689227998E-10</v>
      </c>
      <c r="M573" s="568"/>
      <c r="N573" s="567"/>
      <c r="O573" s="605"/>
      <c r="P573" s="567"/>
    </row>
    <row r="574" spans="1:16" customFormat="1" ht="12.75" customHeight="1" x14ac:dyDescent="0.2">
      <c r="A574" s="567"/>
      <c r="B574" s="567" t="s">
        <v>1638</v>
      </c>
      <c r="C574" s="567"/>
      <c r="D574" s="567"/>
      <c r="E574" s="567"/>
      <c r="F574" s="567"/>
      <c r="G574" s="568" t="s">
        <v>3206</v>
      </c>
      <c r="H574" s="568" t="s">
        <v>1640</v>
      </c>
      <c r="I574" s="678"/>
      <c r="J574" s="294" t="str">
        <f>IF(ISBLANK(HLOOKUP(CaseName,CaseData,MATCH($G574,cases!$G$4:$G$2458,0),FALSE)),"",HLOOKUP(CaseName,CaseData,MATCH($G574,cases!$G$4:$G$2458,0),FALSE))</f>
        <v/>
      </c>
      <c r="K574" s="577">
        <f>((L558-Rho.a)*(2*L557)^2*L572)/(18*DYNVISC.a)</f>
        <v>1.5500247909018642E-7</v>
      </c>
      <c r="L574" s="298">
        <f t="shared" si="37"/>
        <v>1.5500247909018642E-7</v>
      </c>
      <c r="M574" s="568" t="s">
        <v>1640</v>
      </c>
      <c r="N574" s="567"/>
      <c r="O574" s="605"/>
      <c r="P574" s="567"/>
    </row>
    <row r="575" spans="1:16" customFormat="1" ht="12.75" customHeight="1" x14ac:dyDescent="0.2">
      <c r="A575" s="567"/>
      <c r="B575" s="567" t="s">
        <v>1663</v>
      </c>
      <c r="C575" s="567"/>
      <c r="D575" s="567"/>
      <c r="E575" s="567"/>
      <c r="F575" s="567"/>
      <c r="G575" s="568" t="s">
        <v>3207</v>
      </c>
      <c r="H575" s="568" t="s">
        <v>296</v>
      </c>
      <c r="I575" s="678"/>
      <c r="J575" s="294" t="str">
        <f>IF(ISBLANK(HLOOKUP(CaseName,CaseData,MATCH($G575,cases!$G$4:$G$2458,0),FALSE)),"",HLOOKUP(CaseName,CaseData,MATCH($G575,cases!$G$4:$G$2458,0),FALSE))</f>
        <v/>
      </c>
      <c r="K575" s="577">
        <f>(2*L574*(L552-L576))/(2*L549)</f>
        <v>2.676951199640018E-3</v>
      </c>
      <c r="L575" s="298">
        <f t="shared" si="37"/>
        <v>2.676951199640018E-3</v>
      </c>
      <c r="M575" s="568" t="s">
        <v>296</v>
      </c>
      <c r="N575" s="567"/>
      <c r="O575" s="605"/>
      <c r="P575" s="567"/>
    </row>
    <row r="576" spans="1:16" customFormat="1" ht="12.75" customHeight="1" x14ac:dyDescent="0.2">
      <c r="A576" s="567"/>
      <c r="B576" s="567" t="s">
        <v>1644</v>
      </c>
      <c r="C576" s="567"/>
      <c r="D576" s="567"/>
      <c r="E576" s="567"/>
      <c r="F576" s="567"/>
      <c r="G576" s="568" t="s">
        <v>3208</v>
      </c>
      <c r="H576" s="568" t="s">
        <v>873</v>
      </c>
      <c r="I576" s="678"/>
      <c r="J576" s="294" t="str">
        <f>IF(ISBLANK(HLOOKUP(CaseName,CaseData,MATCH($G576,cases!$G$4:$G$2458,0),FALSE)),"",HLOOKUP(CaseName,CaseData,MATCH($G576,cases!$G$4:$G$2458,0),FALSE))</f>
        <v/>
      </c>
      <c r="K576" s="577">
        <f>((2*L557)^2*(L558-Rho.a)*9.81*L572)/(18*DYNVISC.a)</f>
        <v>1.5205743198747288E-6</v>
      </c>
      <c r="L576" s="298">
        <f t="shared" si="37"/>
        <v>1.5205743198747288E-6</v>
      </c>
      <c r="M576" s="568" t="s">
        <v>873</v>
      </c>
      <c r="N576" s="567"/>
      <c r="O576" s="605"/>
      <c r="P576" s="567"/>
    </row>
    <row r="577" spans="1:16" customFormat="1" ht="12.75" customHeight="1" x14ac:dyDescent="0.2">
      <c r="A577" s="567"/>
      <c r="B577" s="567" t="s">
        <v>1646</v>
      </c>
      <c r="C577" s="567"/>
      <c r="D577" s="567"/>
      <c r="E577" s="567"/>
      <c r="F577" s="567"/>
      <c r="G577" s="568" t="s">
        <v>3209</v>
      </c>
      <c r="H577" s="568" t="s">
        <v>296</v>
      </c>
      <c r="I577" s="678"/>
      <c r="J577" s="294" t="str">
        <f>IF(ISBLANK(HLOOKUP(CaseName,CaseData,MATCH($G577,cases!$G$4:$G$2458,0),FALSE)),"",HLOOKUP(CaseName,CaseData,MATCH($G577,cases!$G$4:$G$2458,0),FALSE))</f>
        <v/>
      </c>
      <c r="K577" s="577">
        <f>DYNVISC.a/(Rho.a*L573)</f>
        <v>20520.809778222971</v>
      </c>
      <c r="L577" s="298">
        <f t="shared" si="37"/>
        <v>20520.809778222971</v>
      </c>
      <c r="M577" s="568" t="s">
        <v>296</v>
      </c>
      <c r="N577" s="567"/>
      <c r="O577" s="605"/>
      <c r="P577" s="567"/>
    </row>
    <row r="578" spans="1:16" customFormat="1" ht="12.75" customHeight="1" x14ac:dyDescent="0.2">
      <c r="A578" s="567"/>
      <c r="B578" s="567"/>
      <c r="C578" s="567" t="s">
        <v>1648</v>
      </c>
      <c r="D578" s="567"/>
      <c r="E578" s="567"/>
      <c r="F578" s="567"/>
      <c r="G578" s="568" t="s">
        <v>3210</v>
      </c>
      <c r="H578" s="568" t="s">
        <v>296</v>
      </c>
      <c r="I578" s="678"/>
      <c r="J578" s="294" t="str">
        <f>IF(ISBLANK(HLOOKUP(CaseName,CaseData,MATCH($G578,cases!$G$4:$G$2458,0),FALSE)),"",HLOOKUP(CaseName,CaseData,MATCH($G578,cases!$G$4:$G$2458,0),FALSE))</f>
        <v/>
      </c>
      <c r="K578" s="577">
        <f>(4/(L555*L577))*(1+0.4*(L555^0.5*L577^(1/3))+0.16*(L555^0.5*L577^0.5))</f>
        <v>1.3504830092227191E-3</v>
      </c>
      <c r="L578" s="298">
        <f t="shared" si="37"/>
        <v>1.3504830092227191E-3</v>
      </c>
      <c r="M578" s="568" t="s">
        <v>296</v>
      </c>
      <c r="N578" s="567"/>
      <c r="O578" s="605"/>
      <c r="P578" s="567"/>
    </row>
    <row r="579" spans="1:16" customFormat="1" ht="12.75" customHeight="1" x14ac:dyDescent="0.2">
      <c r="A579" s="567"/>
      <c r="B579" s="567"/>
      <c r="C579" s="567" t="s">
        <v>1650</v>
      </c>
      <c r="D579" s="567"/>
      <c r="E579" s="567"/>
      <c r="F579" s="567"/>
      <c r="G579" s="568" t="s">
        <v>3211</v>
      </c>
      <c r="H579" s="568" t="s">
        <v>296</v>
      </c>
      <c r="I579" s="678"/>
      <c r="J579" s="294" t="str">
        <f>IF(ISBLANK(HLOOKUP(CaseName,CaseData,MATCH($G579,cases!$G$4:$G$2458,0),FALSE)),"",HLOOKUP(CaseName,CaseData,MATCH($G579,cases!$G$4:$G$2458,0),FALSE))</f>
        <v/>
      </c>
      <c r="K579" s="577">
        <f>4*(L557/L549)*((DYNVISC.a/DYNVISC.w)+(1+2*L555^0.5*(L557/L549)))</f>
        <v>1.2883200410995286E-3</v>
      </c>
      <c r="L579" s="298">
        <f t="shared" si="37"/>
        <v>1.2883200410995286E-3</v>
      </c>
      <c r="M579" s="568" t="s">
        <v>296</v>
      </c>
      <c r="N579" s="567"/>
      <c r="O579" s="605"/>
      <c r="P579" s="567"/>
    </row>
    <row r="580" spans="1:16" customFormat="1" ht="12.75" customHeight="1" x14ac:dyDescent="0.2">
      <c r="A580" s="567"/>
      <c r="B580" s="567"/>
      <c r="C580" s="567" t="s">
        <v>1652</v>
      </c>
      <c r="D580" s="567"/>
      <c r="E580" s="567"/>
      <c r="F580" s="567"/>
      <c r="G580" s="568" t="s">
        <v>3212</v>
      </c>
      <c r="H580" s="568" t="s">
        <v>296</v>
      </c>
      <c r="I580" s="678"/>
      <c r="J580" s="294" t="str">
        <f>IF(ISBLANK(HLOOKUP(CaseName,CaseData,MATCH($G580,cases!$G$4:$G$2458,0),FALSE)),"",HLOOKUP(CaseName,CaseData,MATCH($G580,cases!$G$4:$G$2458,0),FALSE))</f>
        <v/>
      </c>
      <c r="K580" s="577">
        <f>IF(L575&gt;L554,((L575-L554)/(L575-L554+2/3))^(3/2),0)</f>
        <v>0</v>
      </c>
      <c r="L580" s="298">
        <f t="shared" si="37"/>
        <v>0</v>
      </c>
      <c r="M580" s="568" t="s">
        <v>296</v>
      </c>
      <c r="N580" s="567"/>
      <c r="O580" s="605"/>
      <c r="P580" s="567"/>
    </row>
    <row r="581" spans="1:16" customFormat="1" ht="12.75" customHeight="1" x14ac:dyDescent="0.2">
      <c r="A581" s="567"/>
      <c r="B581" s="567"/>
      <c r="C581" s="567" t="s">
        <v>1654</v>
      </c>
      <c r="D581" s="567"/>
      <c r="E581" s="567"/>
      <c r="F581" s="567"/>
      <c r="G581" s="568" t="s">
        <v>3213</v>
      </c>
      <c r="H581" s="568" t="s">
        <v>296</v>
      </c>
      <c r="I581" s="678"/>
      <c r="J581" s="294" t="str">
        <f>IF(ISBLANK(HLOOKUP(CaseName,CaseData,MATCH($G581,cases!$G$4:$G$2458,0),FALSE)),"",HLOOKUP(CaseName,CaseData,MATCH($G581,cases!$G$4:$G$2458,0),FALSE))</f>
        <v/>
      </c>
      <c r="K581" s="577">
        <f>L578+L579+L580</f>
        <v>2.6388030503222476E-3</v>
      </c>
      <c r="L581" s="298">
        <f t="shared" si="37"/>
        <v>2.6388030503222476E-3</v>
      </c>
      <c r="M581" s="568" t="s">
        <v>296</v>
      </c>
      <c r="N581" s="567"/>
      <c r="O581" s="605"/>
      <c r="P581" s="567"/>
    </row>
    <row r="582" spans="1:16" customFormat="1" ht="12.75" customHeight="1" x14ac:dyDescent="0.2">
      <c r="A582" s="567" t="s">
        <v>1671</v>
      </c>
      <c r="B582" s="567"/>
      <c r="C582" s="567"/>
      <c r="D582" s="567"/>
      <c r="E582" s="567"/>
      <c r="F582" s="567"/>
      <c r="G582" s="568" t="s">
        <v>3214</v>
      </c>
      <c r="H582" s="568" t="s">
        <v>340</v>
      </c>
      <c r="I582" s="678"/>
      <c r="J582" s="294" t="str">
        <f>IF(ISBLANK(HLOOKUP(CaseName,CaseData,MATCH($G582,cases!$G$4:$G$2458,0),FALSE)),"",HLOOKUP(CaseName,CaseData,MATCH($G582,cases!$G$4:$G$2458,0),FALSE))</f>
        <v/>
      </c>
      <c r="K582" s="900">
        <f>((L408+L409)/L409*L414*L415)/L343</f>
        <v>2.6424826653137157E-5</v>
      </c>
      <c r="L582" s="298">
        <f t="shared" si="37"/>
        <v>2.6424826653137157E-5</v>
      </c>
      <c r="M582" s="567" t="s">
        <v>340</v>
      </c>
      <c r="N582" s="567" t="s">
        <v>1673</v>
      </c>
      <c r="O582" s="605"/>
      <c r="P582" s="567"/>
    </row>
    <row r="583" spans="1:16" customFormat="1" ht="12.75" customHeight="1" x14ac:dyDescent="0.2">
      <c r="A583" s="567" t="s">
        <v>2869</v>
      </c>
      <c r="B583" s="567"/>
      <c r="C583" s="567"/>
      <c r="D583" s="567"/>
      <c r="E583" s="567"/>
      <c r="F583" s="567"/>
      <c r="G583" s="568" t="s">
        <v>3215</v>
      </c>
      <c r="H583" s="568" t="s">
        <v>340</v>
      </c>
      <c r="I583" s="678"/>
      <c r="J583" s="294" t="str">
        <f>IF(ISBLANK(HLOOKUP(CaseName,CaseData,MATCH($G583,cases!$G$4:$G$2458,0),FALSE)),"",HLOOKUP(CaseName,CaseData,MATCH($G583,cases!$G$4:$G$2458,0),FALSE))</f>
        <v/>
      </c>
      <c r="K583" s="577">
        <f>(L584*L342*L340)/(L334)</f>
        <v>1.2845431413683556E-6</v>
      </c>
      <c r="L583" s="298">
        <f t="shared" si="37"/>
        <v>1.2845431413683556E-6</v>
      </c>
      <c r="M583" s="568" t="s">
        <v>340</v>
      </c>
      <c r="N583" s="567"/>
      <c r="O583" s="605"/>
      <c r="P583" s="567"/>
    </row>
    <row r="584" spans="1:16" customFormat="1" ht="12.75" customHeight="1" x14ac:dyDescent="0.2">
      <c r="A584" s="567"/>
      <c r="B584" s="567" t="s">
        <v>1676</v>
      </c>
      <c r="C584" s="567"/>
      <c r="D584" s="567"/>
      <c r="E584" s="567"/>
      <c r="F584" s="567"/>
      <c r="G584" s="568" t="s">
        <v>3216</v>
      </c>
      <c r="H584" s="568" t="s">
        <v>873</v>
      </c>
      <c r="I584" s="678"/>
      <c r="J584" s="294" t="str">
        <f>IF(ISBLANK(HLOOKUP(CaseName,CaseData,MATCH($G584,cases!$G$4:$G$2458,0),FALSE)),"",HLOOKUP(CaseName,CaseData,MATCH($G584,cases!$G$4:$G$2458,0),FALSE))</f>
        <v/>
      </c>
      <c r="K584" s="577">
        <f>1/(L585+L586)+L565</f>
        <v>3.2113568900135328E-3</v>
      </c>
      <c r="L584" s="298">
        <f t="shared" si="37"/>
        <v>3.2113568900135328E-3</v>
      </c>
      <c r="M584" s="568" t="s">
        <v>873</v>
      </c>
      <c r="N584" s="567"/>
      <c r="O584" s="605"/>
      <c r="P584" s="567"/>
    </row>
    <row r="585" spans="1:16" customFormat="1" ht="12.75" customHeight="1" x14ac:dyDescent="0.2">
      <c r="A585" s="567"/>
      <c r="B585" s="567" t="s">
        <v>1678</v>
      </c>
      <c r="C585" s="567"/>
      <c r="D585" s="567"/>
      <c r="E585" s="567"/>
      <c r="F585" s="567"/>
      <c r="G585" s="568" t="s">
        <v>3217</v>
      </c>
      <c r="H585" s="568" t="s">
        <v>1680</v>
      </c>
      <c r="I585" s="678"/>
      <c r="J585" s="294" t="str">
        <f>IF(ISBLANK(HLOOKUP(CaseName,CaseData,MATCH($G585,cases!$G$4:$G$2458,0),FALSE)),"",HLOOKUP(CaseName,CaseData,MATCH($G585,cases!$G$4:$G$2458,0),FALSE))</f>
        <v/>
      </c>
      <c r="K585" s="577">
        <v>74</v>
      </c>
      <c r="L585" s="298">
        <f t="shared" si="37"/>
        <v>74</v>
      </c>
      <c r="M585" s="568" t="s">
        <v>1680</v>
      </c>
      <c r="N585" s="567"/>
      <c r="O585" s="605" t="s">
        <v>1681</v>
      </c>
      <c r="P585" s="567" t="s">
        <v>1682</v>
      </c>
    </row>
    <row r="586" spans="1:16" customFormat="1" ht="12.75" customHeight="1" x14ac:dyDescent="0.2">
      <c r="A586" s="567"/>
      <c r="B586" s="567" t="s">
        <v>1683</v>
      </c>
      <c r="C586" s="567"/>
      <c r="D586" s="567"/>
      <c r="E586" s="567"/>
      <c r="F586" s="567"/>
      <c r="G586" s="568" t="s">
        <v>3218</v>
      </c>
      <c r="H586" s="568" t="s">
        <v>1680</v>
      </c>
      <c r="I586" s="678"/>
      <c r="J586" s="294" t="str">
        <f>IF(ISBLANK(HLOOKUP(CaseName,CaseData,MATCH($G586,cases!$G$4:$G$2458,0),FALSE)),"",HLOOKUP(CaseName,CaseData,MATCH($G586,cases!$G$4:$G$2458,0),FALSE))</f>
        <v/>
      </c>
      <c r="K586" s="577">
        <f>1/(L587*(L588+L589+L593))</f>
        <v>237.4231315810319</v>
      </c>
      <c r="L586" s="298">
        <f t="shared" si="37"/>
        <v>237.4231315810319</v>
      </c>
      <c r="M586" s="568" t="s">
        <v>1680</v>
      </c>
      <c r="N586" s="567"/>
      <c r="O586" s="605" t="s">
        <v>1685</v>
      </c>
      <c r="P586" s="567"/>
    </row>
    <row r="587" spans="1:16" customFormat="1" ht="12.75" customHeight="1" x14ac:dyDescent="0.2">
      <c r="A587" s="567"/>
      <c r="B587" s="567"/>
      <c r="C587" s="567" t="s">
        <v>1686</v>
      </c>
      <c r="D587" s="567"/>
      <c r="E587" s="567"/>
      <c r="F587" s="567"/>
      <c r="G587" s="568" t="s">
        <v>3219</v>
      </c>
      <c r="H587" s="568" t="s">
        <v>873</v>
      </c>
      <c r="I587" s="678"/>
      <c r="J587" s="294" t="str">
        <f>IF(ISBLANK(HLOOKUP(CaseName,CaseData,MATCH($G587,cases!$G$4:$G$2458,0),FALSE)),"",HLOOKUP(CaseName,CaseData,MATCH($G587,cases!$G$4:$G$2458,0),FALSE))</f>
        <v/>
      </c>
      <c r="K587" s="577">
        <v>0.19</v>
      </c>
      <c r="L587" s="298">
        <f t="shared" si="37"/>
        <v>0.19</v>
      </c>
      <c r="M587" s="568" t="s">
        <v>873</v>
      </c>
      <c r="N587" s="567"/>
      <c r="O587" s="605" t="s">
        <v>1688</v>
      </c>
      <c r="P587" s="567" t="s">
        <v>1689</v>
      </c>
    </row>
    <row r="588" spans="1:16" customFormat="1" ht="12.75" customHeight="1" x14ac:dyDescent="0.2">
      <c r="A588" s="567"/>
      <c r="B588" s="567"/>
      <c r="C588" s="567" t="s">
        <v>1648</v>
      </c>
      <c r="D588" s="567"/>
      <c r="E588" s="567"/>
      <c r="F588" s="567"/>
      <c r="G588" s="568" t="s">
        <v>3220</v>
      </c>
      <c r="H588" s="568" t="s">
        <v>296</v>
      </c>
      <c r="I588" s="678"/>
      <c r="J588" s="294" t="str">
        <f>IF(ISBLANK(HLOOKUP(CaseName,CaseData,MATCH($G588,cases!$G$4:$G$2458,0),FALSE)),"",HLOOKUP(CaseName,CaseData,MATCH($G588,cases!$G$4:$G$2458,0),FALSE))</f>
        <v/>
      </c>
      <c r="K588" s="577">
        <f>L566^(-2/3)</f>
        <v>2.2162959041183969E-2</v>
      </c>
      <c r="L588" s="298">
        <f t="shared" si="37"/>
        <v>2.2162959041183969E-2</v>
      </c>
      <c r="M588" s="568" t="s">
        <v>296</v>
      </c>
      <c r="N588" s="567"/>
      <c r="O588" s="605" t="s">
        <v>1685</v>
      </c>
      <c r="P588" s="567" t="s">
        <v>1691</v>
      </c>
    </row>
    <row r="589" spans="1:16" customFormat="1" ht="12.75" customHeight="1" x14ac:dyDescent="0.2">
      <c r="A589" s="567"/>
      <c r="B589" s="567"/>
      <c r="C589" s="567" t="s">
        <v>1650</v>
      </c>
      <c r="D589" s="567"/>
      <c r="E589" s="567"/>
      <c r="F589" s="567"/>
      <c r="G589" s="568" t="s">
        <v>3221</v>
      </c>
      <c r="H589" s="568" t="s">
        <v>296</v>
      </c>
      <c r="I589" s="678"/>
      <c r="J589" s="294" t="str">
        <f>IF(ISBLANK(HLOOKUP(CaseName,CaseData,MATCH($G589,cases!$G$4:$G$2458,0),FALSE)),"",HLOOKUP(CaseName,CaseData,MATCH($G589,cases!$G$4:$G$2458,0),FALSE))</f>
        <v/>
      </c>
      <c r="K589" s="577">
        <f>0.3*(L592*(RadS/(RadS+L590))+(1-L592)*(RadS/(RadS+L591)))</f>
        <v>4.4692206751095909E-6</v>
      </c>
      <c r="L589" s="298">
        <f t="shared" si="37"/>
        <v>4.4692206751095909E-6</v>
      </c>
      <c r="M589" s="568" t="s">
        <v>296</v>
      </c>
      <c r="N589" s="567"/>
      <c r="O589" s="605" t="s">
        <v>1685</v>
      </c>
      <c r="P589" s="567" t="s">
        <v>1691</v>
      </c>
    </row>
    <row r="590" spans="1:16" customFormat="1" ht="12.75" customHeight="1" x14ac:dyDescent="0.2">
      <c r="A590" s="567"/>
      <c r="B590" s="567"/>
      <c r="C590" s="567"/>
      <c r="D590" s="567" t="s">
        <v>1693</v>
      </c>
      <c r="E590" s="567"/>
      <c r="F590" s="567"/>
      <c r="G590" s="568" t="s">
        <v>3222</v>
      </c>
      <c r="H590" s="568" t="s">
        <v>820</v>
      </c>
      <c r="I590" s="678"/>
      <c r="J590" s="294" t="str">
        <f>IF(ISBLANK(HLOOKUP(CaseName,CaseData,MATCH($G590,cases!$G$4:$G$2458,0),FALSE)),"",HLOOKUP(CaseName,CaseData,MATCH($G590,cases!$G$4:$G$2458,0),FALSE))</f>
        <v/>
      </c>
      <c r="K590" s="577">
        <f>1*10^-5</f>
        <v>1.0000000000000001E-5</v>
      </c>
      <c r="L590" s="298">
        <f t="shared" si="37"/>
        <v>1.0000000000000001E-5</v>
      </c>
      <c r="M590" s="568" t="s">
        <v>820</v>
      </c>
      <c r="N590" s="567"/>
      <c r="O590" s="605" t="s">
        <v>1681</v>
      </c>
      <c r="P590" s="567" t="s">
        <v>1691</v>
      </c>
    </row>
    <row r="591" spans="1:16" customFormat="1" ht="12.75" customHeight="1" x14ac:dyDescent="0.2">
      <c r="A591" s="567"/>
      <c r="B591" s="567"/>
      <c r="C591" s="567"/>
      <c r="D591" s="567" t="s">
        <v>1695</v>
      </c>
      <c r="E591" s="567"/>
      <c r="F591" s="567"/>
      <c r="G591" s="568" t="s">
        <v>3223</v>
      </c>
      <c r="H591" s="568" t="s">
        <v>820</v>
      </c>
      <c r="I591" s="678"/>
      <c r="J591" s="294" t="str">
        <f>IF(ISBLANK(HLOOKUP(CaseName,CaseData,MATCH($G591,cases!$G$4:$G$2458,0),FALSE)),"",HLOOKUP(CaseName,CaseData,MATCH($G591,cases!$G$4:$G$2458,0),FALSE))</f>
        <v/>
      </c>
      <c r="K591" s="577">
        <f>0.0005</f>
        <v>5.0000000000000001E-4</v>
      </c>
      <c r="L591" s="298">
        <f t="shared" si="37"/>
        <v>5.0000000000000001E-4</v>
      </c>
      <c r="M591" s="568" t="s">
        <v>820</v>
      </c>
      <c r="N591" s="567"/>
      <c r="O591" s="605" t="s">
        <v>1681</v>
      </c>
      <c r="P591" s="567" t="s">
        <v>1691</v>
      </c>
    </row>
    <row r="592" spans="1:16" customFormat="1" ht="12.75" customHeight="1" x14ac:dyDescent="0.2">
      <c r="A592" s="567"/>
      <c r="B592" s="567"/>
      <c r="C592" s="567"/>
      <c r="D592" s="567" t="s">
        <v>1697</v>
      </c>
      <c r="E592" s="567"/>
      <c r="F592" s="567"/>
      <c r="G592" s="568" t="s">
        <v>3224</v>
      </c>
      <c r="H592" s="568" t="s">
        <v>296</v>
      </c>
      <c r="I592" s="678"/>
      <c r="J592" s="294" t="str">
        <f>IF(ISBLANK(HLOOKUP(CaseName,CaseData,MATCH($G592,cases!$G$4:$G$2458,0),FALSE)),"",HLOOKUP(CaseName,CaseData,MATCH($G592,cases!$G$4:$G$2458,0),FALSE))</f>
        <v/>
      </c>
      <c r="K592" s="577">
        <v>0.01</v>
      </c>
      <c r="L592" s="298">
        <f t="shared" si="37"/>
        <v>0.01</v>
      </c>
      <c r="M592" s="568" t="s">
        <v>296</v>
      </c>
      <c r="N592" s="567"/>
      <c r="O592" s="605" t="s">
        <v>1681</v>
      </c>
      <c r="P592" s="567" t="s">
        <v>1699</v>
      </c>
    </row>
    <row r="593" spans="1:16" customFormat="1" ht="12.75" customHeight="1" x14ac:dyDescent="0.2">
      <c r="A593" s="567"/>
      <c r="B593" s="567"/>
      <c r="C593" s="567" t="s">
        <v>1652</v>
      </c>
      <c r="D593" s="567"/>
      <c r="E593" s="567"/>
      <c r="F593" s="567"/>
      <c r="G593" s="568" t="s">
        <v>3225</v>
      </c>
      <c r="H593" s="568" t="s">
        <v>296</v>
      </c>
      <c r="I593" s="678"/>
      <c r="J593" s="294" t="str">
        <f>IF(ISBLANK(HLOOKUP(CaseName,CaseData,MATCH($G593,cases!$G$4:$G$2458,0),FALSE)),"",HLOOKUP(CaseName,CaseData,MATCH($G593,cases!$G$4:$G$2458,0),FALSE))</f>
        <v/>
      </c>
      <c r="K593" s="577">
        <f>(L564/(L564+0.8))^2</f>
        <v>4.1132347862958045E-7</v>
      </c>
      <c r="L593" s="298">
        <f t="shared" si="37"/>
        <v>4.1132347862958045E-7</v>
      </c>
      <c r="M593" s="568" t="s">
        <v>296</v>
      </c>
      <c r="N593" s="567"/>
      <c r="O593" s="605" t="s">
        <v>1685</v>
      </c>
      <c r="P593" s="567" t="s">
        <v>1691</v>
      </c>
    </row>
    <row r="594" spans="1:16" customFormat="1" ht="12.75" customHeight="1" x14ac:dyDescent="0.2">
      <c r="A594" s="567" t="s">
        <v>2881</v>
      </c>
      <c r="B594" s="567"/>
      <c r="C594" s="567"/>
      <c r="D594" s="567"/>
      <c r="E594" s="567"/>
      <c r="F594" s="567"/>
      <c r="G594" s="568" t="s">
        <v>3226</v>
      </c>
      <c r="H594" s="568" t="s">
        <v>340</v>
      </c>
      <c r="I594" s="678"/>
      <c r="J594" s="294" t="str">
        <f>IF(ISBLANK(HLOOKUP(CaseName,CaseData,MATCH($G594,cases!$G$4:$G$2458,0),FALSE)),"",HLOOKUP(CaseName,CaseData,MATCH($G594,cases!$G$4:$G$2458,0),FALSE))</f>
        <v/>
      </c>
      <c r="K594" s="577">
        <f>(L595*L342*L340)/(L334)</f>
        <v>1.0391387871624498E-7</v>
      </c>
      <c r="L594" s="298">
        <f t="shared" ref="L594:L625" si="38">IF(ISBLANK(I594),IF(ISNUMBER(J594)=FALSE,K594,J594),I594)</f>
        <v>1.0391387871624498E-7</v>
      </c>
      <c r="M594" s="568" t="s">
        <v>340</v>
      </c>
      <c r="N594" s="567"/>
      <c r="O594" s="605"/>
      <c r="P594" s="567"/>
    </row>
    <row r="595" spans="1:16" customFormat="1" ht="12.75" customHeight="1" x14ac:dyDescent="0.2">
      <c r="A595" s="567"/>
      <c r="B595" s="567" t="s">
        <v>1676</v>
      </c>
      <c r="C595" s="567"/>
      <c r="D595" s="567"/>
      <c r="E595" s="567"/>
      <c r="F595" s="567"/>
      <c r="G595" s="568" t="s">
        <v>3227</v>
      </c>
      <c r="H595" s="568" t="s">
        <v>873</v>
      </c>
      <c r="I595" s="678"/>
      <c r="J595" s="294" t="str">
        <f>IF(ISBLANK(HLOOKUP(CaseName,CaseData,MATCH($G595,cases!$G$4:$G$2458,0),FALSE)),"",HLOOKUP(CaseName,CaseData,MATCH($G595,cases!$G$4:$G$2458,0),FALSE))</f>
        <v/>
      </c>
      <c r="K595" s="577">
        <f>1/(L585+L596)+L576</f>
        <v>2.597846188552034E-4</v>
      </c>
      <c r="L595" s="298">
        <f t="shared" si="38"/>
        <v>2.597846188552034E-4</v>
      </c>
      <c r="M595" s="568" t="s">
        <v>873</v>
      </c>
      <c r="N595" s="567"/>
      <c r="O595" s="605"/>
      <c r="P595" s="567"/>
    </row>
    <row r="596" spans="1:16" customFormat="1" ht="12.75" customHeight="1" x14ac:dyDescent="0.2">
      <c r="A596" s="567"/>
      <c r="B596" s="567" t="s">
        <v>1683</v>
      </c>
      <c r="C596" s="567"/>
      <c r="D596" s="567"/>
      <c r="E596" s="567"/>
      <c r="F596" s="567"/>
      <c r="G596" s="568" t="s">
        <v>3228</v>
      </c>
      <c r="H596" s="568" t="s">
        <v>1680</v>
      </c>
      <c r="I596" s="678"/>
      <c r="J596" s="294" t="str">
        <f>IF(ISBLANK(HLOOKUP(CaseName,CaseData,MATCH($G596,cases!$G$4:$G$2458,0),FALSE)),"",HLOOKUP(CaseName,CaseData,MATCH($G596,cases!$G$4:$G$2458,0),FALSE))</f>
        <v/>
      </c>
      <c r="K596" s="577">
        <f>1/(L587*(L597+L598+L599))</f>
        <v>3798.0062709434073</v>
      </c>
      <c r="L596" s="298">
        <f t="shared" si="38"/>
        <v>3798.0062709434073</v>
      </c>
      <c r="M596" s="568" t="s">
        <v>1680</v>
      </c>
      <c r="N596" s="567"/>
      <c r="O596" s="605"/>
      <c r="P596" s="567"/>
    </row>
    <row r="597" spans="1:16" customFormat="1" ht="12.75" customHeight="1" x14ac:dyDescent="0.2">
      <c r="A597" s="567"/>
      <c r="B597" s="567"/>
      <c r="C597" s="567" t="s">
        <v>1648</v>
      </c>
      <c r="D597" s="567"/>
      <c r="E597" s="567"/>
      <c r="F597" s="567"/>
      <c r="G597" s="568" t="s">
        <v>3229</v>
      </c>
      <c r="H597" s="568" t="s">
        <v>296</v>
      </c>
      <c r="I597" s="678"/>
      <c r="J597" s="294" t="str">
        <f>IF(ISBLANK(HLOOKUP(CaseName,CaseData,MATCH($G597,cases!$G$4:$G$2458,0),FALSE)),"",HLOOKUP(CaseName,CaseData,MATCH($G597,cases!$G$4:$G$2458,0),FALSE))</f>
        <v/>
      </c>
      <c r="K597" s="577">
        <f>L577^(-2/3)</f>
        <v>1.3341469578439112E-3</v>
      </c>
      <c r="L597" s="298">
        <f t="shared" si="38"/>
        <v>1.3341469578439112E-3</v>
      </c>
      <c r="M597" s="568" t="s">
        <v>296</v>
      </c>
      <c r="N597" s="567"/>
      <c r="O597" s="605"/>
      <c r="P597" s="567" t="s">
        <v>1691</v>
      </c>
    </row>
    <row r="598" spans="1:16" customFormat="1" ht="12.75" customHeight="1" x14ac:dyDescent="0.2">
      <c r="A598" s="567"/>
      <c r="B598" s="567"/>
      <c r="C598" s="567" t="s">
        <v>1650</v>
      </c>
      <c r="D598" s="567"/>
      <c r="E598" s="567"/>
      <c r="F598" s="567"/>
      <c r="G598" s="568" t="s">
        <v>3230</v>
      </c>
      <c r="H598" s="568" t="s">
        <v>296</v>
      </c>
      <c r="I598" s="678"/>
      <c r="J598" s="294" t="str">
        <f>IF(ISBLANK(HLOOKUP(CaseName,CaseData,MATCH($G598,cases!$G$4:$G$2458,0),FALSE)),"",HLOOKUP(CaseName,CaseData,MATCH($G598,cases!$G$4:$G$2458,0),FALSE))</f>
        <v/>
      </c>
      <c r="K598" s="577">
        <f>0.3*(L592*(L557/(L557+L590))+(1-L592)*(L557/(L557+L591)))</f>
        <v>4.0499237605021189E-5</v>
      </c>
      <c r="L598" s="298">
        <f t="shared" si="38"/>
        <v>4.0499237605021189E-5</v>
      </c>
      <c r="M598" s="568" t="s">
        <v>296</v>
      </c>
      <c r="N598" s="567"/>
      <c r="O598" s="605"/>
      <c r="P598" s="567" t="s">
        <v>1691</v>
      </c>
    </row>
    <row r="599" spans="1:16" customFormat="1" ht="12.75" customHeight="1" x14ac:dyDescent="0.2">
      <c r="A599" s="567"/>
      <c r="B599" s="567"/>
      <c r="C599" s="567" t="s">
        <v>1652</v>
      </c>
      <c r="D599" s="567"/>
      <c r="E599" s="567"/>
      <c r="F599" s="567"/>
      <c r="G599" s="568" t="s">
        <v>3231</v>
      </c>
      <c r="H599" s="568" t="s">
        <v>296</v>
      </c>
      <c r="I599" s="678"/>
      <c r="J599" s="294" t="str">
        <f>IF(ISBLANK(HLOOKUP(CaseName,CaseData,MATCH($G599,cases!$G$4:$G$2458,0),FALSE)),"",HLOOKUP(CaseName,CaseData,MATCH($G599,cases!$G$4:$G$2458,0),FALSE))</f>
        <v/>
      </c>
      <c r="K599" s="577">
        <f>(L575/(L575+0.8))^2</f>
        <v>1.112242083865939E-5</v>
      </c>
      <c r="L599" s="298">
        <f t="shared" si="38"/>
        <v>1.112242083865939E-5</v>
      </c>
      <c r="M599" s="568" t="s">
        <v>296</v>
      </c>
      <c r="N599" s="567"/>
      <c r="O599" s="605"/>
      <c r="P599" s="567" t="s">
        <v>1691</v>
      </c>
    </row>
    <row r="600" spans="1:16" customFormat="1" ht="12.75" customHeight="1" x14ac:dyDescent="0.2">
      <c r="A600" s="567" t="s">
        <v>2888</v>
      </c>
      <c r="B600" s="567"/>
      <c r="C600" s="567"/>
      <c r="D600" s="567"/>
      <c r="E600" s="567"/>
      <c r="F600" s="567"/>
      <c r="G600" s="568" t="s">
        <v>3232</v>
      </c>
      <c r="H600" s="568" t="s">
        <v>340</v>
      </c>
      <c r="I600" s="678"/>
      <c r="J600" s="294" t="str">
        <f>IF(ISBLANK(HLOOKUP(CaseName,CaseData,MATCH($G600,cases!$G$4:$G$2458,0),FALSE)),"",HLOOKUP(CaseName,CaseData,MATCH($G600,cases!$G$4:$G$2458,0),FALSE))</f>
        <v/>
      </c>
      <c r="K600" s="577">
        <f>(L413*L342*L340)/(L334)</f>
        <v>4.0000012000003599E-7</v>
      </c>
      <c r="L600" s="298">
        <f t="shared" si="38"/>
        <v>4.0000012000003599E-7</v>
      </c>
      <c r="M600" s="568" t="s">
        <v>340</v>
      </c>
      <c r="N600" s="567" t="s">
        <v>2421</v>
      </c>
      <c r="O600" s="605"/>
      <c r="P600" s="567"/>
    </row>
    <row r="601" spans="1:16" customFormat="1" ht="12.75" customHeight="1" x14ac:dyDescent="0.2">
      <c r="A601" s="567" t="s">
        <v>2890</v>
      </c>
      <c r="B601" s="567"/>
      <c r="C601" s="567"/>
      <c r="D601" s="567"/>
      <c r="E601" s="567"/>
      <c r="F601" s="567"/>
      <c r="G601" s="568" t="s">
        <v>3233</v>
      </c>
      <c r="H601" s="568" t="s">
        <v>340</v>
      </c>
      <c r="I601" s="678"/>
      <c r="J601" s="294" t="str">
        <f>IF(ISBLANK(HLOOKUP(CaseName,CaseData,MATCH($G601,cases!$G$4:$G$2458,0),FALSE)),"",HLOOKUP(CaseName,CaseData,MATCH($G601,cases!$G$4:$G$2458,0),FALSE))</f>
        <v/>
      </c>
      <c r="K601" s="577">
        <f>(L602*L341*L340)/(L334)</f>
        <v>2.6476926757099736E-6</v>
      </c>
      <c r="L601" s="298">
        <f t="shared" si="38"/>
        <v>2.6476926757099736E-6</v>
      </c>
      <c r="M601" s="568" t="s">
        <v>340</v>
      </c>
      <c r="N601" s="567"/>
      <c r="O601" s="605"/>
      <c r="P601" s="567"/>
    </row>
    <row r="602" spans="1:16" customFormat="1" ht="12.75" customHeight="1" x14ac:dyDescent="0.2">
      <c r="A602" s="567"/>
      <c r="B602" s="567" t="s">
        <v>1676</v>
      </c>
      <c r="C602" s="567"/>
      <c r="D602" s="567"/>
      <c r="E602" s="567"/>
      <c r="F602" s="567"/>
      <c r="G602" s="568" t="s">
        <v>3234</v>
      </c>
      <c r="H602" s="568" t="s">
        <v>873</v>
      </c>
      <c r="I602" s="678"/>
      <c r="J602" s="294" t="str">
        <f>IF(ISBLANK(HLOOKUP(CaseName,CaseData,MATCH($G602,cases!$G$4:$G$2458,0),FALSE)),"",HLOOKUP(CaseName,CaseData,MATCH($G602,cases!$G$4:$G$2458,0),FALSE))</f>
        <v/>
      </c>
      <c r="K602" s="577">
        <f>1/(L603+L604)+L565</f>
        <v>4.4128198023369513E-3</v>
      </c>
      <c r="L602" s="298">
        <f t="shared" si="38"/>
        <v>4.4128198023369513E-3</v>
      </c>
      <c r="M602" s="568" t="s">
        <v>873</v>
      </c>
      <c r="N602" s="567"/>
      <c r="O602" s="605"/>
      <c r="P602" s="567"/>
    </row>
    <row r="603" spans="1:16" customFormat="1" ht="12.75" customHeight="1" x14ac:dyDescent="0.2">
      <c r="A603" s="567"/>
      <c r="B603" s="567"/>
      <c r="C603" s="567" t="s">
        <v>1772</v>
      </c>
      <c r="D603" s="567"/>
      <c r="E603" s="567"/>
      <c r="F603" s="567"/>
      <c r="G603" s="567" t="s">
        <v>3235</v>
      </c>
      <c r="H603" s="568" t="s">
        <v>1680</v>
      </c>
      <c r="I603" s="678"/>
      <c r="J603" s="294" t="str">
        <f>IF(ISBLANK(HLOOKUP(CaseName,CaseData,MATCH($G603,cases!$G$4:$G$2458,0),FALSE)),"",HLOOKUP(CaseName,CaseData,MATCH($G603,cases!$G$4:$G$2458,0),FALSE))</f>
        <v/>
      </c>
      <c r="K603" s="577">
        <v>135</v>
      </c>
      <c r="L603" s="298">
        <f t="shared" si="38"/>
        <v>135</v>
      </c>
      <c r="M603" s="568" t="s">
        <v>1680</v>
      </c>
      <c r="N603" s="567"/>
      <c r="O603" s="605"/>
      <c r="P603" s="567" t="s">
        <v>1682</v>
      </c>
    </row>
    <row r="604" spans="1:16" customFormat="1" ht="12.75" customHeight="1" x14ac:dyDescent="0.2">
      <c r="A604" s="567"/>
      <c r="B604" s="567"/>
      <c r="C604" s="567" t="s">
        <v>2894</v>
      </c>
      <c r="D604" s="567"/>
      <c r="E604" s="567"/>
      <c r="F604" s="567"/>
      <c r="G604" s="568" t="s">
        <v>3236</v>
      </c>
      <c r="H604" s="568" t="s">
        <v>1680</v>
      </c>
      <c r="I604" s="678"/>
      <c r="J604" s="294" t="str">
        <f>IF(ISBLANK(HLOOKUP(CaseName,CaseData,MATCH($G604,cases!$G$4:$G$2458,0),FALSE)),"",HLOOKUP(CaseName,CaseData,MATCH($G604,cases!$G$4:$G$2458,0),FALSE))</f>
        <v/>
      </c>
      <c r="K604" s="577">
        <f>1/(L605*(L606+L607))</f>
        <v>91.627448076182844</v>
      </c>
      <c r="L604" s="298">
        <f t="shared" si="38"/>
        <v>91.627448076182844</v>
      </c>
      <c r="M604" s="568" t="s">
        <v>1680</v>
      </c>
      <c r="N604" s="567"/>
      <c r="O604" s="605"/>
      <c r="P604" s="567"/>
    </row>
    <row r="605" spans="1:16" customFormat="1" ht="12.75" customHeight="1" x14ac:dyDescent="0.2">
      <c r="A605" s="567"/>
      <c r="B605" s="567"/>
      <c r="C605" s="567" t="s">
        <v>1760</v>
      </c>
      <c r="D605" s="567"/>
      <c r="E605" s="567"/>
      <c r="F605" s="567"/>
      <c r="G605" s="568" t="s">
        <v>3237</v>
      </c>
      <c r="H605" s="568" t="s">
        <v>873</v>
      </c>
      <c r="I605" s="678"/>
      <c r="J605" s="294" t="str">
        <f>IF(ISBLANK(HLOOKUP(CaseName,CaseData,MATCH($G605,cases!$G$4:$G$2458,0),FALSE)),"",HLOOKUP(CaseName,CaseData,MATCH($G605,cases!$G$4:$G$2458,0),FALSE))</f>
        <v/>
      </c>
      <c r="K605" s="577">
        <v>0.19</v>
      </c>
      <c r="L605" s="298">
        <f t="shared" si="38"/>
        <v>0.19</v>
      </c>
      <c r="M605" s="568" t="s">
        <v>873</v>
      </c>
      <c r="N605" s="567"/>
      <c r="O605" s="605" t="s">
        <v>1688</v>
      </c>
      <c r="P605" s="567" t="s">
        <v>1689</v>
      </c>
    </row>
    <row r="606" spans="1:16" customFormat="1" ht="12.75" customHeight="1" x14ac:dyDescent="0.2">
      <c r="A606" s="567"/>
      <c r="B606" s="567"/>
      <c r="C606" s="567"/>
      <c r="D606" s="567" t="s">
        <v>1648</v>
      </c>
      <c r="E606" s="567"/>
      <c r="F606" s="567"/>
      <c r="G606" s="568" t="s">
        <v>3238</v>
      </c>
      <c r="H606" s="568" t="s">
        <v>296</v>
      </c>
      <c r="I606" s="678"/>
      <c r="J606" s="294" t="str">
        <f>IF(ISBLANK(HLOOKUP(CaseName,CaseData,MATCH($G606,cases!$G$4:$G$2458,0),FALSE)),"",HLOOKUP(CaseName,CaseData,MATCH($G606,cases!$G$4:$G$2458,0),FALSE))</f>
        <v/>
      </c>
      <c r="K606" s="577">
        <f>L566^-(1/2)</f>
        <v>5.7440843385279439E-2</v>
      </c>
      <c r="L606" s="298">
        <f t="shared" si="38"/>
        <v>5.7440843385279439E-2</v>
      </c>
      <c r="M606" s="568" t="s">
        <v>296</v>
      </c>
      <c r="N606" s="567"/>
      <c r="O606" s="605"/>
      <c r="P606" s="567"/>
    </row>
    <row r="607" spans="1:16" customFormat="1" ht="12.75" customHeight="1" x14ac:dyDescent="0.2">
      <c r="A607" s="567"/>
      <c r="B607" s="567"/>
      <c r="C607" s="567"/>
      <c r="D607" s="567" t="s">
        <v>1652</v>
      </c>
      <c r="E607" s="567"/>
      <c r="F607" s="567"/>
      <c r="G607" s="568" t="s">
        <v>3239</v>
      </c>
      <c r="H607" s="568" t="s">
        <v>296</v>
      </c>
      <c r="I607" s="678"/>
      <c r="J607" s="294" t="str">
        <f>IF(ISBLANK(HLOOKUP(CaseName,CaseData,MATCH($G607,cases!$G$4:$G$2458,0),FALSE)),"",HLOOKUP(CaseName,CaseData,MATCH($G607,cases!$G$4:$G$2458,0),FALSE))</f>
        <v/>
      </c>
      <c r="K607" s="577">
        <f>10^(-3/L564)</f>
        <v>0</v>
      </c>
      <c r="L607" s="298">
        <f t="shared" si="38"/>
        <v>0</v>
      </c>
      <c r="M607" s="568" t="s">
        <v>296</v>
      </c>
      <c r="N607" s="567"/>
      <c r="O607" s="605"/>
      <c r="P607" s="567"/>
    </row>
    <row r="608" spans="1:16" customFormat="1" ht="12.75" customHeight="1" x14ac:dyDescent="0.2">
      <c r="A608" s="567" t="s">
        <v>2899</v>
      </c>
      <c r="B608" s="567"/>
      <c r="C608" s="567"/>
      <c r="D608" s="567"/>
      <c r="E608" s="567"/>
      <c r="F608" s="567"/>
      <c r="G608" s="567" t="s">
        <v>3240</v>
      </c>
      <c r="H608" s="568" t="s">
        <v>340</v>
      </c>
      <c r="I608" s="678"/>
      <c r="J608" s="294" t="str">
        <f>IF(ISBLANK(HLOOKUP(CaseName,CaseData,MATCH($G608,cases!$G$4:$G$2458,0),FALSE)),"",HLOOKUP(CaseName,CaseData,MATCH($G608,cases!$G$4:$G$2458,0),FALSE))</f>
        <v/>
      </c>
      <c r="K608" s="577">
        <f>L609*L341*L340/L334</f>
        <v>6.7586469329796332E-7</v>
      </c>
      <c r="L608" s="298">
        <f t="shared" si="38"/>
        <v>6.7586469329796332E-7</v>
      </c>
      <c r="M608" s="568" t="s">
        <v>340</v>
      </c>
      <c r="N608" s="567"/>
      <c r="O608" s="605"/>
      <c r="P608" s="567"/>
    </row>
    <row r="609" spans="1:18" customFormat="1" ht="12.75" customHeight="1" x14ac:dyDescent="0.2">
      <c r="A609" s="567"/>
      <c r="B609" s="567" t="s">
        <v>1676</v>
      </c>
      <c r="C609" s="567"/>
      <c r="D609" s="567"/>
      <c r="E609" s="567"/>
      <c r="F609" s="567"/>
      <c r="G609" s="568" t="s">
        <v>3241</v>
      </c>
      <c r="H609" s="568" t="s">
        <v>873</v>
      </c>
      <c r="I609" s="678"/>
      <c r="J609" s="294" t="str">
        <f>IF(ISBLANK(HLOOKUP(CaseName,CaseData,MATCH($G609,cases!$G$4:$G$2458,0),FALSE)),"",HLOOKUP(CaseName,CaseData,MATCH($G609,cases!$G$4:$G$2458,0),FALSE))</f>
        <v/>
      </c>
      <c r="K609" s="577">
        <f>1/(L603+L610)+L576</f>
        <v>1.126440817564259E-3</v>
      </c>
      <c r="L609" s="298">
        <f t="shared" si="38"/>
        <v>1.126440817564259E-3</v>
      </c>
      <c r="M609" s="568" t="s">
        <v>873</v>
      </c>
      <c r="N609" s="567"/>
      <c r="O609" s="605"/>
      <c r="P609" s="567"/>
    </row>
    <row r="610" spans="1:18" customFormat="1" ht="12.75" customHeight="1" x14ac:dyDescent="0.2">
      <c r="A610" s="567"/>
      <c r="B610" s="567"/>
      <c r="C610" s="567" t="s">
        <v>1758</v>
      </c>
      <c r="D610" s="567"/>
      <c r="E610" s="567"/>
      <c r="F610" s="567"/>
      <c r="G610" s="568" t="s">
        <v>3242</v>
      </c>
      <c r="H610" s="568" t="s">
        <v>1680</v>
      </c>
      <c r="I610" s="678"/>
      <c r="J610" s="294" t="str">
        <f>IF(ISBLANK(HLOOKUP(CaseName,CaseData,MATCH($G610,cases!$G$4:$G$2458,0),FALSE)),"",HLOOKUP(CaseName,CaseData,MATCH($G610,cases!$G$4:$G$2458,0),FALSE))</f>
        <v/>
      </c>
      <c r="K610" s="577">
        <f>1/(L605*(L611+L612))</f>
        <v>753.9519110402872</v>
      </c>
      <c r="L610" s="298">
        <f t="shared" si="38"/>
        <v>753.9519110402872</v>
      </c>
      <c r="M610" s="568" t="s">
        <v>1680</v>
      </c>
      <c r="N610" s="567"/>
      <c r="O610" s="567"/>
      <c r="P610" s="605"/>
    </row>
    <row r="611" spans="1:18" customFormat="1" ht="12.75" customHeight="1" x14ac:dyDescent="0.2">
      <c r="A611" s="567"/>
      <c r="B611" s="567"/>
      <c r="C611" s="567"/>
      <c r="D611" s="567" t="s">
        <v>1648</v>
      </c>
      <c r="E611" s="567"/>
      <c r="F611" s="567"/>
      <c r="G611" s="568" t="s">
        <v>3243</v>
      </c>
      <c r="H611" s="568" t="s">
        <v>296</v>
      </c>
      <c r="I611" s="678"/>
      <c r="J611" s="294" t="str">
        <f>IF(ISBLANK(HLOOKUP(CaseName,CaseData,MATCH($G611,cases!$G$4:$G$2458,0),FALSE)),"",HLOOKUP(CaseName,CaseData,MATCH($G611,cases!$G$4:$G$2458,0),FALSE))</f>
        <v/>
      </c>
      <c r="K611" s="577">
        <f>L577^-(1/2)</f>
        <v>6.9807607324382879E-3</v>
      </c>
      <c r="L611" s="298">
        <f t="shared" si="38"/>
        <v>6.9807607324382879E-3</v>
      </c>
      <c r="M611" s="568" t="s">
        <v>296</v>
      </c>
      <c r="N611" s="567"/>
      <c r="O611" s="567"/>
      <c r="P611" s="605"/>
    </row>
    <row r="612" spans="1:18" customFormat="1" ht="12.75" customHeight="1" x14ac:dyDescent="0.2">
      <c r="A612" s="567"/>
      <c r="B612" s="567"/>
      <c r="C612" s="567"/>
      <c r="D612" s="567" t="s">
        <v>1652</v>
      </c>
      <c r="E612" s="567"/>
      <c r="F612" s="567"/>
      <c r="G612" s="568" t="s">
        <v>3244</v>
      </c>
      <c r="H612" s="568" t="s">
        <v>296</v>
      </c>
      <c r="I612" s="678"/>
      <c r="J612" s="294" t="str">
        <f>IF(ISBLANK(HLOOKUP(CaseName,CaseData,MATCH($G612,cases!$G$4:$G$2458,0),FALSE)),"",HLOOKUP(CaseName,CaseData,MATCH($G612,cases!$G$4:$G$2458,0),FALSE))</f>
        <v/>
      </c>
      <c r="K612" s="577">
        <f>10^(-3/L575)</f>
        <v>0</v>
      </c>
      <c r="L612" s="298">
        <f t="shared" si="38"/>
        <v>0</v>
      </c>
      <c r="M612" s="568" t="s">
        <v>296</v>
      </c>
      <c r="N612" s="567"/>
      <c r="O612" s="567"/>
      <c r="P612" s="605"/>
    </row>
    <row r="613" spans="1:18" customFormat="1" ht="12.75" customHeight="1" x14ac:dyDescent="0.2">
      <c r="A613" s="567" t="s">
        <v>2905</v>
      </c>
      <c r="B613" s="567"/>
      <c r="C613" s="567"/>
      <c r="D613" s="567"/>
      <c r="E613" s="567"/>
      <c r="F613" s="567"/>
      <c r="G613" s="567" t="s">
        <v>3245</v>
      </c>
      <c r="H613" s="568" t="s">
        <v>340</v>
      </c>
      <c r="I613" s="678"/>
      <c r="J613" s="294" t="str">
        <f>IF(ISBLANK(HLOOKUP(CaseName,CaseData,MATCH($G613,cases!$G$4:$G$2458,0),FALSE)),"",HLOOKUP(CaseName,CaseData,MATCH($G613,cases!$G$4:$G$2458,0),FALSE))</f>
        <v/>
      </c>
      <c r="K613" s="577">
        <f>(L413*L341*L340)/L334</f>
        <v>6.0000018000005388E-7</v>
      </c>
      <c r="L613" s="298">
        <f t="shared" si="38"/>
        <v>6.0000018000005388E-7</v>
      </c>
      <c r="M613" s="568" t="s">
        <v>340</v>
      </c>
      <c r="N613" s="567"/>
      <c r="O613" s="605"/>
      <c r="P613" s="567"/>
    </row>
    <row r="614" spans="1:18" customFormat="1" ht="12.75" customHeight="1" x14ac:dyDescent="0.2">
      <c r="A614" s="567" t="s">
        <v>2907</v>
      </c>
      <c r="B614" s="567"/>
      <c r="C614" s="567"/>
      <c r="D614" s="567"/>
      <c r="E614" s="567"/>
      <c r="F614" s="567"/>
      <c r="G614" s="568" t="s">
        <v>3246</v>
      </c>
      <c r="H614" s="568" t="s">
        <v>340</v>
      </c>
      <c r="I614" s="678"/>
      <c r="J614" s="294" t="str">
        <f>IF(ISBLANK(HLOOKUP(CaseName,CaseData,MATCH($G614,cases!$G$4:$G$2458,0),FALSE)),"",HLOOKUP(CaseName,CaseData,MATCH($G614,cases!$G$4:$G$2458,0),FALSE))</f>
        <v/>
      </c>
      <c r="K614" s="577">
        <f>(L414*L342*L340)/(L335)</f>
        <v>1.0569933832235011E-5</v>
      </c>
      <c r="L614" s="298">
        <f t="shared" si="38"/>
        <v>1.0569933832235011E-5</v>
      </c>
      <c r="M614" s="568" t="s">
        <v>340</v>
      </c>
      <c r="N614" s="567"/>
      <c r="O614" s="605"/>
      <c r="P614" s="567"/>
    </row>
    <row r="615" spans="1:18" customFormat="1" ht="12.75" customHeight="1" x14ac:dyDescent="0.2">
      <c r="A615" s="567" t="s">
        <v>2909</v>
      </c>
      <c r="B615" s="567"/>
      <c r="C615" s="567"/>
      <c r="D615" s="567"/>
      <c r="E615" s="567"/>
      <c r="F615" s="567"/>
      <c r="G615" s="568" t="s">
        <v>3247</v>
      </c>
      <c r="H615" s="568" t="s">
        <v>340</v>
      </c>
      <c r="I615" s="678"/>
      <c r="J615" s="294" t="str">
        <f>IF(ISBLANK(HLOOKUP(CaseName,CaseData,MATCH($G615,cases!$G$4:$G$2458,0),FALSE)),"",HLOOKUP(CaseName,CaseData,MATCH($G615,cases!$G$4:$G$2458,0),FALSE))</f>
        <v/>
      </c>
      <c r="K615" s="577">
        <f>(L414*L342*L340)/(L335)</f>
        <v>1.0569933832235011E-5</v>
      </c>
      <c r="L615" s="298">
        <f t="shared" si="38"/>
        <v>1.0569933832235011E-5</v>
      </c>
      <c r="M615" s="568" t="s">
        <v>340</v>
      </c>
      <c r="N615" s="567"/>
      <c r="O615" s="605"/>
      <c r="P615" s="567"/>
    </row>
    <row r="616" spans="1:18" customFormat="1" ht="12.75" customHeight="1" x14ac:dyDescent="0.2">
      <c r="A616" s="567" t="s">
        <v>2911</v>
      </c>
      <c r="B616" s="567"/>
      <c r="C616" s="567"/>
      <c r="D616" s="567"/>
      <c r="E616" s="567"/>
      <c r="F616" s="567"/>
      <c r="G616" s="568" t="s">
        <v>3248</v>
      </c>
      <c r="H616" s="568" t="s">
        <v>340</v>
      </c>
      <c r="I616" s="678"/>
      <c r="J616" s="294" t="str">
        <f>IF(ISBLANK(HLOOKUP(CaseName,CaseData,MATCH($G616,cases!$G$4:$G$2458,0),FALSE)),"",HLOOKUP(CaseName,CaseData,MATCH($G616,cases!$G$4:$G$2458,0),FALSE))</f>
        <v/>
      </c>
      <c r="K616" s="577">
        <f>(L414*L342*L340)/(L335)</f>
        <v>1.0569933832235011E-5</v>
      </c>
      <c r="L616" s="298">
        <f t="shared" si="38"/>
        <v>1.0569933832235011E-5</v>
      </c>
      <c r="M616" s="568" t="s">
        <v>340</v>
      </c>
      <c r="N616" s="567"/>
      <c r="O616" s="605"/>
      <c r="P616" s="567"/>
    </row>
    <row r="617" spans="1:18" customFormat="1" ht="12.75" customHeight="1" x14ac:dyDescent="0.2">
      <c r="A617" s="567" t="s">
        <v>2913</v>
      </c>
      <c r="B617" s="567"/>
      <c r="C617" s="567"/>
      <c r="D617" s="567"/>
      <c r="E617" s="567"/>
      <c r="F617" s="567"/>
      <c r="G617" s="568" t="s">
        <v>3249</v>
      </c>
      <c r="H617" s="568" t="s">
        <v>340</v>
      </c>
      <c r="I617" s="678"/>
      <c r="J617" s="294" t="str">
        <f>IF(ISBLANK(HLOOKUP(CaseName,CaseData,MATCH($G617,cases!$G$4:$G$2458,0),FALSE)),"",HLOOKUP(CaseName,CaseData,MATCH($G617,cases!$G$4:$G$2458,0),FALSE))</f>
        <v/>
      </c>
      <c r="K617" s="577">
        <f>(L414*L341*L340)/(L335)</f>
        <v>1.5854900748352518E-5</v>
      </c>
      <c r="L617" s="298">
        <f t="shared" si="38"/>
        <v>1.5854900748352518E-5</v>
      </c>
      <c r="M617" s="568" t="s">
        <v>340</v>
      </c>
      <c r="N617" s="567"/>
      <c r="O617" s="605"/>
      <c r="P617" s="567"/>
    </row>
    <row r="618" spans="1:18" customFormat="1" ht="12.75" customHeight="1" x14ac:dyDescent="0.2">
      <c r="A618" s="567" t="s">
        <v>2915</v>
      </c>
      <c r="B618" s="567"/>
      <c r="C618" s="567"/>
      <c r="D618" s="567"/>
      <c r="E618" s="567"/>
      <c r="F618" s="567"/>
      <c r="G618" s="568" t="s">
        <v>3250</v>
      </c>
      <c r="H618" s="568" t="s">
        <v>340</v>
      </c>
      <c r="I618" s="678"/>
      <c r="J618" s="294" t="str">
        <f>IF(ISBLANK(HLOOKUP(CaseName,CaseData,MATCH($G618,cases!$G$4:$G$2458,0),FALSE)),"",HLOOKUP(CaseName,CaseData,MATCH($G618,cases!$G$4:$G$2458,0),FALSE))</f>
        <v/>
      </c>
      <c r="K618" s="577">
        <f>(L414*L341*L340)/(L335)</f>
        <v>1.5854900748352518E-5</v>
      </c>
      <c r="L618" s="298">
        <f t="shared" si="38"/>
        <v>1.5854900748352518E-5</v>
      </c>
      <c r="M618" s="568" t="s">
        <v>340</v>
      </c>
      <c r="N618" s="567"/>
      <c r="O618" s="605"/>
      <c r="P618" s="567"/>
    </row>
    <row r="619" spans="1:18" customFormat="1" ht="12.75" customHeight="1" x14ac:dyDescent="0.2">
      <c r="A619" s="567" t="s">
        <v>2917</v>
      </c>
      <c r="B619" s="567"/>
      <c r="C619" s="567"/>
      <c r="D619" s="567"/>
      <c r="E619" s="567"/>
      <c r="F619" s="567"/>
      <c r="G619" s="568" t="s">
        <v>3251</v>
      </c>
      <c r="H619" s="568" t="s">
        <v>340</v>
      </c>
      <c r="I619" s="678"/>
      <c r="J619" s="294" t="str">
        <f>IF(ISBLANK(HLOOKUP(CaseName,CaseData,MATCH($G619,cases!$G$4:$G$2458,0),FALSE)),"",HLOOKUP(CaseName,CaseData,MATCH($G619,cases!$G$4:$G$2458,0),FALSE))</f>
        <v/>
      </c>
      <c r="K619" s="577">
        <f>(L414*L341*L340)/(L335)</f>
        <v>1.5854900748352518E-5</v>
      </c>
      <c r="L619" s="298">
        <f t="shared" si="38"/>
        <v>1.5854900748352518E-5</v>
      </c>
      <c r="M619" s="568" t="s">
        <v>340</v>
      </c>
      <c r="N619" s="567"/>
      <c r="O619" s="605"/>
      <c r="P619" s="801"/>
      <c r="Q619" s="567"/>
      <c r="R619" s="801"/>
    </row>
    <row r="620" spans="1:18" customFormat="1" ht="12.75" customHeight="1" x14ac:dyDescent="0.2">
      <c r="A620" s="567" t="s">
        <v>2919</v>
      </c>
      <c r="B620" s="567"/>
      <c r="C620" s="567"/>
      <c r="D620" s="567"/>
      <c r="E620" s="567"/>
      <c r="F620" s="567"/>
      <c r="G620" s="568" t="s">
        <v>3252</v>
      </c>
      <c r="H620" s="568" t="s">
        <v>340</v>
      </c>
      <c r="I620" s="678"/>
      <c r="J620" s="294" t="str">
        <f>IF(ISBLANK(HLOOKUP(CaseName,CaseData,MATCH($G620,cases!$G$4:$G$2458,0),FALSE)),"",HLOOKUP(CaseName,CaseData,MATCH($G620,cases!$G$4:$G$2458,0),FALSE))</f>
        <v/>
      </c>
      <c r="K620" s="577">
        <f>IF((SetVelS.w*L341*L340)/(L336)&gt;0,(SetVelS.w*L341*L340)/(L336)+L363,L363)</f>
        <v>2.6926299777362683E-7</v>
      </c>
      <c r="L620" s="298">
        <f t="shared" si="38"/>
        <v>2.6926299777362683E-7</v>
      </c>
      <c r="M620" s="568" t="s">
        <v>340</v>
      </c>
      <c r="N620" s="567" t="s">
        <v>2921</v>
      </c>
      <c r="O620" s="605"/>
      <c r="P620" s="801"/>
      <c r="Q620" s="567"/>
      <c r="R620" s="801"/>
    </row>
    <row r="621" spans="1:18" customFormat="1" ht="12.75" customHeight="1" x14ac:dyDescent="0.2">
      <c r="A621" s="567" t="s">
        <v>2922</v>
      </c>
      <c r="B621" s="567"/>
      <c r="C621" s="567"/>
      <c r="D621" s="567"/>
      <c r="E621" s="567"/>
      <c r="F621" s="567"/>
      <c r="G621" s="568" t="s">
        <v>3253</v>
      </c>
      <c r="H621" s="568" t="s">
        <v>340</v>
      </c>
      <c r="I621" s="678"/>
      <c r="J621" s="294" t="str">
        <f>IF(ISBLANK(HLOOKUP(CaseName,CaseData,MATCH($G621,cases!$G$4:$G$2458,0),FALSE)),"",HLOOKUP(CaseName,CaseData,MATCH($G621,cases!$G$4:$G$2458,0),FALSE))</f>
        <v/>
      </c>
      <c r="K621" s="577">
        <f>IF((SetVelA.w*L341*L340)/(L336)&gt;0,(SetVelA.w*L341*L340)/(L336)+L363,L363)</f>
        <v>2.6975179239081738E-7</v>
      </c>
      <c r="L621" s="298">
        <f t="shared" si="38"/>
        <v>2.6975179239081738E-7</v>
      </c>
      <c r="M621" s="568" t="s">
        <v>340</v>
      </c>
      <c r="N621" s="567" t="s">
        <v>2921</v>
      </c>
      <c r="O621" s="605"/>
      <c r="P621" s="801"/>
      <c r="Q621" s="567"/>
      <c r="R621" s="801"/>
    </row>
    <row r="622" spans="1:18" customFormat="1" ht="12.75" customHeight="1" x14ac:dyDescent="0.2">
      <c r="A622" s="567" t="s">
        <v>2924</v>
      </c>
      <c r="B622" s="567"/>
      <c r="C622" s="567"/>
      <c r="D622" s="567"/>
      <c r="E622" s="567"/>
      <c r="F622" s="567"/>
      <c r="G622" s="568" t="s">
        <v>3254</v>
      </c>
      <c r="H622" s="568" t="s">
        <v>340</v>
      </c>
      <c r="I622" s="678"/>
      <c r="J622" s="294" t="str">
        <f>IF(ISBLANK(HLOOKUP(CaseName,CaseData,MATCH($G622,cases!$G$4:$G$2458,0),FALSE)),"",HLOOKUP(CaseName,CaseData,MATCH($G622,cases!$G$4:$G$2458,0),FALSE))</f>
        <v/>
      </c>
      <c r="K622" s="577">
        <f>IF((SetVelP.w*L341*L340)/L336&gt;0,(SetVelP.w*L341*L340)/L336+L363,L363)</f>
        <v>5.6336543394225072E-7</v>
      </c>
      <c r="L622" s="298">
        <f t="shared" si="38"/>
        <v>5.6336543394225072E-7</v>
      </c>
      <c r="M622" s="568" t="s">
        <v>340</v>
      </c>
      <c r="N622" s="567" t="s">
        <v>2921</v>
      </c>
      <c r="O622" s="605"/>
      <c r="P622" s="801"/>
      <c r="Q622" s="567"/>
      <c r="R622" s="801"/>
    </row>
    <row r="623" spans="1:18" customFormat="1" ht="12.75" customHeight="1" x14ac:dyDescent="0.2">
      <c r="A623" s="567" t="s">
        <v>2926</v>
      </c>
      <c r="B623" s="567"/>
      <c r="C623" s="567"/>
      <c r="D623" s="567"/>
      <c r="E623" s="567"/>
      <c r="F623" s="567"/>
      <c r="G623" s="568" t="s">
        <v>3255</v>
      </c>
      <c r="H623" s="568" t="s">
        <v>340</v>
      </c>
      <c r="I623" s="678"/>
      <c r="J623" s="294" t="str">
        <f>IF(ISBLANK(HLOOKUP(CaseName,CaseData,MATCH($G623,cases!$G$4:$G$2458,0),FALSE)),"",HLOOKUP(CaseName,CaseData,MATCH($G623,cases!$G$4:$G$2458,0),FALSE))</f>
        <v/>
      </c>
      <c r="K623" s="577">
        <f>IF((SetVelS.w*L341*L340)/(L337)&gt;0,(SetVelS.w*L341*L340)/(L337),0)</f>
        <v>5.8597471723220236E-14</v>
      </c>
      <c r="L623" s="298">
        <f t="shared" si="38"/>
        <v>5.8597471723220236E-14</v>
      </c>
      <c r="M623" s="568" t="s">
        <v>340</v>
      </c>
      <c r="N623" s="567"/>
      <c r="O623" s="605"/>
      <c r="P623" s="801"/>
      <c r="Q623" s="567"/>
      <c r="R623" s="801"/>
    </row>
    <row r="624" spans="1:18" customFormat="1" ht="12.75" customHeight="1" x14ac:dyDescent="0.2">
      <c r="A624" s="567" t="s">
        <v>2928</v>
      </c>
      <c r="B624" s="567"/>
      <c r="C624" s="567"/>
      <c r="D624" s="567"/>
      <c r="E624" s="567"/>
      <c r="F624" s="567"/>
      <c r="G624" s="568" t="s">
        <v>3256</v>
      </c>
      <c r="H624" s="568" t="s">
        <v>340</v>
      </c>
      <c r="I624" s="678"/>
      <c r="J624" s="294" t="str">
        <f>IF(ISBLANK(HLOOKUP(CaseName,CaseData,MATCH($G624,cases!$G$4:$G$2458,0),FALSE)),"",HLOOKUP(CaseName,CaseData,MATCH($G624,cases!$G$4:$G$2458,0),FALSE))</f>
        <v/>
      </c>
      <c r="K624" s="577">
        <f>IF((SetVelA.w*L341*L340)/(L337)&gt;0,(SetVelA.w*L341*L340)/(L337),0)</f>
        <v>1.6351751378075908E-11</v>
      </c>
      <c r="L624" s="298">
        <f t="shared" si="38"/>
        <v>1.6351751378075908E-11</v>
      </c>
      <c r="M624" s="568" t="s">
        <v>340</v>
      </c>
      <c r="N624" s="567"/>
      <c r="O624" s="605"/>
      <c r="P624" s="801"/>
      <c r="Q624" s="567"/>
      <c r="R624" s="801"/>
    </row>
    <row r="625" spans="1:20" customFormat="1" ht="12.75" customHeight="1" x14ac:dyDescent="0.2">
      <c r="A625" s="567" t="s">
        <v>3257</v>
      </c>
      <c r="B625" s="567"/>
      <c r="C625" s="567"/>
      <c r="D625" s="567"/>
      <c r="E625" s="567"/>
      <c r="F625" s="567"/>
      <c r="G625" s="568" t="s">
        <v>3258</v>
      </c>
      <c r="H625" s="568" t="s">
        <v>340</v>
      </c>
      <c r="I625" s="678"/>
      <c r="J625" s="294" t="str">
        <f>IF(ISBLANK(HLOOKUP(CaseName,CaseData,MATCH($G625,cases!$G$4:$G$2458,0),FALSE)),"",HLOOKUP(CaseName,CaseData,MATCH($G625,cases!$G$4:$G$2458,0),FALSE))</f>
        <v/>
      </c>
      <c r="K625" s="577">
        <f>IF((SetVelP.w*L341*L340)/L337&gt;0,(SetVelP.w*L341*L340)/L337,0)</f>
        <v>9.8034731364258516E-9</v>
      </c>
      <c r="L625" s="298">
        <f t="shared" si="38"/>
        <v>9.8034731364258516E-9</v>
      </c>
      <c r="M625" s="568" t="s">
        <v>340</v>
      </c>
      <c r="N625" s="567"/>
      <c r="O625" s="605"/>
      <c r="P625" s="801"/>
      <c r="Q625" s="567"/>
      <c r="R625" s="801"/>
    </row>
    <row r="626" spans="1:20" customFormat="1" ht="12.75" customHeight="1" x14ac:dyDescent="0.2">
      <c r="A626" s="567" t="s">
        <v>2932</v>
      </c>
      <c r="B626" s="567"/>
      <c r="C626" s="567"/>
      <c r="D626" s="567"/>
      <c r="E626" s="567"/>
      <c r="F626" s="567"/>
      <c r="G626" s="568" t="s">
        <v>3259</v>
      </c>
      <c r="H626" s="568" t="s">
        <v>340</v>
      </c>
      <c r="I626" s="678"/>
      <c r="J626" s="294" t="str">
        <f>IF(ISBLANK(HLOOKUP(CaseName,CaseData,MATCH($G626,cases!$G$4:$G$2458,0),FALSE)),"",HLOOKUP(CaseName,CaseData,MATCH($G626,cases!$G$4:$G$2458,0),FALSE))</f>
        <v/>
      </c>
      <c r="K626" s="577">
        <f>$L$430/$L$346</f>
        <v>9.6429477422628121E-9</v>
      </c>
      <c r="L626" s="298">
        <f t="shared" ref="L626:L631" si="39">IF(ISBLANK(I626),IF(ISNUMBER(J626)=FALSE,K626,J626),I626)</f>
        <v>9.6429477422628121E-9</v>
      </c>
      <c r="M626" s="568" t="s">
        <v>340</v>
      </c>
      <c r="N626" s="567" t="s">
        <v>1850</v>
      </c>
      <c r="O626" s="605"/>
      <c r="P626" s="567"/>
    </row>
    <row r="627" spans="1:20" customFormat="1" ht="12.75" customHeight="1" x14ac:dyDescent="0.2">
      <c r="A627" s="567" t="s">
        <v>2934</v>
      </c>
      <c r="B627" s="567"/>
      <c r="C627" s="567"/>
      <c r="D627" s="567"/>
      <c r="E627" s="567"/>
      <c r="F627" s="567"/>
      <c r="G627" s="568" t="s">
        <v>3260</v>
      </c>
      <c r="H627" s="568" t="s">
        <v>340</v>
      </c>
      <c r="I627" s="678"/>
      <c r="J627" s="294" t="str">
        <f>IF(ISBLANK(HLOOKUP(CaseName,CaseData,MATCH($G627,cases!$G$4:$G$2458,0),FALSE)),"",HLOOKUP(CaseName,CaseData,MATCH($G627,cases!$G$4:$G$2458,0),FALSE))</f>
        <v/>
      </c>
      <c r="K627" s="577">
        <f>$L$430/$L$346</f>
        <v>9.6429477422628121E-9</v>
      </c>
      <c r="L627" s="298">
        <f t="shared" si="39"/>
        <v>9.6429477422628121E-9</v>
      </c>
      <c r="M627" s="568" t="s">
        <v>340</v>
      </c>
      <c r="N627" s="567" t="s">
        <v>1850</v>
      </c>
      <c r="O627" s="605"/>
      <c r="P627" s="567"/>
    </row>
    <row r="628" spans="1:20" customFormat="1" ht="12.75" customHeight="1" x14ac:dyDescent="0.2">
      <c r="A628" s="567" t="s">
        <v>2936</v>
      </c>
      <c r="B628" s="567"/>
      <c r="C628" s="567"/>
      <c r="D628" s="567"/>
      <c r="E628" s="567"/>
      <c r="F628" s="567"/>
      <c r="G628" s="568" t="s">
        <v>3261</v>
      </c>
      <c r="H628" s="568" t="s">
        <v>340</v>
      </c>
      <c r="I628" s="678"/>
      <c r="J628" s="294" t="str">
        <f>IF(ISBLANK(HLOOKUP(CaseName,CaseData,MATCH($G628,cases!$G$4:$G$2458,0),FALSE)),"",HLOOKUP(CaseName,CaseData,MATCH($G628,cases!$G$4:$G$2458,0),FALSE))</f>
        <v/>
      </c>
      <c r="K628" s="577">
        <f>$L$430/$L$346</f>
        <v>9.6429477422628121E-9</v>
      </c>
      <c r="L628" s="298">
        <f t="shared" si="39"/>
        <v>9.6429477422628121E-9</v>
      </c>
      <c r="M628" s="568" t="s">
        <v>340</v>
      </c>
      <c r="N628" s="567" t="s">
        <v>1850</v>
      </c>
      <c r="O628" s="605"/>
      <c r="P628" s="567"/>
    </row>
    <row r="629" spans="1:20" customFormat="1" ht="12.75" customHeight="1" x14ac:dyDescent="0.2">
      <c r="A629" s="567" t="s">
        <v>1867</v>
      </c>
      <c r="B629" s="567"/>
      <c r="C629" s="567"/>
      <c r="D629" s="567"/>
      <c r="E629" s="567"/>
      <c r="F629" s="567"/>
      <c r="G629" s="568" t="s">
        <v>3262</v>
      </c>
      <c r="H629" s="568" t="s">
        <v>340</v>
      </c>
      <c r="I629" s="678"/>
      <c r="J629" s="294" t="str">
        <f>IF(ISBLANK(HLOOKUP(CaseName,CaseData,MATCH($G629,cases!$G$4:$G$2458,0),FALSE)),"",HLOOKUP(CaseName,CaseData,MATCH($G629,cases!$G$4:$G$2458,0),FALSE))</f>
        <v/>
      </c>
      <c r="K629" s="577">
        <f>((L442*L414*L443+L441)/L347)</f>
        <v>5.0387931303446822E-8</v>
      </c>
      <c r="L629" s="298">
        <f t="shared" si="39"/>
        <v>5.0387931303446822E-8</v>
      </c>
      <c r="M629" s="568" t="s">
        <v>340</v>
      </c>
      <c r="N629" s="567" t="s">
        <v>1869</v>
      </c>
      <c r="O629" s="680"/>
      <c r="P629" s="567"/>
    </row>
    <row r="630" spans="1:20" customFormat="1" ht="12.75" customHeight="1" x14ac:dyDescent="0.2">
      <c r="A630" s="567" t="s">
        <v>1874</v>
      </c>
      <c r="B630" s="567"/>
      <c r="C630" s="567"/>
      <c r="D630" s="567"/>
      <c r="E630" s="567"/>
      <c r="F630" s="567"/>
      <c r="G630" s="568" t="s">
        <v>3263</v>
      </c>
      <c r="H630" s="568" t="s">
        <v>340</v>
      </c>
      <c r="I630" s="678"/>
      <c r="J630" s="294" t="str">
        <f>IF(ISBLANK(HLOOKUP(CaseName,CaseData,MATCH($G630,cases!$G$4:$G$2458,0),FALSE)),"",HLOOKUP(CaseName,CaseData,MATCH($G630,cases!$G$4:$G$2458,0),FALSE))</f>
        <v/>
      </c>
      <c r="K630" s="577">
        <f>((L442*L414*L443+L441)/L347)</f>
        <v>5.0387931303446822E-8</v>
      </c>
      <c r="L630" s="298">
        <f t="shared" si="39"/>
        <v>5.0387931303446822E-8</v>
      </c>
      <c r="M630" s="568" t="s">
        <v>340</v>
      </c>
      <c r="N630" s="567" t="s">
        <v>1869</v>
      </c>
      <c r="O630" s="605"/>
      <c r="P630" s="567"/>
    </row>
    <row r="631" spans="1:20" customFormat="1" ht="12.75" customHeight="1" x14ac:dyDescent="0.2">
      <c r="A631" s="567" t="s">
        <v>1880</v>
      </c>
      <c r="B631" s="567"/>
      <c r="C631" s="567"/>
      <c r="D631" s="567"/>
      <c r="E631" s="567"/>
      <c r="F631" s="567"/>
      <c r="G631" s="568" t="s">
        <v>3264</v>
      </c>
      <c r="H631" s="568" t="s">
        <v>340</v>
      </c>
      <c r="I631" s="678"/>
      <c r="J631" s="294" t="str">
        <f>IF(ISBLANK(HLOOKUP(CaseName,CaseData,MATCH($G631,cases!$G$4:$G$2458,0),FALSE)),"",HLOOKUP(CaseName,CaseData,MATCH($G631,cases!$G$4:$G$2458,0),FALSE))</f>
        <v/>
      </c>
      <c r="K631" s="577">
        <f>(L441)/L347</f>
        <v>1.9025875190258751E-11</v>
      </c>
      <c r="L631" s="298">
        <f t="shared" si="39"/>
        <v>1.9025875190258751E-11</v>
      </c>
      <c r="M631" s="568" t="s">
        <v>340</v>
      </c>
      <c r="N631" s="567" t="s">
        <v>1882</v>
      </c>
      <c r="O631" s="605"/>
      <c r="P631" s="567"/>
    </row>
    <row r="632" spans="1:20" customFormat="1" ht="12.75" customHeight="1" x14ac:dyDescent="0.2">
      <c r="A632" s="631" t="s">
        <v>3265</v>
      </c>
      <c r="B632" s="413"/>
      <c r="C632" s="413"/>
      <c r="D632" s="413"/>
      <c r="E632" s="413"/>
      <c r="F632" s="413"/>
      <c r="G632" s="631"/>
      <c r="H632" s="631"/>
      <c r="I632" s="413"/>
      <c r="J632" s="294" t="str">
        <f>IF(ISBLANK(HLOOKUP(CaseName,CaseData,MATCH($G632,cases!$G$4:$G$2458,0),FALSE)),"",HLOOKUP(CaseName,CaseData,MATCH($G632,cases!$G$4:$G$2458,0),FALSE))</f>
        <v/>
      </c>
      <c r="K632" s="648"/>
      <c r="L632" s="649"/>
      <c r="N632" s="172"/>
      <c r="O632" s="176"/>
    </row>
    <row r="633" spans="1:20" customFormat="1" ht="12.75" customHeight="1" x14ac:dyDescent="0.2">
      <c r="A633" s="568" t="s">
        <v>1322</v>
      </c>
      <c r="B633" s="567"/>
      <c r="C633" s="567"/>
      <c r="D633" s="567"/>
      <c r="E633" s="567"/>
      <c r="F633" s="567"/>
      <c r="G633" s="568" t="s">
        <v>3266</v>
      </c>
      <c r="H633" s="568" t="s">
        <v>624</v>
      </c>
      <c r="I633" s="682"/>
      <c r="J633" s="294" t="str">
        <f>IF(ISBLANK(HLOOKUP(CaseName,CaseData,MATCH($G633,cases!$G$4:$G$2458,0),FALSE)),"",HLOOKUP(CaseName,CaseData,MATCH($G633,cases!$G$4:$G$2458,0),FALSE))</f>
        <v/>
      </c>
      <c r="K633" s="577">
        <f>L452+kdegS.a</f>
        <v>3.663258818281463E-10</v>
      </c>
      <c r="L633" s="298">
        <f t="shared" ref="L633:L649" si="40">IF(ISBLANK(I633),IF(ISNUMBER(J633)=FALSE,K633,J633),I633)</f>
        <v>3.663258818281463E-10</v>
      </c>
      <c r="M633" s="567" t="s">
        <v>1048</v>
      </c>
      <c r="N633" s="568"/>
      <c r="O633" s="605"/>
      <c r="P633" s="578"/>
      <c r="Q633" s="577"/>
      <c r="R633" s="386"/>
      <c r="S633" s="806"/>
      <c r="T633" s="386"/>
    </row>
    <row r="634" spans="1:20" customFormat="1" ht="12.75" customHeight="1" x14ac:dyDescent="0.2">
      <c r="A634" s="568" t="s">
        <v>1322</v>
      </c>
      <c r="B634" s="567"/>
      <c r="C634" s="567"/>
      <c r="D634" s="567"/>
      <c r="E634" s="567"/>
      <c r="F634" s="567"/>
      <c r="G634" s="568" t="s">
        <v>3267</v>
      </c>
      <c r="H634" s="568" t="s">
        <v>624</v>
      </c>
      <c r="I634" s="682"/>
      <c r="J634" s="294" t="str">
        <f>IF(ISBLANK(HLOOKUP(CaseName,CaseData,MATCH($G634,cases!$G$4:$G$2458,0),FALSE)),"",HLOOKUP(CaseName,CaseData,MATCH($G634,cases!$G$4:$G$2458,0),FALSE))</f>
        <v/>
      </c>
      <c r="K634" s="577">
        <f>L452+kdegA.a</f>
        <v>3.663258818281463E-10</v>
      </c>
      <c r="L634" s="298">
        <f t="shared" si="40"/>
        <v>3.663258818281463E-10</v>
      </c>
      <c r="M634" s="567" t="s">
        <v>1048</v>
      </c>
      <c r="N634" s="568"/>
      <c r="O634" s="605"/>
      <c r="P634" s="578"/>
      <c r="Q634" s="577"/>
      <c r="R634" s="386"/>
      <c r="S634" s="806"/>
      <c r="T634" s="386"/>
    </row>
    <row r="635" spans="1:20" customFormat="1" ht="12.75" customHeight="1" x14ac:dyDescent="0.2">
      <c r="A635" s="568" t="s">
        <v>1322</v>
      </c>
      <c r="B635" s="567"/>
      <c r="C635" s="567"/>
      <c r="D635" s="567"/>
      <c r="E635" s="567"/>
      <c r="F635" s="567"/>
      <c r="G635" s="568" t="s">
        <v>3268</v>
      </c>
      <c r="H635" s="568" t="s">
        <v>624</v>
      </c>
      <c r="I635" s="682"/>
      <c r="J635" s="294" t="str">
        <f>IF(ISBLANK(HLOOKUP(CaseName,CaseData,MATCH($G635,cases!$G$4:$G$2458,0),FALSE)),"",HLOOKUP(CaseName,CaseData,MATCH($G635,cases!$G$4:$G$2458,0),FALSE))</f>
        <v/>
      </c>
      <c r="K635" s="577">
        <f>L452+kdegP.a</f>
        <v>3.663258818281463E-10</v>
      </c>
      <c r="L635" s="298">
        <f t="shared" si="40"/>
        <v>3.663258818281463E-10</v>
      </c>
      <c r="M635" s="567" t="s">
        <v>1048</v>
      </c>
      <c r="N635" s="568"/>
      <c r="O635" s="605"/>
      <c r="P635" s="578"/>
      <c r="Q635" s="577"/>
      <c r="R635" s="386"/>
      <c r="S635" s="806"/>
      <c r="T635" s="386"/>
    </row>
    <row r="636" spans="1:20" customFormat="1" ht="12.75" customHeight="1" x14ac:dyDescent="0.2">
      <c r="A636" s="568" t="s">
        <v>1324</v>
      </c>
      <c r="B636" s="567"/>
      <c r="C636" s="567"/>
      <c r="D636" s="567"/>
      <c r="E636" s="567"/>
      <c r="F636" s="567"/>
      <c r="G636" s="568" t="s">
        <v>3269</v>
      </c>
      <c r="H636" s="568" t="s">
        <v>624</v>
      </c>
      <c r="I636" s="682"/>
      <c r="J636" s="294" t="str">
        <f>IF(ISBLANK(HLOOKUP(CaseName,CaseData,MATCH($G636,cases!$G$4:$G$2458,0),FALSE)),"",HLOOKUP(CaseName,CaseData,MATCH($G636,cases!$G$4:$G$2458,0),FALSE))</f>
        <v/>
      </c>
      <c r="K636" s="577">
        <f>kdegS.w2</f>
        <v>0</v>
      </c>
      <c r="L636" s="298">
        <f t="shared" si="40"/>
        <v>0</v>
      </c>
      <c r="M636" s="567" t="s">
        <v>1892</v>
      </c>
      <c r="N636" s="568"/>
      <c r="O636" s="605"/>
      <c r="P636" s="578"/>
      <c r="Q636" s="577"/>
      <c r="R636" s="386"/>
      <c r="S636" s="806"/>
      <c r="T636" s="386"/>
    </row>
    <row r="637" spans="1:20" customFormat="1" ht="12.75" customHeight="1" x14ac:dyDescent="0.2">
      <c r="A637" s="568" t="s">
        <v>1324</v>
      </c>
      <c r="B637" s="567"/>
      <c r="C637" s="567"/>
      <c r="D637" s="567"/>
      <c r="E637" s="567"/>
      <c r="F637" s="567"/>
      <c r="G637" s="568" t="s">
        <v>3270</v>
      </c>
      <c r="H637" s="568" t="s">
        <v>624</v>
      </c>
      <c r="I637" s="682"/>
      <c r="J637" s="294" t="str">
        <f>IF(ISBLANK(HLOOKUP(CaseName,CaseData,MATCH($G637,cases!$G$4:$G$2458,0),FALSE)),"",HLOOKUP(CaseName,CaseData,MATCH($G637,cases!$G$4:$G$2458,0),FALSE))</f>
        <v/>
      </c>
      <c r="K637" s="577">
        <f>kdegA.w2</f>
        <v>0</v>
      </c>
      <c r="L637" s="298">
        <f t="shared" si="40"/>
        <v>0</v>
      </c>
      <c r="M637" s="567" t="s">
        <v>1892</v>
      </c>
      <c r="N637" s="568"/>
      <c r="O637" s="605"/>
      <c r="P637" s="578"/>
      <c r="Q637" s="577"/>
      <c r="R637" s="386"/>
      <c r="S637" s="806"/>
      <c r="T637" s="386"/>
    </row>
    <row r="638" spans="1:20" customFormat="1" ht="12.75" customHeight="1" x14ac:dyDescent="0.2">
      <c r="A638" s="568" t="s">
        <v>1324</v>
      </c>
      <c r="B638" s="567"/>
      <c r="C638" s="567"/>
      <c r="D638" s="567"/>
      <c r="E638" s="567"/>
      <c r="F638" s="567"/>
      <c r="G638" s="568" t="s">
        <v>3271</v>
      </c>
      <c r="H638" s="568" t="s">
        <v>624</v>
      </c>
      <c r="I638" s="682"/>
      <c r="J638" s="294" t="str">
        <f>IF(ISBLANK(HLOOKUP(CaseName,CaseData,MATCH($G638,cases!$G$4:$G$2458,0),FALSE)),"",HLOOKUP(CaseName,CaseData,MATCH($G638,cases!$G$4:$G$2458,0),FALSE))</f>
        <v/>
      </c>
      <c r="K638" s="577">
        <f>kdegP.w2</f>
        <v>0</v>
      </c>
      <c r="L638" s="298">
        <f t="shared" si="40"/>
        <v>0</v>
      </c>
      <c r="M638" s="567" t="s">
        <v>1892</v>
      </c>
      <c r="N638" s="568"/>
      <c r="O638" s="605"/>
      <c r="P638" s="578"/>
      <c r="Q638" s="577"/>
      <c r="R638" s="386"/>
      <c r="S638" s="806"/>
      <c r="T638" s="386"/>
    </row>
    <row r="639" spans="1:20" customFormat="1" ht="12.75" customHeight="1" x14ac:dyDescent="0.2">
      <c r="A639" s="568" t="s">
        <v>1326</v>
      </c>
      <c r="B639" s="567"/>
      <c r="C639" s="567"/>
      <c r="D639" s="567"/>
      <c r="E639" s="567"/>
      <c r="F639" s="567"/>
      <c r="G639" s="568" t="s">
        <v>3272</v>
      </c>
      <c r="H639" s="568" t="s">
        <v>624</v>
      </c>
      <c r="I639" s="682"/>
      <c r="J639" s="294" t="str">
        <f>IF(ISBLANK(HLOOKUP(CaseName,CaseData,MATCH($G639,cases!$G$4:$G$2458,0),FALSE)),"",HLOOKUP(CaseName,CaseData,MATCH($G639,cases!$G$4:$G$2458,0),FALSE))</f>
        <v/>
      </c>
      <c r="K639" s="577">
        <f>kdegS.w3</f>
        <v>0</v>
      </c>
      <c r="L639" s="298">
        <f t="shared" si="40"/>
        <v>0</v>
      </c>
      <c r="M639" s="567" t="s">
        <v>1892</v>
      </c>
      <c r="N639" s="568"/>
      <c r="O639" s="605"/>
      <c r="P639" s="578"/>
      <c r="Q639" s="577"/>
      <c r="R639" s="386"/>
      <c r="S639" s="806"/>
      <c r="T639" s="386"/>
    </row>
    <row r="640" spans="1:20" customFormat="1" ht="12.75" customHeight="1" x14ac:dyDescent="0.2">
      <c r="A640" s="568" t="s">
        <v>1326</v>
      </c>
      <c r="B640" s="567"/>
      <c r="C640" s="567"/>
      <c r="D640" s="567"/>
      <c r="E640" s="567"/>
      <c r="F640" s="567"/>
      <c r="G640" s="568" t="s">
        <v>3273</v>
      </c>
      <c r="H640" s="568" t="s">
        <v>624</v>
      </c>
      <c r="I640" s="682"/>
      <c r="J640" s="294" t="str">
        <f>IF(ISBLANK(HLOOKUP(CaseName,CaseData,MATCH($G640,cases!$G$4:$G$2458,0),FALSE)),"",HLOOKUP(CaseName,CaseData,MATCH($G640,cases!$G$4:$G$2458,0),FALSE))</f>
        <v/>
      </c>
      <c r="K640" s="577">
        <f>kdegA.w3</f>
        <v>0</v>
      </c>
      <c r="L640" s="298">
        <f t="shared" si="40"/>
        <v>0</v>
      </c>
      <c r="M640" s="567" t="s">
        <v>1892</v>
      </c>
      <c r="N640" s="568"/>
      <c r="O640" s="605"/>
      <c r="P640" s="578"/>
      <c r="Q640" s="577"/>
      <c r="R640" s="386"/>
      <c r="S640" s="806"/>
      <c r="T640" s="386"/>
    </row>
    <row r="641" spans="1:20" customFormat="1" ht="12.75" customHeight="1" x14ac:dyDescent="0.2">
      <c r="A641" s="568" t="s">
        <v>1326</v>
      </c>
      <c r="B641" s="567"/>
      <c r="C641" s="567"/>
      <c r="D641" s="567"/>
      <c r="E641" s="567"/>
      <c r="F641" s="567"/>
      <c r="G641" s="568" t="s">
        <v>3274</v>
      </c>
      <c r="H641" s="568" t="s">
        <v>624</v>
      </c>
      <c r="I641" s="682"/>
      <c r="J641" s="294" t="str">
        <f>IF(ISBLANK(HLOOKUP(CaseName,CaseData,MATCH($G641,cases!$G$4:$G$2458,0),FALSE)),"",HLOOKUP(CaseName,CaseData,MATCH($G641,cases!$G$4:$G$2458,0),FALSE))</f>
        <v/>
      </c>
      <c r="K641" s="577">
        <f>kdegP.w3</f>
        <v>0</v>
      </c>
      <c r="L641" s="298">
        <f t="shared" si="40"/>
        <v>0</v>
      </c>
      <c r="M641" s="567" t="s">
        <v>1892</v>
      </c>
      <c r="N641" s="568"/>
      <c r="O641" s="605"/>
      <c r="P641" s="578"/>
      <c r="Q641" s="577"/>
      <c r="R641" s="386"/>
      <c r="S641" s="806"/>
      <c r="T641" s="386"/>
    </row>
    <row r="642" spans="1:20" customFormat="1" ht="12.75" customHeight="1" x14ac:dyDescent="0.2">
      <c r="A642" s="568" t="s">
        <v>1330</v>
      </c>
      <c r="B642" s="567"/>
      <c r="C642" s="567"/>
      <c r="D642" s="567"/>
      <c r="E642" s="567"/>
      <c r="F642" s="567"/>
      <c r="G642" s="568" t="s">
        <v>3275</v>
      </c>
      <c r="H642" s="568" t="s">
        <v>624</v>
      </c>
      <c r="I642" s="682"/>
      <c r="J642" s="294" t="str">
        <f>IF(ISBLANK(HLOOKUP(CaseName,CaseData,MATCH($G642,cases!$G$4:$G$2458,0),FALSE)),"",HLOOKUP(CaseName,CaseData,MATCH($G642,cases!$G$4:$G$2458,0),FALSE))</f>
        <v/>
      </c>
      <c r="K642" s="577">
        <f>L649+kdegS.sd2</f>
        <v>2.1139861322509499E-12</v>
      </c>
      <c r="L642" s="298">
        <f t="shared" si="40"/>
        <v>2.1139861322509499E-12</v>
      </c>
      <c r="M642" s="567" t="s">
        <v>1892</v>
      </c>
      <c r="N642" s="568"/>
      <c r="O642" s="605"/>
      <c r="P642" s="806"/>
      <c r="Q642" s="577"/>
      <c r="R642" s="386"/>
      <c r="S642" s="806"/>
      <c r="T642" s="386"/>
    </row>
    <row r="643" spans="1:20" customFormat="1" ht="12.75" customHeight="1" x14ac:dyDescent="0.2">
      <c r="A643" s="568" t="s">
        <v>1330</v>
      </c>
      <c r="B643" s="567"/>
      <c r="C643" s="567"/>
      <c r="D643" s="567"/>
      <c r="E643" s="567"/>
      <c r="F643" s="567"/>
      <c r="G643" s="568" t="s">
        <v>3276</v>
      </c>
      <c r="H643" s="568" t="s">
        <v>624</v>
      </c>
      <c r="I643" s="682"/>
      <c r="J643" s="294" t="str">
        <f>IF(ISBLANK(HLOOKUP(CaseName,CaseData,MATCH($G643,cases!$G$4:$G$2458,0),FALSE)),"",HLOOKUP(CaseName,CaseData,MATCH($G643,cases!$G$4:$G$2458,0),FALSE))</f>
        <v/>
      </c>
      <c r="K643" s="577">
        <f>L649+kdegA.sd2</f>
        <v>2.1139861322509499E-12</v>
      </c>
      <c r="L643" s="298">
        <f t="shared" si="40"/>
        <v>2.1139861322509499E-12</v>
      </c>
      <c r="M643" s="567" t="s">
        <v>1892</v>
      </c>
      <c r="N643" s="568"/>
      <c r="O643" s="605"/>
      <c r="P643" s="806"/>
      <c r="Q643" s="577"/>
      <c r="R643" s="386"/>
      <c r="S643" s="806"/>
      <c r="T643" s="386"/>
    </row>
    <row r="644" spans="1:20" customFormat="1" ht="12.75" customHeight="1" x14ac:dyDescent="0.2">
      <c r="A644" s="568" t="s">
        <v>1330</v>
      </c>
      <c r="B644" s="567"/>
      <c r="C644" s="567"/>
      <c r="D644" s="567"/>
      <c r="E644" s="567"/>
      <c r="F644" s="567"/>
      <c r="G644" s="568" t="s">
        <v>3277</v>
      </c>
      <c r="H644" s="568" t="s">
        <v>624</v>
      </c>
      <c r="I644" s="682"/>
      <c r="J644" s="294" t="str">
        <f>IF(ISBLANK(HLOOKUP(CaseName,CaseData,MATCH($G644,cases!$G$4:$G$2458,0),FALSE)),"",HLOOKUP(CaseName,CaseData,MATCH($G644,cases!$G$4:$G$2458,0),FALSE))</f>
        <v/>
      </c>
      <c r="K644" s="577">
        <f>L649+kdegP.sd2</f>
        <v>2.1139861322509499E-12</v>
      </c>
      <c r="L644" s="298">
        <f t="shared" si="40"/>
        <v>2.1139861322509499E-12</v>
      </c>
      <c r="M644" s="567" t="s">
        <v>1892</v>
      </c>
      <c r="N644" s="568"/>
      <c r="O644" s="605"/>
      <c r="P644" s="806"/>
      <c r="Q644" s="577"/>
      <c r="R644" s="386"/>
      <c r="S644" s="806"/>
      <c r="T644" s="386"/>
    </row>
    <row r="645" spans="1:20" customFormat="1" ht="12.75" customHeight="1" x14ac:dyDescent="0.2">
      <c r="A645" s="568" t="s">
        <v>1336</v>
      </c>
      <c r="B645" s="567"/>
      <c r="C645" s="567"/>
      <c r="D645" s="567"/>
      <c r="E645" s="567"/>
      <c r="F645" s="567"/>
      <c r="G645" s="568" t="s">
        <v>3278</v>
      </c>
      <c r="H645" s="568" t="s">
        <v>624</v>
      </c>
      <c r="I645" s="682"/>
      <c r="J645" s="294" t="str">
        <f>IF(ISBLANK(HLOOKUP(CaseName,CaseData,MATCH($G645,cases!$G$4:$G$2458,0),FALSE)),"",HLOOKUP(CaseName,CaseData,MATCH($G645,cases!$G$4:$G$2458,0),FALSE))</f>
        <v/>
      </c>
      <c r="K645" s="577">
        <f>L648+kdegS.s1</f>
        <v>3.3938301517754099E-10</v>
      </c>
      <c r="L645" s="298">
        <f t="shared" si="40"/>
        <v>3.3938301517754099E-10</v>
      </c>
      <c r="M645" s="567" t="s">
        <v>1892</v>
      </c>
      <c r="N645" s="568"/>
      <c r="O645" s="605"/>
      <c r="P645" s="806"/>
      <c r="Q645" s="577"/>
      <c r="R645" s="386"/>
      <c r="S645" s="806"/>
      <c r="T645" s="386"/>
    </row>
    <row r="646" spans="1:20" customFormat="1" ht="12.75" customHeight="1" x14ac:dyDescent="0.2">
      <c r="A646" s="568" t="s">
        <v>1336</v>
      </c>
      <c r="B646" s="567"/>
      <c r="C646" s="567"/>
      <c r="D646" s="567"/>
      <c r="E646" s="567"/>
      <c r="F646" s="567"/>
      <c r="G646" s="568" t="s">
        <v>3279</v>
      </c>
      <c r="H646" s="568" t="s">
        <v>624</v>
      </c>
      <c r="I646" s="682"/>
      <c r="J646" s="294" t="str">
        <f>IF(ISBLANK(HLOOKUP(CaseName,CaseData,MATCH($G646,cases!$G$4:$G$2458,0),FALSE)),"",HLOOKUP(CaseName,CaseData,MATCH($G646,cases!$G$4:$G$2458,0),FALSE))</f>
        <v/>
      </c>
      <c r="K646" s="577">
        <f>L648+kdegA.s1</f>
        <v>3.3938301517754099E-10</v>
      </c>
      <c r="L646" s="298">
        <f t="shared" si="40"/>
        <v>3.3938301517754099E-10</v>
      </c>
      <c r="M646" s="567" t="s">
        <v>1892</v>
      </c>
      <c r="N646" s="568"/>
      <c r="O646" s="605"/>
      <c r="P646" s="806"/>
      <c r="Q646" s="577"/>
      <c r="R646" s="386"/>
      <c r="S646" s="806"/>
      <c r="T646" s="386"/>
    </row>
    <row r="647" spans="1:20" customFormat="1" ht="12.75" customHeight="1" x14ac:dyDescent="0.2">
      <c r="A647" s="568" t="s">
        <v>1336</v>
      </c>
      <c r="B647" s="567"/>
      <c r="C647" s="567"/>
      <c r="D647" s="567"/>
      <c r="E647" s="567"/>
      <c r="F647" s="567"/>
      <c r="G647" s="568" t="s">
        <v>3280</v>
      </c>
      <c r="H647" s="568" t="s">
        <v>624</v>
      </c>
      <c r="I647" s="682"/>
      <c r="J647" s="294" t="str">
        <f>IF(ISBLANK(HLOOKUP(CaseName,CaseData,MATCH($G647,cases!$G$4:$G$2458,0),FALSE)),"",HLOOKUP(CaseName,CaseData,MATCH($G647,cases!$G$4:$G$2458,0),FALSE))</f>
        <v/>
      </c>
      <c r="K647" s="577">
        <f>kdegP.s1</f>
        <v>0</v>
      </c>
      <c r="L647" s="298">
        <f t="shared" si="40"/>
        <v>0</v>
      </c>
      <c r="M647" s="567" t="s">
        <v>1892</v>
      </c>
      <c r="N647" s="568"/>
      <c r="O647" s="605"/>
      <c r="P647" s="578"/>
      <c r="Q647" s="577"/>
      <c r="R647" s="386"/>
      <c r="S647" s="806"/>
      <c r="T647" s="386"/>
    </row>
    <row r="648" spans="1:20" customFormat="1" ht="12.75" customHeight="1" x14ac:dyDescent="0.2">
      <c r="A648" s="567"/>
      <c r="B648" s="567" t="s">
        <v>1919</v>
      </c>
      <c r="C648" s="567"/>
      <c r="D648" s="567"/>
      <c r="E648" s="567"/>
      <c r="F648" s="567"/>
      <c r="G648" s="568" t="s">
        <v>3281</v>
      </c>
      <c r="H648" s="568" t="s">
        <v>340</v>
      </c>
      <c r="I648" s="678"/>
      <c r="J648" s="294" t="str">
        <f>IF(ISBLANK(HLOOKUP(CaseName,CaseData,MATCH($G648,cases!$G$4:$G$2458,0),FALSE)),"",HLOOKUP(CaseName,CaseData,MATCH($G648,cases!$G$4:$G$2458,0),FALSE))</f>
        <v/>
      </c>
      <c r="K648" s="577">
        <f>(L463*L414*L464)/L347</f>
        <v>3.3938301517754099E-10</v>
      </c>
      <c r="L648" s="298">
        <f t="shared" si="40"/>
        <v>3.3938301517754099E-10</v>
      </c>
      <c r="M648" s="567" t="s">
        <v>1892</v>
      </c>
      <c r="N648" s="567" t="s">
        <v>1921</v>
      </c>
      <c r="O648" s="605"/>
      <c r="P648" s="567"/>
    </row>
    <row r="649" spans="1:20" s="487" customFormat="1" ht="12.75" customHeight="1" x14ac:dyDescent="0.2">
      <c r="A649" s="599"/>
      <c r="B649" s="599" t="s">
        <v>1926</v>
      </c>
      <c r="C649" s="599"/>
      <c r="D649" s="599"/>
      <c r="E649" s="599"/>
      <c r="F649" s="599"/>
      <c r="G649" s="602" t="s">
        <v>3282</v>
      </c>
      <c r="H649" s="602" t="s">
        <v>340</v>
      </c>
      <c r="I649" s="683"/>
      <c r="J649" s="294" t="str">
        <f>IF(ISBLANK(HLOOKUP(CaseName,CaseData,MATCH($G649,cases!$G$4:$G$2458,0),FALSE)),"",HLOOKUP(CaseName,CaseData,MATCH($G649,cases!$G$4:$G$2458,0),FALSE))</f>
        <v/>
      </c>
      <c r="K649" s="627">
        <f>L433/L346</f>
        <v>2.1139861322509499E-12</v>
      </c>
      <c r="L649" s="681">
        <f t="shared" si="40"/>
        <v>2.1139861322509499E-12</v>
      </c>
      <c r="M649" s="599" t="s">
        <v>1892</v>
      </c>
      <c r="N649" s="599" t="s">
        <v>1928</v>
      </c>
      <c r="O649" s="677"/>
      <c r="P649" s="599"/>
    </row>
    <row r="650" spans="1:20" ht="12.75" customHeight="1" x14ac:dyDescent="0.2">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2">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2">
      <c r="A652" s="101" t="s">
        <v>3283</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2">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2">
      <c r="A654" s="147" t="s">
        <v>954</v>
      </c>
      <c r="B654" s="147"/>
      <c r="C654" s="147"/>
      <c r="D654" s="147"/>
      <c r="E654" s="147"/>
      <c r="F654" s="147"/>
      <c r="G654" s="148" t="s">
        <v>263</v>
      </c>
      <c r="H654" s="148" t="s">
        <v>279</v>
      </c>
      <c r="I654" s="147" t="s">
        <v>264</v>
      </c>
      <c r="J654" s="271" t="s">
        <v>2960</v>
      </c>
      <c r="K654" s="331" t="s">
        <v>265</v>
      </c>
      <c r="L654" s="331" t="s">
        <v>266</v>
      </c>
      <c r="M654" s="147"/>
      <c r="N654" s="148" t="s">
        <v>267</v>
      </c>
    </row>
    <row r="655" spans="1:20" ht="12.75" customHeight="1" x14ac:dyDescent="0.2">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2">
      <c r="A656" s="38" t="s">
        <v>955</v>
      </c>
      <c r="B656" s="17"/>
      <c r="C656" s="17"/>
      <c r="D656" s="17"/>
      <c r="E656" s="17"/>
      <c r="F656" s="17"/>
      <c r="G656" s="38" t="s">
        <v>3284</v>
      </c>
      <c r="H656" s="38" t="s">
        <v>957</v>
      </c>
      <c r="I656" s="281"/>
      <c r="J656" s="294" t="str">
        <f>IF(ISBLANK(HLOOKUP(CaseName,CaseData,MATCH($G656,cases!$G$4:$G$2458,0),FALSE)),"",HLOOKUP(CaseName,CaseData,MATCH($G656,cases!$G$4:$G$2458,0),FALSE))</f>
        <v/>
      </c>
      <c r="K656" s="428">
        <f>L662*L665*(1-L670)</f>
        <v>1.2749996175E+17</v>
      </c>
      <c r="L656" s="298">
        <f t="shared" ref="L656:L661" si="41">IF(ISBLANK(I656),IF(ISNUMBER(J656)=FALSE,K656,J656),I656)</f>
        <v>1.2749996175E+17</v>
      </c>
      <c r="M656" s="38" t="s">
        <v>958</v>
      </c>
      <c r="N656" s="17"/>
      <c r="O656" s="11"/>
      <c r="P656" s="11"/>
      <c r="Q656" s="11"/>
      <c r="R656" s="11"/>
      <c r="S656" s="11"/>
      <c r="T656" s="11"/>
    </row>
    <row r="657" spans="1:14" s="386" customFormat="1" ht="12.75" customHeight="1" x14ac:dyDescent="0.2">
      <c r="A657" s="568" t="s">
        <v>1935</v>
      </c>
      <c r="B657" s="567"/>
      <c r="C657" s="567"/>
      <c r="D657" s="567"/>
      <c r="E657" s="567"/>
      <c r="F657" s="567"/>
      <c r="G657" s="568" t="s">
        <v>3285</v>
      </c>
      <c r="H657" s="567" t="s">
        <v>957</v>
      </c>
      <c r="I657" s="615"/>
      <c r="J657" s="294" t="str">
        <f>IF(ISBLANK(HLOOKUP(CaseName,CaseData,MATCH($G657,cases!$G$4:$G$2458,0),FALSE)),"",HLOOKUP(CaseName,CaseData,MATCH($G657,cases!$G$4:$G$2458,0),FALSE))</f>
        <v/>
      </c>
      <c r="K657" s="614">
        <f>L670*L656</f>
        <v>38249988525</v>
      </c>
      <c r="L657" s="608">
        <f t="shared" si="41"/>
        <v>38249988525</v>
      </c>
      <c r="M657" s="568" t="s">
        <v>958</v>
      </c>
      <c r="N657" s="567"/>
    </row>
    <row r="658" spans="1:14" ht="12.75" customHeight="1" x14ac:dyDescent="0.2">
      <c r="A658" s="17" t="s">
        <v>2963</v>
      </c>
      <c r="B658" s="17"/>
      <c r="C658" s="17"/>
      <c r="D658" s="17"/>
      <c r="E658" s="17"/>
      <c r="F658" s="17"/>
      <c r="G658" s="38" t="s">
        <v>3286</v>
      </c>
      <c r="H658" s="17" t="s">
        <v>957</v>
      </c>
      <c r="I658" s="281"/>
      <c r="J658" s="294" t="str">
        <f>IF(ISBLANK(HLOOKUP(CaseName,CaseData,MATCH($G658,cases!$G$4:$G$2458,0),FALSE)),"",HLOOKUP(CaseName,CaseData,MATCH($G658,cases!$G$4:$G$2458,0),FALSE))</f>
        <v/>
      </c>
      <c r="K658" s="428">
        <f>L662*L666*L663</f>
        <v>8924999999999999</v>
      </c>
      <c r="L658" s="298">
        <f t="shared" si="41"/>
        <v>8924999999999999</v>
      </c>
      <c r="M658" s="38" t="s">
        <v>958</v>
      </c>
      <c r="N658" s="17"/>
    </row>
    <row r="659" spans="1:14" ht="12.75" customHeight="1" x14ac:dyDescent="0.2">
      <c r="A659" s="38" t="s">
        <v>2965</v>
      </c>
      <c r="B659" s="17"/>
      <c r="C659" s="17"/>
      <c r="D659" s="17"/>
      <c r="E659" s="17"/>
      <c r="F659" s="17"/>
      <c r="G659" s="38" t="s">
        <v>3287</v>
      </c>
      <c r="H659" s="17" t="s">
        <v>957</v>
      </c>
      <c r="I659" s="281"/>
      <c r="J659" s="294" t="str">
        <f>IF(ISBLANK(HLOOKUP(CaseName,CaseData,MATCH($G659,cases!$G$4:$G$2458,0),FALSE)),"",HLOOKUP(CaseName,CaseData,MATCH($G659,cases!$G$4:$G$2458,0),FALSE))</f>
        <v/>
      </c>
      <c r="K659" s="428">
        <f>L662*L667*L663</f>
        <v>2.6774999999999997E+17</v>
      </c>
      <c r="L659" s="298">
        <f t="shared" si="41"/>
        <v>2.6774999999999997E+17</v>
      </c>
      <c r="M659" s="38" t="s">
        <v>958</v>
      </c>
      <c r="N659" s="17"/>
    </row>
    <row r="660" spans="1:14" ht="12.75" customHeight="1" x14ac:dyDescent="0.2">
      <c r="A660" s="38" t="s">
        <v>2538</v>
      </c>
      <c r="B660" s="17"/>
      <c r="C660" s="17"/>
      <c r="D660" s="17"/>
      <c r="E660" s="17"/>
      <c r="F660" s="17"/>
      <c r="G660" s="38" t="s">
        <v>3288</v>
      </c>
      <c r="H660" s="38" t="s">
        <v>957</v>
      </c>
      <c r="I660" s="281"/>
      <c r="J660" s="294" t="str">
        <f>IF(ISBLANK(HLOOKUP(CaseName,CaseData,MATCH($G660,cases!$G$4:$G$2458,0),FALSE)),"",HLOOKUP(CaseName,CaseData,MATCH($G660,cases!$G$4:$G$2458,0),FALSE))</f>
        <v/>
      </c>
      <c r="K660" s="428">
        <f>L662*L668*L663</f>
        <v>2677500000000</v>
      </c>
      <c r="L660" s="298">
        <f t="shared" si="41"/>
        <v>2677500000000</v>
      </c>
      <c r="M660" s="38" t="s">
        <v>958</v>
      </c>
      <c r="N660" s="17"/>
    </row>
    <row r="661" spans="1:14" ht="12.75" customHeight="1" x14ac:dyDescent="0.2">
      <c r="A661" s="38" t="s">
        <v>2540</v>
      </c>
      <c r="B661" s="17"/>
      <c r="C661" s="17"/>
      <c r="D661" s="17"/>
      <c r="E661" s="17"/>
      <c r="F661" s="17"/>
      <c r="G661" s="38" t="s">
        <v>3289</v>
      </c>
      <c r="H661" s="38" t="s">
        <v>957</v>
      </c>
      <c r="I661" s="281"/>
      <c r="J661" s="294" t="str">
        <f>IF(ISBLANK(HLOOKUP(CaseName,CaseData,MATCH($G661,cases!$G$4:$G$2458,0),FALSE)),"",HLOOKUP(CaseName,CaseData,MATCH($G661,cases!$G$4:$G$2458,0),FALSE))</f>
        <v/>
      </c>
      <c r="K661" s="428">
        <f>L662*L664*L669</f>
        <v>1912500000000.0005</v>
      </c>
      <c r="L661" s="298">
        <f t="shared" si="41"/>
        <v>1912500000000.0005</v>
      </c>
      <c r="M661" s="38" t="s">
        <v>958</v>
      </c>
      <c r="N661" s="17"/>
    </row>
    <row r="662" spans="1:14" ht="12.75" customHeight="1" x14ac:dyDescent="0.2">
      <c r="A662" s="17"/>
      <c r="B662" s="38" t="s">
        <v>3290</v>
      </c>
      <c r="C662" s="17"/>
      <c r="D662" s="17"/>
      <c r="E662" s="17"/>
      <c r="F662" s="17"/>
      <c r="G662" s="38" t="s">
        <v>3291</v>
      </c>
      <c r="H662" s="38" t="s">
        <v>679</v>
      </c>
      <c r="I662" s="281"/>
      <c r="J662" s="294" t="str">
        <f>IF(ISBLANK(HLOOKUP(CaseName,CaseData,MATCH($G662,cases!$G$4:$G$2458,0),FALSE)),"",HLOOKUP(CaseName,CaseData,MATCH($G662,cases!$G$4:$G$2458,0),FALSE))</f>
        <v/>
      </c>
      <c r="K662" s="405">
        <v>127500000</v>
      </c>
      <c r="L662" s="298">
        <f>IF(ISBLANK(I662),IF(ISNUMBER(J662)=FALSE,K662*1000000,J662*1000000),I662*1000000)</f>
        <v>127500000000000</v>
      </c>
      <c r="M662" s="38" t="s">
        <v>680</v>
      </c>
      <c r="N662" s="17"/>
    </row>
    <row r="663" spans="1:14" ht="12.75" customHeight="1" x14ac:dyDescent="0.2">
      <c r="A663" s="17"/>
      <c r="B663" s="38" t="s">
        <v>2544</v>
      </c>
      <c r="C663" s="17"/>
      <c r="D663" s="17"/>
      <c r="E663" s="17"/>
      <c r="F663" s="17"/>
      <c r="G663" s="146" t="s">
        <v>3292</v>
      </c>
      <c r="H663" s="38" t="s">
        <v>296</v>
      </c>
      <c r="I663" s="281"/>
      <c r="J663" s="294" t="str">
        <f>IF(ISBLANK(HLOOKUP(CaseName,CaseData,MATCH($G663,cases!$G$4:$G$2458,0),FALSE)),"",HLOOKUP(CaseName,CaseData,MATCH($G663,cases!$G$4:$G$2458,0),FALSE))</f>
        <v/>
      </c>
      <c r="K663" s="405">
        <v>0.7</v>
      </c>
      <c r="L663" s="298">
        <f>IF(ISBLANK(I663),IF(ISNUMBER(J663)=FALSE,K663,J663),I663)</f>
        <v>0.7</v>
      </c>
      <c r="M663" s="17" t="s">
        <v>297</v>
      </c>
      <c r="N663" s="17"/>
    </row>
    <row r="664" spans="1:14" ht="12.75" customHeight="1" x14ac:dyDescent="0.2">
      <c r="A664" s="17"/>
      <c r="B664" s="38" t="s">
        <v>2546</v>
      </c>
      <c r="C664" s="17"/>
      <c r="D664" s="17"/>
      <c r="E664" s="17"/>
      <c r="F664" s="17"/>
      <c r="G664" s="146" t="s">
        <v>3293</v>
      </c>
      <c r="H664" s="38" t="s">
        <v>296</v>
      </c>
      <c r="I664" s="281"/>
      <c r="J664" s="294" t="str">
        <f>IF(ISBLANK(HLOOKUP(CaseName,CaseData,MATCH($G664,cases!$G$4:$G$2458,0),FALSE)),"",HLOOKUP(CaseName,CaseData,MATCH($G664,cases!$G$4:$G$2458,0),FALSE))</f>
        <v/>
      </c>
      <c r="K664" s="428">
        <f>1-L663</f>
        <v>0.30000000000000004</v>
      </c>
      <c r="L664" s="298">
        <f>IF(ISBLANK(I664),IF(ISNUMBER(J664)=FALSE,K664,J664),I664)</f>
        <v>0.30000000000000004</v>
      </c>
      <c r="M664" s="17" t="s">
        <v>297</v>
      </c>
      <c r="N664" s="17"/>
    </row>
    <row r="665" spans="1:14" ht="12.75" customHeight="1" x14ac:dyDescent="0.2">
      <c r="A665" s="17"/>
      <c r="B665" s="17"/>
      <c r="C665" s="38" t="s">
        <v>994</v>
      </c>
      <c r="D665" s="17"/>
      <c r="E665" s="17"/>
      <c r="F665" s="17"/>
      <c r="G665" s="146" t="s">
        <v>3294</v>
      </c>
      <c r="H665" s="38" t="s">
        <v>820</v>
      </c>
      <c r="I665" s="281"/>
      <c r="J665" s="294" t="str">
        <f>IF(ISBLANK(HLOOKUP(CaseName,CaseData,MATCH($G665,cases!$G$4:$G$2458,0),FALSE)),"",HLOOKUP(CaseName,CaseData,MATCH($G665,cases!$G$4:$G$2458,0),FALSE))</f>
        <v/>
      </c>
      <c r="K665" s="405">
        <v>1000</v>
      </c>
      <c r="L665" s="298">
        <f>IF(ISBLANK(I665),IF(ISNUMBER(J665)=FALSE,K665,J665),I665)</f>
        <v>1000</v>
      </c>
      <c r="M665" s="38" t="s">
        <v>284</v>
      </c>
      <c r="N665" s="17"/>
    </row>
    <row r="666" spans="1:14" ht="12.75" customHeight="1" x14ac:dyDescent="0.2">
      <c r="A666" s="17"/>
      <c r="B666" s="17"/>
      <c r="C666" s="38" t="s">
        <v>2974</v>
      </c>
      <c r="D666" s="17"/>
      <c r="E666" s="17"/>
      <c r="F666" s="17"/>
      <c r="G666" s="146" t="s">
        <v>3295</v>
      </c>
      <c r="H666" s="38" t="s">
        <v>820</v>
      </c>
      <c r="I666" s="276"/>
      <c r="J666" s="294" t="str">
        <f>IF(ISBLANK(HLOOKUP(CaseName,CaseData,MATCH($G666,cases!$G$4:$G$2458,0),FALSE)),"",HLOOKUP(CaseName,CaseData,MATCH($G666,cases!$G$4:$G$2458,0),FALSE))</f>
        <v/>
      </c>
      <c r="K666" s="405">
        <v>100</v>
      </c>
      <c r="L666" s="298">
        <f>IF(ISBLANK(I666),IF(ISNUMBER(J666)=FALSE,K666,J666),I666)</f>
        <v>100</v>
      </c>
      <c r="M666" s="38" t="s">
        <v>284</v>
      </c>
      <c r="N666" s="17"/>
    </row>
    <row r="667" spans="1:14" ht="12.75" customHeight="1" x14ac:dyDescent="0.2">
      <c r="A667" s="17"/>
      <c r="B667" s="17"/>
      <c r="C667" s="38" t="s">
        <v>2976</v>
      </c>
      <c r="D667" s="17"/>
      <c r="E667" s="17"/>
      <c r="F667" s="17"/>
      <c r="G667" s="146" t="s">
        <v>3296</v>
      </c>
      <c r="H667" s="38" t="s">
        <v>820</v>
      </c>
      <c r="I667" s="281"/>
      <c r="J667" s="294" t="str">
        <f>IF(ISBLANK(HLOOKUP(CaseName,CaseData,MATCH($G667,cases!$G$4:$G$2458,0),FALSE)),"",HLOOKUP(CaseName,CaseData,MATCH($G667,cases!$G$4:$G$2458,0),FALSE))</f>
        <v/>
      </c>
      <c r="K667" s="428">
        <v>3000</v>
      </c>
      <c r="L667" s="298">
        <f>IF(ISBLANK(I667),IF(ISNUMBER(J667)=FALSE,K667,J667),I667)</f>
        <v>3000</v>
      </c>
      <c r="M667" s="38" t="s">
        <v>284</v>
      </c>
      <c r="N667" s="17"/>
    </row>
    <row r="668" spans="1:14" ht="12.75" customHeight="1" x14ac:dyDescent="0.2">
      <c r="A668" s="17"/>
      <c r="B668" s="17"/>
      <c r="C668" s="38" t="s">
        <v>2553</v>
      </c>
      <c r="D668" s="17"/>
      <c r="E668" s="17"/>
      <c r="F668" s="17"/>
      <c r="G668" s="146" t="s">
        <v>3297</v>
      </c>
      <c r="H668" s="38" t="s">
        <v>1004</v>
      </c>
      <c r="I668" s="281"/>
      <c r="J668" s="294" t="str">
        <f>IF(ISBLANK(HLOOKUP(CaseName,CaseData,MATCH($G668,cases!$G$4:$G$2458,0),FALSE)),"",HLOOKUP(CaseName,CaseData,MATCH($G668,cases!$G$4:$G$2458,0),FALSE))</f>
        <v/>
      </c>
      <c r="K668" s="405">
        <v>3</v>
      </c>
      <c r="L668" s="298">
        <f>IF(ISBLANK(I668),IF(ISNUMBER(J668)=FALSE,K668/100,J668/100),I668/100)</f>
        <v>0.03</v>
      </c>
      <c r="M668" s="38" t="s">
        <v>284</v>
      </c>
      <c r="N668" s="17"/>
    </row>
    <row r="669" spans="1:14" ht="12.75" customHeight="1" x14ac:dyDescent="0.2">
      <c r="A669" s="38"/>
      <c r="B669" s="17"/>
      <c r="C669" s="38" t="s">
        <v>2555</v>
      </c>
      <c r="D669" s="146"/>
      <c r="E669" s="146"/>
      <c r="F669" s="146"/>
      <c r="G669" s="146" t="s">
        <v>3298</v>
      </c>
      <c r="H669" s="38" t="s">
        <v>820</v>
      </c>
      <c r="I669" s="274"/>
      <c r="J669" s="294" t="str">
        <f>IF(ISBLANK(HLOOKUP(CaseName,CaseData,MATCH($G669,cases!$G$4:$G$2458,0),FALSE)),"",HLOOKUP(CaseName,CaseData,MATCH($G669,cases!$G$4:$G$2458,0),FALSE))</f>
        <v/>
      </c>
      <c r="K669" s="428">
        <v>0.05</v>
      </c>
      <c r="L669" s="298">
        <f t="shared" ref="L669:L677" si="42">IF(ISBLANK(I669),IF(ISNUMBER(J669)=FALSE,K669,J669),I669)</f>
        <v>0.05</v>
      </c>
      <c r="M669" s="17" t="s">
        <v>284</v>
      </c>
      <c r="N669" s="17"/>
    </row>
    <row r="670" spans="1:14" ht="12.75" customHeight="1" x14ac:dyDescent="0.2">
      <c r="A670" s="567"/>
      <c r="B670" s="567"/>
      <c r="C670" s="567" t="s">
        <v>1015</v>
      </c>
      <c r="D670" s="567"/>
      <c r="E670" s="567"/>
      <c r="F670" s="567"/>
      <c r="G670" s="568" t="s">
        <v>3299</v>
      </c>
      <c r="H670" s="568" t="s">
        <v>1017</v>
      </c>
      <c r="I670" s="616"/>
      <c r="J670" s="294" t="str">
        <f>IF(ISBLANK(HLOOKUP(CaseName,CaseData,MATCH($G670,cases!$G$4:$G$2458,0),FALSE)),"",HLOOKUP(CaseName,CaseData,MATCH($G670,cases!$G$4:$G$2458,0),FALSE))</f>
        <v/>
      </c>
      <c r="K670" s="614">
        <v>2.9999999999999999E-7</v>
      </c>
      <c r="L670" s="608">
        <f t="shared" si="42"/>
        <v>2.9999999999999999E-7</v>
      </c>
      <c r="M670" s="568" t="s">
        <v>297</v>
      </c>
      <c r="N670" s="567" t="s">
        <v>1018</v>
      </c>
    </row>
    <row r="671" spans="1:14" ht="12.75" customHeight="1" x14ac:dyDescent="0.2">
      <c r="A671" s="17"/>
      <c r="B671" s="17"/>
      <c r="C671" s="17" t="s">
        <v>1019</v>
      </c>
      <c r="D671" s="17"/>
      <c r="E671" s="17"/>
      <c r="F671" s="17"/>
      <c r="G671" s="38" t="s">
        <v>3300</v>
      </c>
      <c r="H671" s="38" t="s">
        <v>1017</v>
      </c>
      <c r="I671" s="274"/>
      <c r="J671" s="294" t="str">
        <f>IF(ISBLANK(HLOOKUP(CaseName,CaseData,MATCH($G671,cases!$G$4:$G$2458,0),FALSE)),"",HLOOKUP(CaseName,CaseData,MATCH($G671,cases!$G$4:$G$2458,0),FALSE))</f>
        <v/>
      </c>
      <c r="K671" s="428">
        <v>1.9999999999999999E-11</v>
      </c>
      <c r="L671" s="298">
        <f t="shared" si="42"/>
        <v>1.9999999999999999E-11</v>
      </c>
      <c r="M671" s="38" t="s">
        <v>297</v>
      </c>
      <c r="N671" s="17" t="s">
        <v>1021</v>
      </c>
    </row>
    <row r="672" spans="1:14" ht="12.75" customHeight="1" x14ac:dyDescent="0.2">
      <c r="A672" s="17"/>
      <c r="B672" s="17"/>
      <c r="C672" s="17" t="s">
        <v>1022</v>
      </c>
      <c r="D672" s="17"/>
      <c r="E672" s="17"/>
      <c r="F672" s="17"/>
      <c r="G672" s="38" t="s">
        <v>3301</v>
      </c>
      <c r="H672" s="38" t="s">
        <v>1017</v>
      </c>
      <c r="I672" s="274"/>
      <c r="J672" s="294" t="str">
        <f>IF(ISBLANK(HLOOKUP(CaseName,CaseData,MATCH($G672,cases!$G$4:$G$2458,0),FALSE)),"",HLOOKUP(CaseName,CaseData,MATCH($G672,cases!$G$4:$G$2458,0),FALSE))</f>
        <v/>
      </c>
      <c r="K672" s="428">
        <v>1.9999999999999999E-11</v>
      </c>
      <c r="L672" s="298">
        <f t="shared" si="42"/>
        <v>1.9999999999999999E-11</v>
      </c>
      <c r="M672" s="38" t="s">
        <v>297</v>
      </c>
      <c r="N672" s="17" t="s">
        <v>1021</v>
      </c>
    </row>
    <row r="673" spans="1:14" ht="12.75" customHeight="1" x14ac:dyDescent="0.2">
      <c r="A673" s="17"/>
      <c r="B673" s="17"/>
      <c r="C673" s="38" t="s">
        <v>2560</v>
      </c>
      <c r="D673" s="146"/>
      <c r="E673" s="146"/>
      <c r="F673" s="146"/>
      <c r="G673" s="146" t="s">
        <v>3302</v>
      </c>
      <c r="H673" s="38" t="s">
        <v>1017</v>
      </c>
      <c r="I673" s="281"/>
      <c r="J673" s="294" t="str">
        <f>IF(ISBLANK(HLOOKUP(CaseName,CaseData,MATCH($G673,cases!$G$4:$G$2458,0),FALSE)),"",HLOOKUP(CaseName,CaseData,MATCH($G673,cases!$G$4:$G$2458,0),FALSE))</f>
        <v/>
      </c>
      <c r="K673" s="405">
        <v>0.2</v>
      </c>
      <c r="L673" s="298">
        <f t="shared" si="42"/>
        <v>0.2</v>
      </c>
      <c r="M673" s="17" t="s">
        <v>297</v>
      </c>
      <c r="N673" s="17"/>
    </row>
    <row r="674" spans="1:14" ht="12.75" customHeight="1" x14ac:dyDescent="0.2">
      <c r="A674" s="17"/>
      <c r="B674" s="17"/>
      <c r="C674" s="38" t="s">
        <v>2562</v>
      </c>
      <c r="D674" s="17"/>
      <c r="E674" s="17"/>
      <c r="F674" s="17"/>
      <c r="G674" s="146" t="s">
        <v>3303</v>
      </c>
      <c r="H674" s="38" t="s">
        <v>1017</v>
      </c>
      <c r="I674" s="281"/>
      <c r="J674" s="294" t="str">
        <f>IF(ISBLANK(HLOOKUP(CaseName,CaseData,MATCH($G674,cases!$G$4:$G$2458,0),FALSE)),"",HLOOKUP(CaseName,CaseData,MATCH($G674,cases!$G$4:$G$2458,0),FALSE))</f>
        <v/>
      </c>
      <c r="K674" s="405">
        <v>0.2</v>
      </c>
      <c r="L674" s="298">
        <f t="shared" si="42"/>
        <v>0.2</v>
      </c>
      <c r="M674" s="17" t="s">
        <v>297</v>
      </c>
      <c r="N674" s="17"/>
    </row>
    <row r="675" spans="1:14" ht="12.75" customHeight="1" x14ac:dyDescent="0.2">
      <c r="A675" s="17"/>
      <c r="B675" s="17"/>
      <c r="C675" s="38" t="s">
        <v>2564</v>
      </c>
      <c r="D675" s="17"/>
      <c r="E675" s="17"/>
      <c r="F675" s="17"/>
      <c r="G675" s="146" t="s">
        <v>3304</v>
      </c>
      <c r="H675" s="38" t="s">
        <v>1017</v>
      </c>
      <c r="I675" s="281"/>
      <c r="J675" s="294" t="str">
        <f>IF(ISBLANK(HLOOKUP(CaseName,CaseData,MATCH($G675,cases!$G$4:$G$2458,0),FALSE)),"",HLOOKUP(CaseName,CaseData,MATCH($G675,cases!$G$4:$G$2458,0),FALSE))</f>
        <v/>
      </c>
      <c r="K675" s="428">
        <f>1-L673-L674</f>
        <v>0.60000000000000009</v>
      </c>
      <c r="L675" s="298">
        <f t="shared" si="42"/>
        <v>0.60000000000000009</v>
      </c>
      <c r="M675" s="17" t="s">
        <v>297</v>
      </c>
      <c r="N675" s="17"/>
    </row>
    <row r="676" spans="1:14" ht="12.75" customHeight="1" x14ac:dyDescent="0.2">
      <c r="A676" s="38"/>
      <c r="B676" s="17"/>
      <c r="C676" s="38" t="s">
        <v>1042</v>
      </c>
      <c r="D676" s="146"/>
      <c r="E676" s="146"/>
      <c r="F676" s="146"/>
      <c r="G676" s="146" t="s">
        <v>3305</v>
      </c>
      <c r="H676" s="38" t="s">
        <v>1017</v>
      </c>
      <c r="I676" s="281"/>
      <c r="J676" s="294" t="str">
        <f>IF(ISBLANK(HLOOKUP(CaseName,CaseData,MATCH($G676,cases!$G$4:$G$2458,0),FALSE)),"",HLOOKUP(CaseName,CaseData,MATCH($G676,cases!$G$4:$G$2458,0),FALSE))</f>
        <v/>
      </c>
      <c r="K676" s="405">
        <v>0.8</v>
      </c>
      <c r="L676" s="298">
        <f t="shared" si="42"/>
        <v>0.8</v>
      </c>
      <c r="M676" s="38" t="s">
        <v>297</v>
      </c>
      <c r="N676" s="17"/>
    </row>
    <row r="677" spans="1:14" ht="12.75" customHeight="1" x14ac:dyDescent="0.2">
      <c r="A677" s="38"/>
      <c r="B677" s="17"/>
      <c r="C677" s="38" t="s">
        <v>1044</v>
      </c>
      <c r="D677" s="146"/>
      <c r="E677" s="146"/>
      <c r="F677" s="146"/>
      <c r="G677" s="146" t="s">
        <v>3306</v>
      </c>
      <c r="H677" s="38" t="s">
        <v>1017</v>
      </c>
      <c r="I677" s="281"/>
      <c r="J677" s="294" t="str">
        <f>IF(ISBLANK(HLOOKUP(CaseName,CaseData,MATCH($G677,cases!$G$4:$G$2458,0),FALSE)),"",HLOOKUP(CaseName,CaseData,MATCH($G677,cases!$G$4:$G$2458,0),FALSE))</f>
        <v/>
      </c>
      <c r="K677" s="428">
        <f>1-L676</f>
        <v>0.19999999999999996</v>
      </c>
      <c r="L677" s="298">
        <f t="shared" si="42"/>
        <v>0.19999999999999996</v>
      </c>
      <c r="M677" s="38" t="s">
        <v>297</v>
      </c>
      <c r="N677" s="17"/>
    </row>
    <row r="678" spans="1:14" ht="12.75" customHeight="1" x14ac:dyDescent="0.2">
      <c r="A678" s="17"/>
      <c r="B678" s="17"/>
      <c r="C678" s="17"/>
      <c r="D678" s="17"/>
      <c r="E678" s="17"/>
      <c r="F678" s="17"/>
      <c r="G678" s="17"/>
      <c r="H678" s="17"/>
      <c r="I678" s="215"/>
      <c r="J678" s="294" t="str">
        <f>IF(ISBLANK(HLOOKUP(CaseName,CaseData,MATCH($G678,cases!$G$4:$G$2458,0),FALSE)),"",HLOOKUP(CaseName,CaseData,MATCH($G678,cases!$G$4:$G$2458,0),FALSE))</f>
        <v/>
      </c>
      <c r="K678" s="165"/>
      <c r="L678" s="165"/>
      <c r="M678" s="17"/>
      <c r="N678" s="17"/>
    </row>
    <row r="679" spans="1:14" ht="12.75" customHeight="1" x14ac:dyDescent="0.2">
      <c r="A679" s="38" t="s">
        <v>3307</v>
      </c>
      <c r="B679" s="17"/>
      <c r="C679" s="17"/>
      <c r="D679" s="17"/>
      <c r="E679" s="17"/>
      <c r="F679" s="17"/>
      <c r="G679" s="38" t="s">
        <v>3308</v>
      </c>
      <c r="H679" s="38" t="s">
        <v>624</v>
      </c>
      <c r="I679" s="276"/>
      <c r="J679" s="294" t="str">
        <f>IF(ISBLANK(HLOOKUP(CaseName,CaseData,MATCH($G679,cases!$G$4:$G$2458,0),FALSE)),"",HLOOKUP(CaseName,CaseData,MATCH($G679,cases!$G$4:$G$2458,0),FALSE))</f>
        <v/>
      </c>
      <c r="K679" s="428">
        <f>1/L680</f>
        <v>3.9972375476524815E-7</v>
      </c>
      <c r="L679" s="298">
        <f>IF(ISBLANK(I679),IF(ISNUMBER(J679)=FALSE,K679,J679),I679)</f>
        <v>3.9972375476524815E-7</v>
      </c>
      <c r="M679" s="17" t="s">
        <v>1048</v>
      </c>
      <c r="N679" s="17"/>
    </row>
    <row r="680" spans="1:14" ht="12.75" customHeight="1" x14ac:dyDescent="0.2">
      <c r="A680" s="38"/>
      <c r="B680" s="38"/>
      <c r="C680" s="38" t="s">
        <v>3309</v>
      </c>
      <c r="D680" s="17"/>
      <c r="E680" s="17"/>
      <c r="F680" s="17"/>
      <c r="G680" s="38" t="s">
        <v>3310</v>
      </c>
      <c r="H680" s="17" t="s">
        <v>1051</v>
      </c>
      <c r="I680" s="281"/>
      <c r="J680" s="294" t="str">
        <f>IF(ISBLANK(HLOOKUP(CaseName,CaseData,MATCH($G680,cases!$G$4:$G$2458,0),FALSE)),"",HLOOKUP(CaseName,CaseData,MATCH($G680,cases!$G$4:$G$2458,0),FALSE))</f>
        <v/>
      </c>
      <c r="K680" s="428">
        <f>1.5*(0.5*SQRT(L662*PI()/4)/L744)/(3600*24)</f>
        <v>28.955182012816216</v>
      </c>
      <c r="L680" s="298">
        <f>IF(ISBLANK(I680),IF(ISNUMBER(J680)=FALSE,K680*(3600*24),J680*(3600*24)),I680*(3600*24))</f>
        <v>2501727.7259073211</v>
      </c>
      <c r="M680" s="38" t="s">
        <v>1052</v>
      </c>
      <c r="N680" s="17"/>
    </row>
    <row r="681" spans="1:14" ht="12.75" customHeight="1" x14ac:dyDescent="0.2">
      <c r="A681" s="17"/>
      <c r="B681" s="17"/>
      <c r="C681" s="17"/>
      <c r="D681" s="17"/>
      <c r="E681" s="17"/>
      <c r="F681" s="17"/>
      <c r="G681" s="17"/>
      <c r="H681" s="17"/>
      <c r="I681" s="215"/>
      <c r="J681" s="294" t="str">
        <f>IF(ISBLANK(HLOOKUP(CaseName,CaseData,MATCH($G681,cases!$G$4:$G$2458,0),FALSE)),"",HLOOKUP(CaseName,CaseData,MATCH($G681,cases!$G$4:$G$2458,0),FALSE))</f>
        <v/>
      </c>
      <c r="K681" s="165"/>
      <c r="L681" s="165"/>
      <c r="M681" s="17"/>
      <c r="N681" s="17"/>
    </row>
    <row r="682" spans="1:14" ht="12.75" customHeight="1" x14ac:dyDescent="0.2">
      <c r="A682" s="38" t="s">
        <v>3311</v>
      </c>
      <c r="B682" s="17"/>
      <c r="C682" s="17"/>
      <c r="D682" s="17"/>
      <c r="E682" s="17"/>
      <c r="F682" s="17"/>
      <c r="G682" s="38" t="s">
        <v>3312</v>
      </c>
      <c r="H682" s="38" t="s">
        <v>624</v>
      </c>
      <c r="I682" s="276"/>
      <c r="J682" s="294" t="str">
        <f>IF(ISBLANK(HLOOKUP(CaseName,CaseData,MATCH($G682,cases!$G$4:$G$2458,0),FALSE)),"",HLOOKUP(CaseName,CaseData,MATCH($G682,cases!$G$4:$G$2458,0),FALSE))</f>
        <v/>
      </c>
      <c r="K682" s="435">
        <f>L684/L658</f>
        <v>1.6806722689075633E-8</v>
      </c>
      <c r="L682" s="298">
        <f t="shared" ref="L682:L687" si="43">IF(ISBLANK(I682),IF(ISNUMBER(J682)=FALSE,K682,J682),I682)</f>
        <v>1.6806722689075633E-8</v>
      </c>
      <c r="M682" s="17" t="s">
        <v>1048</v>
      </c>
      <c r="N682" s="17"/>
    </row>
    <row r="683" spans="1:14" ht="12.75" customHeight="1" x14ac:dyDescent="0.2">
      <c r="A683" s="38" t="s">
        <v>3313</v>
      </c>
      <c r="B683" s="17"/>
      <c r="C683" s="17"/>
      <c r="D683" s="17"/>
      <c r="E683" s="17"/>
      <c r="F683" s="17"/>
      <c r="G683" s="38" t="s">
        <v>3314</v>
      </c>
      <c r="H683" s="38" t="s">
        <v>624</v>
      </c>
      <c r="I683" s="276"/>
      <c r="J683" s="294" t="str">
        <f>IF(ISBLANK(HLOOKUP(CaseName,CaseData,MATCH($G683,cases!$G$4:$G$2458,0),FALSE)),"",HLOOKUP(CaseName,CaseData,MATCH($G683,cases!$G$4:$G$2458,0),FALSE))</f>
        <v/>
      </c>
      <c r="K683" s="435">
        <v>0</v>
      </c>
      <c r="L683" s="298">
        <f t="shared" si="43"/>
        <v>0</v>
      </c>
      <c r="M683" s="17" t="s">
        <v>1048</v>
      </c>
      <c r="N683" s="17"/>
    </row>
    <row r="684" spans="1:14" ht="12.75" customHeight="1" x14ac:dyDescent="0.2">
      <c r="A684" s="38"/>
      <c r="B684" s="38" t="s">
        <v>3315</v>
      </c>
      <c r="C684" s="17"/>
      <c r="D684" s="17"/>
      <c r="E684" s="17"/>
      <c r="F684" s="17"/>
      <c r="G684" s="146" t="s">
        <v>3316</v>
      </c>
      <c r="H684" s="17" t="s">
        <v>1065</v>
      </c>
      <c r="I684" s="281"/>
      <c r="J684" s="294" t="str">
        <f>IF(ISBLANK(HLOOKUP(CaseName,CaseData,MATCH($G684,cases!$G$4:$G$2458,0),FALSE)),"",HLOOKUP(CaseName,CaseData,MATCH($G684,cases!$G$4:$G$2458,0),FALSE))</f>
        <v/>
      </c>
      <c r="K684" s="435">
        <f>L40</f>
        <v>150000000</v>
      </c>
      <c r="L684" s="298">
        <f t="shared" si="43"/>
        <v>150000000</v>
      </c>
      <c r="M684" s="17" t="s">
        <v>1066</v>
      </c>
      <c r="N684" s="17"/>
    </row>
    <row r="685" spans="1:14" ht="12.75" customHeight="1" x14ac:dyDescent="0.2">
      <c r="A685" s="38" t="s">
        <v>2999</v>
      </c>
      <c r="B685" s="17"/>
      <c r="C685" s="17"/>
      <c r="D685" s="17"/>
      <c r="E685" s="17"/>
      <c r="F685" s="17"/>
      <c r="G685" s="38" t="s">
        <v>3317</v>
      </c>
      <c r="H685" s="38" t="s">
        <v>624</v>
      </c>
      <c r="I685" s="276"/>
      <c r="J685" s="294" t="str">
        <f>IF(ISBLANK(HLOOKUP(CaseName,CaseData,MATCH($G685,cases!$G$4:$G$2458,0),FALSE)),"",HLOOKUP(CaseName,CaseData,MATCH($G685,cases!$G$4:$G$2458,0),FALSE))</f>
        <v/>
      </c>
      <c r="K685" s="435">
        <f>(L40+L687)/L658</f>
        <v>2.2724443312678606E-7</v>
      </c>
      <c r="L685" s="298">
        <f t="shared" si="43"/>
        <v>2.2724443312678606E-7</v>
      </c>
      <c r="M685" s="17" t="s">
        <v>1048</v>
      </c>
      <c r="N685" s="17"/>
    </row>
    <row r="686" spans="1:14" ht="12.75" customHeight="1" x14ac:dyDescent="0.2">
      <c r="A686" s="38" t="s">
        <v>3001</v>
      </c>
      <c r="B686" s="17"/>
      <c r="C686" s="17"/>
      <c r="D686" s="17"/>
      <c r="E686" s="17"/>
      <c r="F686" s="17"/>
      <c r="G686" s="38" t="s">
        <v>3318</v>
      </c>
      <c r="H686" s="38" t="s">
        <v>624</v>
      </c>
      <c r="I686" s="276"/>
      <c r="J686" s="294" t="str">
        <f>IF(ISBLANK(HLOOKUP(CaseName,CaseData,MATCH($G686,cases!$G$4:$G$2458,0),FALSE)),"",HLOOKUP(CaseName,CaseData,MATCH($G686,cases!$G$4:$G$2458,0),FALSE))</f>
        <v/>
      </c>
      <c r="K686" s="435">
        <f>(L40+L687)/L659</f>
        <v>7.5748144375595357E-9</v>
      </c>
      <c r="L686" s="298">
        <f t="shared" si="43"/>
        <v>7.5748144375595357E-9</v>
      </c>
      <c r="M686" s="17" t="s">
        <v>1048</v>
      </c>
      <c r="N686" s="17"/>
    </row>
    <row r="687" spans="1:14" ht="12.75" customHeight="1" x14ac:dyDescent="0.2">
      <c r="A687" s="38"/>
      <c r="B687" s="17" t="s">
        <v>2596</v>
      </c>
      <c r="C687" s="17"/>
      <c r="D687" s="17"/>
      <c r="E687" s="17"/>
      <c r="F687" s="17"/>
      <c r="G687" s="38" t="s">
        <v>3319</v>
      </c>
      <c r="H687" s="17" t="s">
        <v>1065</v>
      </c>
      <c r="I687" s="276"/>
      <c r="J687" s="294" t="str">
        <f>IF(ISBLANK(HLOOKUP(CaseName,CaseData,MATCH($G687,cases!$G$4:$G$2458,0),FALSE)),"",HLOOKUP(CaseName,CaseData,MATCH($G687,cases!$G$4:$G$2458,0),FALSE))</f>
        <v/>
      </c>
      <c r="K687" s="428">
        <f>L658/L688</f>
        <v>1878156565.6565654</v>
      </c>
      <c r="L687" s="298">
        <f t="shared" si="43"/>
        <v>1878156565.6565654</v>
      </c>
      <c r="M687" s="17" t="s">
        <v>1066</v>
      </c>
      <c r="N687" s="17"/>
    </row>
    <row r="688" spans="1:14" ht="12.75" customHeight="1" x14ac:dyDescent="0.2">
      <c r="A688" s="38"/>
      <c r="B688" s="38"/>
      <c r="C688" s="17" t="s">
        <v>2598</v>
      </c>
      <c r="D688" s="17"/>
      <c r="E688" s="17"/>
      <c r="F688" s="17"/>
      <c r="G688" s="38" t="s">
        <v>3320</v>
      </c>
      <c r="H688" s="17" t="s">
        <v>1051</v>
      </c>
      <c r="I688" s="276"/>
      <c r="J688" s="294" t="str">
        <f>IF(ISBLANK(HLOOKUP(CaseName,CaseData,MATCH($G688,cases!$G$4:$G$2458,0),FALSE)),"",HLOOKUP(CaseName,CaseData,MATCH($G688,cases!$G$4:$G$2458,0),FALSE))</f>
        <v/>
      </c>
      <c r="K688" s="428">
        <v>55</v>
      </c>
      <c r="L688" s="298">
        <f>IF(ISBLANK(I688),IF(ISNUMBER(J688)=FALSE,K688*(3600*24),J688*(3600*24)),I688*(3600*24))</f>
        <v>4752000</v>
      </c>
      <c r="M688" s="38" t="s">
        <v>1052</v>
      </c>
      <c r="N688" s="17"/>
    </row>
    <row r="689" spans="1:14" ht="12.75" customHeight="1" x14ac:dyDescent="0.2">
      <c r="A689" s="17"/>
      <c r="B689" s="17"/>
      <c r="C689" s="17"/>
      <c r="D689" s="17"/>
      <c r="E689" s="17"/>
      <c r="F689" s="17"/>
      <c r="G689" s="17"/>
      <c r="H689" s="38"/>
      <c r="I689" s="13"/>
      <c r="J689" s="294"/>
      <c r="K689" s="296"/>
      <c r="L689" s="165"/>
      <c r="M689" s="17"/>
      <c r="N689" s="17"/>
    </row>
    <row r="690" spans="1:14" customFormat="1" ht="12.75" customHeight="1" x14ac:dyDescent="0.2">
      <c r="A690" s="148" t="s">
        <v>2017</v>
      </c>
      <c r="B690" s="147"/>
      <c r="C690" s="147"/>
      <c r="D690" s="147"/>
      <c r="E690" s="147"/>
      <c r="F690" s="147"/>
      <c r="G690" s="148" t="s">
        <v>263</v>
      </c>
      <c r="H690" s="148" t="s">
        <v>279</v>
      </c>
      <c r="I690" s="147" t="s">
        <v>264</v>
      </c>
      <c r="J690" s="271" t="s">
        <v>2960</v>
      </c>
      <c r="K690" s="331" t="s">
        <v>265</v>
      </c>
      <c r="L690" s="331" t="s">
        <v>266</v>
      </c>
      <c r="M690" s="147"/>
      <c r="N690" s="148" t="s">
        <v>267</v>
      </c>
    </row>
    <row r="691" spans="1:14" ht="12.75" customHeight="1" x14ac:dyDescent="0.2">
      <c r="A691" s="17"/>
      <c r="B691" s="17"/>
      <c r="C691" s="17"/>
      <c r="D691" s="17"/>
      <c r="E691" s="17"/>
      <c r="F691" s="17"/>
      <c r="G691" s="17"/>
      <c r="H691" s="38"/>
      <c r="I691" s="13"/>
      <c r="J691" s="294"/>
      <c r="K691" s="296"/>
      <c r="L691" s="165"/>
      <c r="M691" s="17"/>
      <c r="N691" s="17"/>
    </row>
    <row r="692" spans="1:14" ht="12.75" customHeight="1" x14ac:dyDescent="0.2">
      <c r="A692" s="17"/>
      <c r="B692" s="38" t="s">
        <v>2600</v>
      </c>
      <c r="C692" s="38"/>
      <c r="D692" s="38"/>
      <c r="E692" s="38"/>
      <c r="F692" s="38"/>
      <c r="G692" s="38" t="s">
        <v>3321</v>
      </c>
      <c r="H692" s="38" t="s">
        <v>296</v>
      </c>
      <c r="I692" s="276"/>
      <c r="J692" s="294" t="str">
        <f>IF(ISBLANK(HLOOKUP(CaseName,CaseData,MATCH($G692,cases!$G$4:$G$2458,0),FALSE)),"",HLOOKUP(CaseName,CaseData,MATCH($G692,cases!$G$4:$G$2458,0),FALSE))</f>
        <v/>
      </c>
      <c r="K692" s="436">
        <f>1-L672 *L697/(1+L672*L697+L671*L698)-L671 *L698/(1+L672*L697+L671*L698)</f>
        <v>1.6778800571159991E-12</v>
      </c>
      <c r="L692" s="298">
        <f>IF(ISBLANK(I692),IF(ISNUMBER(J692)=FALSE,K692,J692),I692)</f>
        <v>1.6778800571159991E-12</v>
      </c>
      <c r="M692" s="21" t="s">
        <v>297</v>
      </c>
      <c r="N692" s="38"/>
    </row>
    <row r="693" spans="1:14" ht="12.75" customHeight="1" x14ac:dyDescent="0.2">
      <c r="A693" s="17"/>
      <c r="B693" s="17" t="s">
        <v>2020</v>
      </c>
      <c r="C693" s="17"/>
      <c r="D693" s="17"/>
      <c r="E693" s="17"/>
      <c r="F693" s="17"/>
      <c r="G693" s="17" t="s">
        <v>3322</v>
      </c>
      <c r="H693" s="17" t="s">
        <v>296</v>
      </c>
      <c r="I693" s="277"/>
      <c r="J693" s="294" t="str">
        <f>IF(ISBLANK(HLOOKUP(CaseName,CaseData,MATCH($G693,cases!$G$4:$G$2458,0),FALSE)),"",HLOOKUP(CaseName,CaseData,MATCH($G693,cases!$G$4:$G$2458,0),FALSE))</f>
        <v/>
      </c>
      <c r="K693" s="436">
        <f>L672 *L697/(1+L672*L697+L671*L698)</f>
        <v>3.3557046979809462E-3</v>
      </c>
      <c r="L693" s="298">
        <f>IF(ISBLANK(I693),IF(ISNUMBER(J693)=FALSE,K693,J693),I693)</f>
        <v>3.3557046979809462E-3</v>
      </c>
      <c r="M693" s="38" t="s">
        <v>297</v>
      </c>
      <c r="N693" s="17" t="s">
        <v>1080</v>
      </c>
    </row>
    <row r="694" spans="1:14" ht="12.75" customHeight="1" x14ac:dyDescent="0.2">
      <c r="A694" s="17"/>
      <c r="B694" s="17" t="s">
        <v>2022</v>
      </c>
      <c r="C694" s="17"/>
      <c r="D694" s="17"/>
      <c r="E694" s="17"/>
      <c r="F694" s="17"/>
      <c r="G694" s="17" t="s">
        <v>3323</v>
      </c>
      <c r="H694" s="17" t="s">
        <v>296</v>
      </c>
      <c r="I694" s="277"/>
      <c r="J694" s="294" t="str">
        <f>IF(ISBLANK(HLOOKUP(CaseName,CaseData,MATCH($G694,cases!$G$4:$G$2458,0),FALSE)),"",HLOOKUP(CaseName,CaseData,MATCH($G694,cases!$G$4:$G$2458,0),FALSE))</f>
        <v/>
      </c>
      <c r="K694" s="436">
        <f>L671 *L698/(1+L672*L697+L671*L698)</f>
        <v>0.99664429530034115</v>
      </c>
      <c r="L694" s="298">
        <f>IF(ISBLANK(I694),IF(ISNUMBER(J694)=FALSE,K694,J694),I694)</f>
        <v>0.99664429530034115</v>
      </c>
      <c r="M694" s="38" t="s">
        <v>297</v>
      </c>
      <c r="N694" s="17" t="s">
        <v>1080</v>
      </c>
    </row>
    <row r="695" spans="1:14" ht="12.75" customHeight="1" x14ac:dyDescent="0.2">
      <c r="A695" s="17"/>
      <c r="B695" s="17"/>
      <c r="C695" s="38" t="s">
        <v>2024</v>
      </c>
      <c r="D695" s="38"/>
      <c r="E695" s="38"/>
      <c r="F695" s="38"/>
      <c r="G695" s="38" t="s">
        <v>3324</v>
      </c>
      <c r="H695" s="38" t="s">
        <v>296</v>
      </c>
      <c r="I695" s="281"/>
      <c r="J695" s="294" t="str">
        <f>IF(ISBLANK(HLOOKUP(CaseName,CaseData,MATCH($G695,cases!$G$4:$G$2458,0),FALSE)),"",HLOOKUP(CaseName,CaseData,MATCH($G695,cases!$G$4:$G$2458,0),FALSE))</f>
        <v/>
      </c>
      <c r="K695" s="436">
        <f>Kaw*EXP((H0vap/8.314)*(1/298-1/L696))*EXP(-(H0sol/8.314)*(1/298-1/L696))*(298/L696)</f>
        <v>9.9999999999999995E-21</v>
      </c>
      <c r="L695" s="298">
        <f>IF(ISBLANK(I695),IF(ISNUMBER(J695)=FALSE,K695,J695),I695)</f>
        <v>9.9999999999999995E-21</v>
      </c>
      <c r="M695" s="38" t="s">
        <v>297</v>
      </c>
      <c r="N695" s="17"/>
    </row>
    <row r="696" spans="1:14" ht="12.75" customHeight="1" x14ac:dyDescent="0.2">
      <c r="A696" s="38"/>
      <c r="B696" s="38"/>
      <c r="C696" s="38" t="s">
        <v>3325</v>
      </c>
      <c r="D696" s="38"/>
      <c r="E696" s="38"/>
      <c r="F696" s="38"/>
      <c r="G696" s="38" t="s">
        <v>3326</v>
      </c>
      <c r="H696" s="38" t="s">
        <v>592</v>
      </c>
      <c r="I696" s="281"/>
      <c r="J696" s="294" t="str">
        <f>IF(ISBLANK(HLOOKUP(CaseName,CaseData,MATCH($G696,cases!$G$4:$G$2458,0),FALSE)),"",HLOOKUP(CaseName,CaseData,MATCH($G696,cases!$G$4:$G$2458,0),FALSE))</f>
        <v/>
      </c>
      <c r="K696" s="436">
        <v>25</v>
      </c>
      <c r="L696" s="298">
        <f>IF(ISBLANK(I696),IF(ISNUMBER(J696)=FALSE,K696+273,J696+273),I696+273)</f>
        <v>298</v>
      </c>
      <c r="M696" s="38" t="s">
        <v>593</v>
      </c>
      <c r="N696" s="17"/>
    </row>
    <row r="697" spans="1:14" ht="12.75" customHeight="1" x14ac:dyDescent="0.25">
      <c r="A697" s="17"/>
      <c r="B697" s="17"/>
      <c r="C697" s="17" t="s">
        <v>2026</v>
      </c>
      <c r="D697" s="17"/>
      <c r="E697" s="17"/>
      <c r="F697" s="17"/>
      <c r="G697" s="17" t="s">
        <v>3327</v>
      </c>
      <c r="H697" s="17" t="s">
        <v>1088</v>
      </c>
      <c r="I697" s="277"/>
      <c r="J697" s="294" t="str">
        <f>IF(ISBLANK(HLOOKUP(CaseName,CaseData,MATCH($G697,cases!$G$4:$G$2458,0),FALSE)),"",HLOOKUP(CaseName,CaseData,MATCH($G697,cases!$G$4:$G$2458,0),FALSE))</f>
        <v/>
      </c>
      <c r="K697" s="436">
        <f>1/(L695*FRorig.aerw)</f>
        <v>1E+20</v>
      </c>
      <c r="L697" s="298">
        <f t="shared" ref="L697:L704" si="44">IF(ISBLANK(I697),IF(ISNUMBER(J697)=FALSE,K697,J697),I697)</f>
        <v>1E+20</v>
      </c>
      <c r="M697" s="38" t="s">
        <v>2608</v>
      </c>
      <c r="N697" s="17"/>
    </row>
    <row r="698" spans="1:14" ht="12.75" customHeight="1" x14ac:dyDescent="0.25">
      <c r="A698" s="17"/>
      <c r="B698" s="17"/>
      <c r="C698" s="17" t="s">
        <v>2028</v>
      </c>
      <c r="D698" s="17"/>
      <c r="E698" s="17"/>
      <c r="F698" s="17"/>
      <c r="G698" s="17" t="s">
        <v>3328</v>
      </c>
      <c r="H698" s="17" t="s">
        <v>1091</v>
      </c>
      <c r="I698" s="277"/>
      <c r="J698" s="294" t="str">
        <f>IF(ISBLANK(HLOOKUP(CaseName,CaseData,MATCH($G698,cases!$G$4:$G$2458,0),FALSE)),"",HLOOKUP(CaseName,CaseData,MATCH($G698,cases!$G$4:$G$2458,0),FALSE))</f>
        <v/>
      </c>
      <c r="K698" s="436">
        <f>0.54*(Kow/Kaw)*CORGaers*(RHOaers/1000)</f>
        <v>2.9700000000000003E+22</v>
      </c>
      <c r="L698" s="298">
        <f t="shared" si="44"/>
        <v>2.9700000000000003E+22</v>
      </c>
      <c r="M698" s="38" t="s">
        <v>2610</v>
      </c>
      <c r="N698" s="17" t="s">
        <v>1092</v>
      </c>
    </row>
    <row r="699" spans="1:14" ht="12.75" customHeight="1" x14ac:dyDescent="0.2">
      <c r="A699" s="38"/>
      <c r="B699" s="38" t="s">
        <v>2611</v>
      </c>
      <c r="C699" s="146"/>
      <c r="D699" s="17"/>
      <c r="E699" s="17"/>
      <c r="F699" s="17"/>
      <c r="G699" s="38" t="s">
        <v>3329</v>
      </c>
      <c r="H699" s="38" t="s">
        <v>296</v>
      </c>
      <c r="I699" s="281"/>
      <c r="J699" s="294" t="str">
        <f>IF(ISBLANK(HLOOKUP(CaseName,CaseData,MATCH($G699,cases!$G$4:$G$2458,0),FALSE)),"",HLOOKUP(CaseName,CaseData,MATCH($G699,cases!$G$4:$G$2458,0),FALSE))</f>
        <v/>
      </c>
      <c r="K699" s="436">
        <f>1/(1+L701*L705/1000+L707*L709/1000)</f>
        <v>0.99928051802702045</v>
      </c>
      <c r="L699" s="298">
        <f t="shared" si="44"/>
        <v>0.99928051802702045</v>
      </c>
      <c r="M699" s="38" t="s">
        <v>297</v>
      </c>
      <c r="N699" s="17"/>
    </row>
    <row r="700" spans="1:14" ht="12.75" customHeight="1" x14ac:dyDescent="0.2">
      <c r="A700" s="38"/>
      <c r="B700" s="38" t="s">
        <v>2613</v>
      </c>
      <c r="C700" s="146"/>
      <c r="D700" s="17"/>
      <c r="E700" s="17"/>
      <c r="F700" s="17"/>
      <c r="G700" s="38" t="s">
        <v>3330</v>
      </c>
      <c r="H700" s="38" t="s">
        <v>296</v>
      </c>
      <c r="I700" s="281"/>
      <c r="J700" s="294" t="str">
        <f>IF(ISBLANK(HLOOKUP(CaseName,CaseData,MATCH($G700,cases!$G$4:$G$2458,0),FALSE)),"",HLOOKUP(CaseName,CaseData,MATCH($G700,cases!$G$4:$G$2458,0),FALSE))</f>
        <v/>
      </c>
      <c r="K700" s="436">
        <f>1/(1+L702*L706/1000+L708*L710/1000)</f>
        <v>0.99928051802702045</v>
      </c>
      <c r="L700" s="298">
        <f t="shared" si="44"/>
        <v>0.99928051802702045</v>
      </c>
      <c r="M700" s="38" t="s">
        <v>297</v>
      </c>
      <c r="N700" s="17"/>
    </row>
    <row r="701" spans="1:14" ht="12.75" customHeight="1" x14ac:dyDescent="0.2">
      <c r="A701" s="38"/>
      <c r="B701" s="17"/>
      <c r="C701" s="38" t="s">
        <v>2615</v>
      </c>
      <c r="D701" s="17"/>
      <c r="E701" s="17"/>
      <c r="F701" s="17"/>
      <c r="G701" s="146" t="s">
        <v>3331</v>
      </c>
      <c r="H701" s="38" t="s">
        <v>1097</v>
      </c>
      <c r="I701" s="281"/>
      <c r="J701" s="294" t="str">
        <f>IF(ISBLANK(HLOOKUP(CaseName,CaseData,MATCH($G701,cases!$G$4:$G$2458,0),FALSE)),"",HLOOKUP(CaseName,CaseData,MATCH($G701,cases!$G$4:$G$2458,0),FALSE))</f>
        <v/>
      </c>
      <c r="K701" s="428">
        <f>(FRorig.w2*Ksw+(1-FRorig.w2)*Ksw.alt)*(1000/RHOsolid/CORG)*L703</f>
        <v>100</v>
      </c>
      <c r="L701" s="298">
        <f t="shared" si="44"/>
        <v>100</v>
      </c>
      <c r="M701" s="38" t="s">
        <v>1098</v>
      </c>
      <c r="N701" s="17"/>
    </row>
    <row r="702" spans="1:14" ht="12.75" customHeight="1" x14ac:dyDescent="0.2">
      <c r="A702" s="38"/>
      <c r="B702" s="17"/>
      <c r="C702" s="38" t="s">
        <v>2617</v>
      </c>
      <c r="D702" s="17"/>
      <c r="E702" s="17"/>
      <c r="F702" s="17"/>
      <c r="G702" s="146" t="s">
        <v>3332</v>
      </c>
      <c r="H702" s="38" t="s">
        <v>1097</v>
      </c>
      <c r="I702" s="281"/>
      <c r="J702" s="294" t="str">
        <f>IF(ISBLANK(HLOOKUP(CaseName,CaseData,MATCH($G702,cases!$G$4:$G$2458,0),FALSE)),"",HLOOKUP(CaseName,CaseData,MATCH($G702,cases!$G$4:$G$2458,0),FALSE))</f>
        <v/>
      </c>
      <c r="K702" s="428">
        <f>(FRorig.w2*Ksw+(1-FRorig.w2)*Ksw.alt)*(1000/RHOsolid/CORG)*L704</f>
        <v>100</v>
      </c>
      <c r="L702" s="298">
        <f t="shared" si="44"/>
        <v>100</v>
      </c>
      <c r="M702" s="38" t="s">
        <v>1098</v>
      </c>
      <c r="N702" s="17"/>
    </row>
    <row r="703" spans="1:14" ht="12.75" customHeight="1" x14ac:dyDescent="0.2">
      <c r="A703" s="38"/>
      <c r="B703" s="17"/>
      <c r="C703" s="38" t="s">
        <v>2619</v>
      </c>
      <c r="D703" s="17"/>
      <c r="E703" s="17"/>
      <c r="F703" s="17"/>
      <c r="G703" s="146" t="s">
        <v>3333</v>
      </c>
      <c r="H703" s="38" t="s">
        <v>296</v>
      </c>
      <c r="I703" s="281"/>
      <c r="J703" s="294" t="str">
        <f>IF(ISBLANK(HLOOKUP(CaseName,CaseData,MATCH($G703,cases!$G$4:$G$2458,0),FALSE)),"",HLOOKUP(CaseName,CaseData,MATCH($G703,cases!$G$4:$G$2458,0),FALSE))</f>
        <v/>
      </c>
      <c r="K703" s="436">
        <v>0.1</v>
      </c>
      <c r="L703" s="298">
        <f t="shared" si="44"/>
        <v>0.1</v>
      </c>
      <c r="M703" s="38" t="s">
        <v>297</v>
      </c>
      <c r="N703" s="17"/>
    </row>
    <row r="704" spans="1:14" ht="12.75" customHeight="1" x14ac:dyDescent="0.2">
      <c r="A704" s="38"/>
      <c r="B704" s="17"/>
      <c r="C704" s="38" t="s">
        <v>2621</v>
      </c>
      <c r="D704" s="17"/>
      <c r="E704" s="17"/>
      <c r="F704" s="17"/>
      <c r="G704" s="146" t="s">
        <v>3334</v>
      </c>
      <c r="H704" s="38" t="s">
        <v>296</v>
      </c>
      <c r="I704" s="281"/>
      <c r="J704" s="294" t="str">
        <f>IF(ISBLANK(HLOOKUP(CaseName,CaseData,MATCH($G704,cases!$G$4:$G$2458,0),FALSE)),"",HLOOKUP(CaseName,CaseData,MATCH($G704,cases!$G$4:$G$2458,0),FALSE))</f>
        <v/>
      </c>
      <c r="K704" s="436">
        <v>0.1</v>
      </c>
      <c r="L704" s="298">
        <f t="shared" si="44"/>
        <v>0.1</v>
      </c>
      <c r="M704" s="38" t="s">
        <v>297</v>
      </c>
      <c r="N704" s="17"/>
    </row>
    <row r="705" spans="1:14" ht="12.75" customHeight="1" x14ac:dyDescent="0.2">
      <c r="A705" s="38"/>
      <c r="B705" s="17"/>
      <c r="C705" s="38" t="s">
        <v>2623</v>
      </c>
      <c r="D705" s="17"/>
      <c r="E705" s="17"/>
      <c r="F705" s="17"/>
      <c r="G705" s="146" t="s">
        <v>3335</v>
      </c>
      <c r="H705" s="38" t="s">
        <v>586</v>
      </c>
      <c r="I705" s="281"/>
      <c r="J705" s="294" t="str">
        <f>IF(ISBLANK(HLOOKUP(CaseName,CaseData,MATCH($G705,cases!$G$4:$G$2458,0),FALSE)),"",HLOOKUP(CaseName,CaseData,MATCH($G705,cases!$G$4:$G$2458,0),FALSE))</f>
        <v/>
      </c>
      <c r="K705" s="436">
        <v>5</v>
      </c>
      <c r="L705" s="298">
        <f>IF(ISBLANK(I705),IF(ISNUMBER(J705)=FALSE,K705/1000,J705/1000),I705/1000)</f>
        <v>5.0000000000000001E-3</v>
      </c>
      <c r="M705" s="38" t="s">
        <v>724</v>
      </c>
      <c r="N705" s="17"/>
    </row>
    <row r="706" spans="1:14" ht="12.75" customHeight="1" x14ac:dyDescent="0.2">
      <c r="A706" s="38"/>
      <c r="B706" s="17"/>
      <c r="C706" s="38" t="s">
        <v>2625</v>
      </c>
      <c r="D706" s="17"/>
      <c r="E706" s="17"/>
      <c r="F706" s="17"/>
      <c r="G706" s="146" t="s">
        <v>3336</v>
      </c>
      <c r="H706" s="38" t="s">
        <v>586</v>
      </c>
      <c r="I706" s="281"/>
      <c r="J706" s="294" t="str">
        <f>IF(ISBLANK(HLOOKUP(CaseName,CaseData,MATCH($G706,cases!$G$4:$G$2458,0),FALSE)),"",HLOOKUP(CaseName,CaseData,MATCH($G706,cases!$G$4:$G$2458,0),FALSE))</f>
        <v/>
      </c>
      <c r="K706" s="436">
        <v>5</v>
      </c>
      <c r="L706" s="298">
        <f>IF(ISBLANK(I706),IF(ISNUMBER(J706)=FALSE,K706/1000,J706/1000),I706/1000)</f>
        <v>5.0000000000000001E-3</v>
      </c>
      <c r="M706" s="38" t="s">
        <v>724</v>
      </c>
      <c r="N706" s="17"/>
    </row>
    <row r="707" spans="1:14" ht="12.75" customHeight="1" x14ac:dyDescent="0.2">
      <c r="A707" s="38"/>
      <c r="B707" s="17"/>
      <c r="C707" s="38" t="s">
        <v>2627</v>
      </c>
      <c r="D707" s="17"/>
      <c r="E707" s="17"/>
      <c r="F707" s="17"/>
      <c r="G707" s="146" t="s">
        <v>3337</v>
      </c>
      <c r="H707" s="38" t="s">
        <v>1103</v>
      </c>
      <c r="I707" s="274"/>
      <c r="J707" s="294" t="str">
        <f>IF(ISBLANK(HLOOKUP(CaseName,CaseData,MATCH($G707,cases!$G$4:$G$2458,0),FALSE)),"",HLOOKUP(CaseName,CaseData,MATCH($G707,cases!$G$4:$G$2458,0),FALSE))</f>
        <v/>
      </c>
      <c r="K707" s="428">
        <f>0.08*D</f>
        <v>220</v>
      </c>
      <c r="L707" s="298">
        <f>IF(ISBLANK(I707),IF(ISNUMBER(J707)=FALSE,K707,J707),I707)</f>
        <v>220</v>
      </c>
      <c r="M707" s="38" t="s">
        <v>1098</v>
      </c>
      <c r="N707" s="17"/>
    </row>
    <row r="708" spans="1:14" ht="12.75" customHeight="1" x14ac:dyDescent="0.2">
      <c r="A708" s="38"/>
      <c r="B708" s="17"/>
      <c r="C708" s="38" t="s">
        <v>2629</v>
      </c>
      <c r="D708" s="17"/>
      <c r="E708" s="17"/>
      <c r="F708" s="17"/>
      <c r="G708" s="146" t="s">
        <v>3338</v>
      </c>
      <c r="H708" s="38" t="s">
        <v>1103</v>
      </c>
      <c r="I708" s="274"/>
      <c r="J708" s="294" t="str">
        <f>IF(ISBLANK(HLOOKUP(CaseName,CaseData,MATCH($G708,cases!$G$4:$G$2458,0),FALSE)),"",HLOOKUP(CaseName,CaseData,MATCH($G708,cases!$G$4:$G$2458,0),FALSE))</f>
        <v/>
      </c>
      <c r="K708" s="428">
        <f>0.08*D</f>
        <v>220</v>
      </c>
      <c r="L708" s="298">
        <f>IF(ISBLANK(I708),IF(ISNUMBER(J708)=FALSE,K708,J708),I708)</f>
        <v>220</v>
      </c>
      <c r="M708" s="38" t="s">
        <v>1098</v>
      </c>
      <c r="N708" s="17"/>
    </row>
    <row r="709" spans="1:14" ht="12.75" customHeight="1" x14ac:dyDescent="0.2">
      <c r="A709" s="38"/>
      <c r="B709" s="17"/>
      <c r="C709" s="38" t="s">
        <v>2631</v>
      </c>
      <c r="D709" s="17"/>
      <c r="E709" s="17"/>
      <c r="F709" s="17"/>
      <c r="G709" s="146" t="s">
        <v>3339</v>
      </c>
      <c r="H709" s="38" t="s">
        <v>723</v>
      </c>
      <c r="I709" s="274"/>
      <c r="J709" s="294" t="str">
        <f>IF(ISBLANK(HLOOKUP(CaseName,CaseData,MATCH($G709,cases!$G$4:$G$2458,0),FALSE)),"",HLOOKUP(CaseName,CaseData,MATCH($G709,cases!$G$4:$G$2458,0),FALSE))</f>
        <v/>
      </c>
      <c r="K709" s="428">
        <v>1</v>
      </c>
      <c r="L709" s="298">
        <f>IF(ISBLANK(I709),IF(ISNUMBER(J709)=FALSE,K709/1000,J709/1000),I709/1000)</f>
        <v>1E-3</v>
      </c>
      <c r="M709" s="38" t="s">
        <v>724</v>
      </c>
      <c r="N709" s="17"/>
    </row>
    <row r="710" spans="1:14" ht="12.75" customHeight="1" x14ac:dyDescent="0.2">
      <c r="A710" s="38"/>
      <c r="B710" s="17"/>
      <c r="C710" s="38" t="s">
        <v>2633</v>
      </c>
      <c r="D710" s="17"/>
      <c r="E710" s="17"/>
      <c r="F710" s="17"/>
      <c r="G710" s="146" t="s">
        <v>3340</v>
      </c>
      <c r="H710" s="38" t="s">
        <v>723</v>
      </c>
      <c r="I710" s="274"/>
      <c r="J710" s="294" t="str">
        <f>IF(ISBLANK(HLOOKUP(CaseName,CaseData,MATCH($G710,cases!$G$4:$G$2458,0),FALSE)),"",HLOOKUP(CaseName,CaseData,MATCH($G710,cases!$G$4:$G$2458,0),FALSE))</f>
        <v/>
      </c>
      <c r="K710" s="428">
        <v>1</v>
      </c>
      <c r="L710" s="298">
        <f>IF(ISBLANK(I710),IF(ISNUMBER(J710)=FALSE,K710/1000,J710/1000),I710/1000)</f>
        <v>1E-3</v>
      </c>
      <c r="M710" s="38" t="s">
        <v>724</v>
      </c>
      <c r="N710" s="17"/>
    </row>
    <row r="711" spans="1:14" ht="12.75" customHeight="1" x14ac:dyDescent="0.2">
      <c r="A711" s="38"/>
      <c r="B711" s="38" t="s">
        <v>2635</v>
      </c>
      <c r="C711" s="146"/>
      <c r="D711" s="17"/>
      <c r="E711" s="17"/>
      <c r="F711" s="17"/>
      <c r="G711" s="146" t="s">
        <v>3341</v>
      </c>
      <c r="H711" s="38" t="s">
        <v>296</v>
      </c>
      <c r="I711" s="281"/>
      <c r="J711" s="294" t="str">
        <f>IF(ISBLANK(HLOOKUP(CaseName,CaseData,MATCH($G711,cases!$G$4:$G$2458,0),FALSE)),"",HLOOKUP(CaseName,CaseData,MATCH($G711,cases!$G$4:$G$2458,0),FALSE))</f>
        <v/>
      </c>
      <c r="K711" s="428">
        <f>L676+L677*L712*RHOsolid/1000</f>
        <v>25.799999999999997</v>
      </c>
      <c r="L711" s="298">
        <f t="shared" ref="L711:L718" si="45">IF(ISBLANK(I711),IF(ISNUMBER(J711)=FALSE,K711,J711),I711)</f>
        <v>25.799999999999997</v>
      </c>
      <c r="M711" s="38" t="s">
        <v>297</v>
      </c>
      <c r="N711" s="17"/>
    </row>
    <row r="712" spans="1:14" ht="12.75" customHeight="1" x14ac:dyDescent="0.2">
      <c r="A712" s="38"/>
      <c r="B712" s="17"/>
      <c r="C712" s="38" t="s">
        <v>2637</v>
      </c>
      <c r="D712" s="17"/>
      <c r="E712" s="17"/>
      <c r="F712" s="17"/>
      <c r="G712" s="146" t="s">
        <v>3342</v>
      </c>
      <c r="H712" s="38" t="s">
        <v>1097</v>
      </c>
      <c r="I712" s="281"/>
      <c r="J712" s="294" t="str">
        <f>IF(ISBLANK(HLOOKUP(CaseName,CaseData,MATCH($G712,cases!$G$4:$G$2458,0),FALSE)),"",HLOOKUP(CaseName,CaseData,MATCH($G712,cases!$G$4:$G$2458,0),FALSE))</f>
        <v/>
      </c>
      <c r="K712" s="428">
        <f>(FRorig.sd2*Ksw+(1-FRorig.sd2)*Ksw.alt)*(1000/RHOsolid/CORG)*L713</f>
        <v>50</v>
      </c>
      <c r="L712" s="298">
        <f t="shared" si="45"/>
        <v>50</v>
      </c>
      <c r="M712" s="38" t="s">
        <v>1098</v>
      </c>
      <c r="N712" s="17"/>
    </row>
    <row r="713" spans="1:14" ht="12.75" customHeight="1" x14ac:dyDescent="0.2">
      <c r="A713" s="38"/>
      <c r="B713" s="17"/>
      <c r="C713" s="38" t="s">
        <v>2639</v>
      </c>
      <c r="D713" s="17"/>
      <c r="E713" s="17"/>
      <c r="F713" s="17"/>
      <c r="G713" s="146" t="s">
        <v>3343</v>
      </c>
      <c r="H713" s="38" t="s">
        <v>296</v>
      </c>
      <c r="I713" s="281"/>
      <c r="J713" s="294" t="str">
        <f>IF(ISBLANK(HLOOKUP(CaseName,CaseData,MATCH($G713,cases!$G$4:$G$2458,0),FALSE)),"",HLOOKUP(CaseName,CaseData,MATCH($G713,cases!$G$4:$G$2458,0),FALSE))</f>
        <v/>
      </c>
      <c r="K713" s="428">
        <v>0.05</v>
      </c>
      <c r="L713" s="298">
        <f t="shared" si="45"/>
        <v>0.05</v>
      </c>
      <c r="M713" s="38" t="s">
        <v>297</v>
      </c>
      <c r="N713" s="17"/>
    </row>
    <row r="714" spans="1:14" ht="12.75" customHeight="1" x14ac:dyDescent="0.2">
      <c r="A714" s="38"/>
      <c r="B714" s="38" t="s">
        <v>2641</v>
      </c>
      <c r="C714" s="146"/>
      <c r="D714" s="17"/>
      <c r="E714" s="17"/>
      <c r="F714" s="17"/>
      <c r="G714" s="146" t="s">
        <v>3344</v>
      </c>
      <c r="H714" s="38" t="s">
        <v>296</v>
      </c>
      <c r="I714" s="281"/>
      <c r="J714" s="294" t="str">
        <f>IF(ISBLANK(HLOOKUP(CaseName,CaseData,MATCH($G714,cases!$G$4:$G$2458,0),FALSE)),"",HLOOKUP(CaseName,CaseData,MATCH($G714,cases!$G$4:$G$2458,0),FALSE))</f>
        <v/>
      </c>
      <c r="K714" s="428">
        <f>L673*(L695*FRorig.s1w)+L674+L675*L717*RHOsolid/1000</f>
        <v>30.200000000000003</v>
      </c>
      <c r="L714" s="298">
        <f t="shared" si="45"/>
        <v>30.200000000000003</v>
      </c>
      <c r="M714" s="17" t="s">
        <v>297</v>
      </c>
      <c r="N714" s="17"/>
    </row>
    <row r="715" spans="1:14" ht="12.75" customHeight="1" x14ac:dyDescent="0.2">
      <c r="A715" s="38"/>
      <c r="B715" s="38" t="s">
        <v>2643</v>
      </c>
      <c r="C715" s="146"/>
      <c r="D715" s="17"/>
      <c r="E715" s="17"/>
      <c r="F715" s="17"/>
      <c r="G715" s="146" t="s">
        <v>3345</v>
      </c>
      <c r="H715" s="38" t="s">
        <v>296</v>
      </c>
      <c r="I715" s="281"/>
      <c r="J715" s="294" t="str">
        <f>IF(ISBLANK(HLOOKUP(CaseName,CaseData,MATCH($G715,cases!$G$4:$G$2458,0),FALSE)),"",HLOOKUP(CaseName,CaseData,MATCH($G715,cases!$G$4:$G$2458,0),FALSE))</f>
        <v/>
      </c>
      <c r="K715" s="428">
        <f>L674/(L673*(L695*FRorig.s1w)+L674+L675*L717*RHOsolid/1000)</f>
        <v>6.6225165562913907E-3</v>
      </c>
      <c r="L715" s="298">
        <f t="shared" si="45"/>
        <v>6.6225165562913907E-3</v>
      </c>
      <c r="M715" s="17" t="s">
        <v>297</v>
      </c>
      <c r="N715" s="17"/>
    </row>
    <row r="716" spans="1:14" ht="12.75" customHeight="1" x14ac:dyDescent="0.2">
      <c r="A716" s="38"/>
      <c r="B716" s="38" t="s">
        <v>2645</v>
      </c>
      <c r="C716" s="146"/>
      <c r="D716" s="17"/>
      <c r="E716" s="17"/>
      <c r="F716" s="17"/>
      <c r="G716" s="146" t="s">
        <v>3346</v>
      </c>
      <c r="H716" s="38" t="s">
        <v>296</v>
      </c>
      <c r="I716" s="281"/>
      <c r="J716" s="294" t="str">
        <f>IF(ISBLANK(HLOOKUP(CaseName,CaseData,MATCH($G716,cases!$G$4:$G$2458,0),FALSE)),"",HLOOKUP(CaseName,CaseData,MATCH($G716,cases!$G$4:$G$2458,0),FALSE))</f>
        <v/>
      </c>
      <c r="K716" s="428">
        <f>L675 / (L673*L695*FRorig.s1w/(L717*RHOsolid/1000)+L674/(L717*RHOsolid/1000)+L675 )</f>
        <v>0.99337748344370858</v>
      </c>
      <c r="L716" s="298">
        <f t="shared" si="45"/>
        <v>0.99337748344370858</v>
      </c>
      <c r="M716" s="5" t="s">
        <v>297</v>
      </c>
      <c r="N716" s="17"/>
    </row>
    <row r="717" spans="1:14" ht="12.75" customHeight="1" x14ac:dyDescent="0.2">
      <c r="A717" s="38"/>
      <c r="B717" s="17"/>
      <c r="C717" s="38" t="s">
        <v>2647</v>
      </c>
      <c r="D717" s="17"/>
      <c r="E717" s="17"/>
      <c r="F717" s="17"/>
      <c r="G717" s="146" t="s">
        <v>3347</v>
      </c>
      <c r="H717" s="38" t="s">
        <v>1097</v>
      </c>
      <c r="I717" s="281"/>
      <c r="J717" s="294" t="str">
        <f>IF(ISBLANK(HLOOKUP(CaseName,CaseData,MATCH($G717,cases!$G$4:$G$2458,0),FALSE)),"",HLOOKUP(CaseName,CaseData,MATCH($G717,cases!$G$4:$G$2458,0),FALSE))</f>
        <v/>
      </c>
      <c r="K717" s="428">
        <f>(FRorig.s1*Ksw+(1-FRorig.s1)*Ksw.alt)*(1000/RHOsolid/CORG)*L718</f>
        <v>20</v>
      </c>
      <c r="L717" s="298">
        <f t="shared" si="45"/>
        <v>20</v>
      </c>
      <c r="M717" s="38" t="s">
        <v>1098</v>
      </c>
      <c r="N717" s="17"/>
    </row>
    <row r="718" spans="1:14" ht="12.75" customHeight="1" x14ac:dyDescent="0.2">
      <c r="A718" s="38"/>
      <c r="B718" s="17"/>
      <c r="C718" s="38" t="s">
        <v>2649</v>
      </c>
      <c r="D718" s="17"/>
      <c r="E718" s="17"/>
      <c r="F718" s="17"/>
      <c r="G718" s="146" t="s">
        <v>3348</v>
      </c>
      <c r="H718" s="38" t="s">
        <v>296</v>
      </c>
      <c r="I718" s="281"/>
      <c r="J718" s="294" t="str">
        <f>IF(ISBLANK(HLOOKUP(CaseName,CaseData,MATCH($G718,cases!$G$4:$G$2458,0),FALSE)),"",HLOOKUP(CaseName,CaseData,MATCH($G718,cases!$G$4:$G$2458,0),FALSE))</f>
        <v/>
      </c>
      <c r="K718" s="428">
        <v>0.02</v>
      </c>
      <c r="L718" s="298">
        <f t="shared" si="45"/>
        <v>0.02</v>
      </c>
      <c r="M718" s="17" t="s">
        <v>297</v>
      </c>
      <c r="N718" s="17"/>
    </row>
    <row r="719" spans="1:14" ht="12.75" customHeight="1" x14ac:dyDescent="0.2">
      <c r="A719" s="17"/>
      <c r="B719" s="17"/>
      <c r="C719" s="17"/>
      <c r="D719" s="17"/>
      <c r="E719" s="17"/>
      <c r="F719" s="17"/>
      <c r="G719" s="17"/>
      <c r="H719" s="38"/>
      <c r="I719" s="13"/>
      <c r="J719" s="294"/>
      <c r="K719" s="296"/>
      <c r="L719" s="165"/>
      <c r="M719" s="17"/>
      <c r="N719" s="17"/>
    </row>
    <row r="720" spans="1:14" customFormat="1" ht="12.75" customHeight="1" x14ac:dyDescent="0.2">
      <c r="A720" s="148" t="s">
        <v>1162</v>
      </c>
      <c r="B720" s="147"/>
      <c r="C720" s="147"/>
      <c r="D720" s="147"/>
      <c r="E720" s="147"/>
      <c r="F720" s="147"/>
      <c r="G720" s="148" t="s">
        <v>263</v>
      </c>
      <c r="H720" s="148" t="s">
        <v>279</v>
      </c>
      <c r="I720" s="147" t="s">
        <v>264</v>
      </c>
      <c r="J720" s="271" t="s">
        <v>2960</v>
      </c>
      <c r="K720" s="331" t="s">
        <v>265</v>
      </c>
      <c r="L720" s="331" t="s">
        <v>266</v>
      </c>
      <c r="M720" s="147"/>
      <c r="N720" s="148" t="s">
        <v>267</v>
      </c>
    </row>
    <row r="721" spans="1:14" ht="12.75" customHeight="1" x14ac:dyDescent="0.2">
      <c r="A721" s="17"/>
      <c r="B721" s="17"/>
      <c r="C721" s="17"/>
      <c r="D721" s="17"/>
      <c r="E721" s="17"/>
      <c r="F721" s="17"/>
      <c r="G721" s="17"/>
      <c r="H721" s="38"/>
      <c r="I721" s="13"/>
      <c r="J721" s="294"/>
      <c r="K721" s="296"/>
      <c r="L721" s="165"/>
      <c r="M721" s="17"/>
      <c r="N721" s="17"/>
    </row>
    <row r="722" spans="1:14" ht="12.75" customHeight="1" x14ac:dyDescent="0.2">
      <c r="A722" s="38" t="s">
        <v>2651</v>
      </c>
      <c r="B722" s="17"/>
      <c r="C722" s="17"/>
      <c r="D722" s="17"/>
      <c r="E722" s="17"/>
      <c r="F722" s="17"/>
      <c r="G722" s="38" t="s">
        <v>3349</v>
      </c>
      <c r="H722" s="38" t="s">
        <v>624</v>
      </c>
      <c r="I722" s="276"/>
      <c r="J722" s="294" t="str">
        <f>IF(ISBLANK(HLOOKUP(CaseName,CaseData,MATCH($G722,cases!$G$4:$G$2458,0),FALSE)),"",HLOOKUP(CaseName,CaseData,MATCH($G722,cases!$G$4:$G$2458,0),FALSE))</f>
        <v/>
      </c>
      <c r="K722" s="428">
        <f>(L726+L738/L665)*L663</f>
        <v>5.6604965916514042E-6</v>
      </c>
      <c r="L722" s="298">
        <f t="shared" ref="L722:L729" si="46">IF(ISBLANK(I722),IF(ISNUMBER(J722)=FALSE,K722,J722),I722)</f>
        <v>5.6604965916514042E-6</v>
      </c>
      <c r="M722" s="17" t="s">
        <v>1048</v>
      </c>
      <c r="N722" s="17"/>
    </row>
    <row r="723" spans="1:14" ht="12.75" customHeight="1" x14ac:dyDescent="0.2">
      <c r="A723" s="38" t="s">
        <v>2653</v>
      </c>
      <c r="B723" s="17"/>
      <c r="C723" s="17"/>
      <c r="D723" s="17"/>
      <c r="E723" s="17"/>
      <c r="F723" s="17"/>
      <c r="G723" s="38" t="s">
        <v>3350</v>
      </c>
      <c r="H723" s="38" t="s">
        <v>624</v>
      </c>
      <c r="I723" s="276"/>
      <c r="J723" s="294" t="str">
        <f>IF(ISBLANK(HLOOKUP(CaseName,CaseData,MATCH($G723,cases!$G$4:$G$2458,0),FALSE)),"",HLOOKUP(CaseName,CaseData,MATCH($G723,cases!$G$4:$G$2458,0),FALSE))</f>
        <v/>
      </c>
      <c r="K723" s="428">
        <f>(L726+L739/L665)*L664</f>
        <v>2.4259271107049963E-6</v>
      </c>
      <c r="L723" s="298">
        <f t="shared" si="46"/>
        <v>2.4259271107049963E-6</v>
      </c>
      <c r="M723" s="17" t="s">
        <v>1048</v>
      </c>
      <c r="N723" s="17"/>
    </row>
    <row r="724" spans="1:14" ht="12.75" customHeight="1" x14ac:dyDescent="0.2">
      <c r="A724" s="38" t="s">
        <v>2655</v>
      </c>
      <c r="B724" s="17"/>
      <c r="C724" s="17"/>
      <c r="D724" s="17"/>
      <c r="E724" s="17"/>
      <c r="F724" s="17"/>
      <c r="G724" s="38" t="s">
        <v>3351</v>
      </c>
      <c r="H724" s="38" t="s">
        <v>624</v>
      </c>
      <c r="I724" s="276"/>
      <c r="J724" s="294" t="str">
        <f>IF(ISBLANK(HLOOKUP(CaseName,CaseData,MATCH($G724,cases!$G$4:$G$2458,0),FALSE)),"",HLOOKUP(CaseName,CaseData,MATCH($G724,cases!$G$4:$G$2458,0),FALSE))</f>
        <v/>
      </c>
      <c r="K724" s="428">
        <f>L740/L666</f>
        <v>6.5037194593889846E-25</v>
      </c>
      <c r="L724" s="298">
        <f t="shared" si="46"/>
        <v>6.5037194593889846E-25</v>
      </c>
      <c r="M724" s="17" t="s">
        <v>1048</v>
      </c>
      <c r="N724" s="17"/>
    </row>
    <row r="725" spans="1:14" ht="12.75" customHeight="1" x14ac:dyDescent="0.2">
      <c r="A725" s="38" t="s">
        <v>2657</v>
      </c>
      <c r="B725" s="17"/>
      <c r="C725" s="17"/>
      <c r="D725" s="17"/>
      <c r="E725" s="17"/>
      <c r="F725" s="17"/>
      <c r="G725" s="38" t="s">
        <v>3352</v>
      </c>
      <c r="H725" s="38" t="s">
        <v>624</v>
      </c>
      <c r="I725" s="276"/>
      <c r="J725" s="294" t="str">
        <f>IF(ISBLANK(HLOOKUP(CaseName,CaseData,MATCH($G725,cases!$G$4:$G$2458,0),FALSE)),"",HLOOKUP(CaseName,CaseData,MATCH($G725,cases!$G$4:$G$2458,0),FALSE))</f>
        <v/>
      </c>
      <c r="K725" s="428">
        <f>L741/L669</f>
        <v>8.8143971671365395E-24</v>
      </c>
      <c r="L725" s="298">
        <f t="shared" si="46"/>
        <v>8.8143971671365395E-24</v>
      </c>
      <c r="M725" s="17" t="s">
        <v>1048</v>
      </c>
      <c r="N725" s="17"/>
    </row>
    <row r="726" spans="1:14" ht="12.75" customHeight="1" x14ac:dyDescent="0.2">
      <c r="A726" s="17"/>
      <c r="B726" s="38" t="s">
        <v>2098</v>
      </c>
      <c r="C726" s="17"/>
      <c r="D726" s="17"/>
      <c r="E726" s="17"/>
      <c r="F726" s="17"/>
      <c r="G726" s="540" t="s">
        <v>3353</v>
      </c>
      <c r="H726" s="38" t="s">
        <v>624</v>
      </c>
      <c r="I726" s="275"/>
      <c r="J726" s="294" t="str">
        <f>IF(ISBLANK(HLOOKUP(CaseName,CaseData,MATCH($G726,cases!$G$4:$G$2458,0),FALSE)),"",HLOOKUP(CaseName,CaseData,MATCH($G726,cases!$G$4:$G$2458,0),FALSE))</f>
        <v/>
      </c>
      <c r="K726" s="428">
        <f>L727 - SUM((L738*L663+L739*L664)/L665,L775,L679)</f>
        <v>8.0864237023482296E-6</v>
      </c>
      <c r="L726" s="298">
        <f t="shared" si="46"/>
        <v>8.0864237023482296E-6</v>
      </c>
      <c r="M726" s="17" t="s">
        <v>1892</v>
      </c>
      <c r="N726" s="17"/>
    </row>
    <row r="727" spans="1:14" ht="12.75" customHeight="1" x14ac:dyDescent="0.2">
      <c r="A727" s="17"/>
      <c r="B727" s="38"/>
      <c r="C727" s="17" t="s">
        <v>2100</v>
      </c>
      <c r="D727" s="17"/>
      <c r="E727" s="17"/>
      <c r="F727" s="17"/>
      <c r="G727" s="540" t="s">
        <v>3354</v>
      </c>
      <c r="H727" s="38" t="s">
        <v>624</v>
      </c>
      <c r="I727" s="275"/>
      <c r="J727" s="294" t="str">
        <f>IF(ISBLANK(HLOOKUP(CaseName,CaseData,MATCH($G727,cases!$G$4:$G$2458,0),FALSE)),"",HLOOKUP(CaseName,CaseData,MATCH($G727,cases!$G$4:$G$2458,0),FALSE))</f>
        <v/>
      </c>
      <c r="K727" s="428">
        <f>((1/L728)*L730/(L730+L731)+(1/L729)*L731/(L730+L731)-((1/L729-1/L728)^2/(L730+L731))*(1-EXP(-L728*L730))*(1-EXP(-L729*L731))/(1-EXP(-L728*L730-L729*L731)))^-1</f>
        <v>8.4861474571216488E-6</v>
      </c>
      <c r="L727" s="298">
        <f t="shared" si="46"/>
        <v>8.4861474571216488E-6</v>
      </c>
      <c r="M727" s="17" t="s">
        <v>1048</v>
      </c>
      <c r="N727" s="17"/>
    </row>
    <row r="728" spans="1:14" ht="12.75" customHeight="1" x14ac:dyDescent="0.2">
      <c r="A728" s="17"/>
      <c r="B728" s="38"/>
      <c r="C728" s="38"/>
      <c r="D728" s="38" t="s">
        <v>2663</v>
      </c>
      <c r="E728" s="17"/>
      <c r="F728" s="17"/>
      <c r="G728" s="38" t="s">
        <v>3355</v>
      </c>
      <c r="H728" s="38" t="s">
        <v>624</v>
      </c>
      <c r="I728" s="275"/>
      <c r="J728" s="294" t="str">
        <f>IF(ISBLANK(HLOOKUP(CaseName,CaseData,MATCH($G728,cases!$G$4:$G$2458,0),FALSE)),"",HLOOKUP(CaseName,CaseData,MATCH($G728,cases!$G$4:$G$2458,0),FALSE))</f>
        <v/>
      </c>
      <c r="K728" s="428">
        <f>L732/L665 + SUM((L738*L663+L739*L664)/L665,L775,L679)</f>
        <v>1.3997237547717418E-6</v>
      </c>
      <c r="L728" s="298">
        <f t="shared" si="46"/>
        <v>1.3997237547717418E-6</v>
      </c>
      <c r="M728" s="17" t="s">
        <v>1048</v>
      </c>
      <c r="N728" s="17"/>
    </row>
    <row r="729" spans="1:14" ht="12.75" customHeight="1" x14ac:dyDescent="0.2">
      <c r="A729" s="17"/>
      <c r="B729" s="38"/>
      <c r="C729" s="38"/>
      <c r="D729" s="38" t="s">
        <v>2665</v>
      </c>
      <c r="E729" s="17"/>
      <c r="F729" s="17"/>
      <c r="G729" s="38" t="s">
        <v>3356</v>
      </c>
      <c r="H729" s="38" t="s">
        <v>624</v>
      </c>
      <c r="I729" s="275"/>
      <c r="J729" s="294" t="str">
        <f>IF(ISBLANK(HLOOKUP(CaseName,CaseData,MATCH($G729,cases!$G$4:$G$2458,0),FALSE)),"",HLOOKUP(CaseName,CaseData,MATCH($G729,cases!$G$4:$G$2458,0),FALSE))</f>
        <v/>
      </c>
      <c r="K729" s="428">
        <f>(L733+L734)/L665 + SUM((L738*L663+L739*L664)/L665,L775,L679)</f>
        <v>0.11541534081851314</v>
      </c>
      <c r="L729" s="298">
        <f t="shared" si="46"/>
        <v>0.11541534081851314</v>
      </c>
      <c r="M729" s="17" t="s">
        <v>1048</v>
      </c>
      <c r="N729" s="17"/>
    </row>
    <row r="730" spans="1:14" ht="12.75" customHeight="1" x14ac:dyDescent="0.2">
      <c r="A730" s="17"/>
      <c r="B730" s="38"/>
      <c r="C730" s="17" t="s">
        <v>1195</v>
      </c>
      <c r="D730" s="17"/>
      <c r="E730" s="17"/>
      <c r="F730" s="17"/>
      <c r="G730" s="17" t="s">
        <v>3357</v>
      </c>
      <c r="H730" s="17" t="s">
        <v>1197</v>
      </c>
      <c r="I730" s="276"/>
      <c r="J730" s="294" t="str">
        <f>IF(ISBLANK(HLOOKUP(CaseName,CaseData,MATCH($G730,cases!$G$4:$G$2458,0),FALSE)),"",HLOOKUP(CaseName,CaseData,MATCH($G730,cases!$G$4:$G$2458,0),FALSE))</f>
        <v/>
      </c>
      <c r="K730" s="428">
        <f>3.3*24</f>
        <v>79.199999999999989</v>
      </c>
      <c r="L730" s="298">
        <f>IF(ISBLANK(I730),IF(ISNUMBER(J730)=FALSE,K730*3600,J730*3600),I730*3600)</f>
        <v>285119.99999999994</v>
      </c>
      <c r="M730" s="38" t="s">
        <v>1052</v>
      </c>
      <c r="N730" s="17"/>
    </row>
    <row r="731" spans="1:14" ht="12.75" customHeight="1" x14ac:dyDescent="0.2">
      <c r="A731" s="17"/>
      <c r="B731" s="38"/>
      <c r="C731" s="17" t="s">
        <v>1198</v>
      </c>
      <c r="D731" s="17"/>
      <c r="E731" s="17"/>
      <c r="F731" s="17"/>
      <c r="G731" s="17" t="s">
        <v>3358</v>
      </c>
      <c r="H731" s="17" t="s">
        <v>1197</v>
      </c>
      <c r="I731" s="276"/>
      <c r="J731" s="294" t="str">
        <f>IF(ISBLANK(HLOOKUP(CaseName,CaseData,MATCH($G731,cases!$G$4:$G$2458,0),FALSE)),"",HLOOKUP(CaseName,CaseData,MATCH($G731,cases!$G$4:$G$2458,0),FALSE))</f>
        <v/>
      </c>
      <c r="K731" s="428">
        <f>3.3*24*(0.06/(1-0.06))</f>
        <v>5.0553191489361691</v>
      </c>
      <c r="L731" s="298">
        <f>IF(ISBLANK(I731),IF(ISNUMBER(J731)=FALSE,K731*3600,J731*3600),I731*3600)</f>
        <v>18199.148936170208</v>
      </c>
      <c r="M731" s="38" t="s">
        <v>3045</v>
      </c>
      <c r="N731" s="17"/>
    </row>
    <row r="732" spans="1:14" ht="12.75" customHeight="1" x14ac:dyDescent="0.2">
      <c r="A732" s="17"/>
      <c r="B732" s="38"/>
      <c r="C732" s="38" t="s">
        <v>1200</v>
      </c>
      <c r="D732" s="17"/>
      <c r="E732" s="17"/>
      <c r="F732" s="17"/>
      <c r="G732" s="146" t="s">
        <v>3359</v>
      </c>
      <c r="H732" s="31" t="s">
        <v>1202</v>
      </c>
      <c r="I732" s="281"/>
      <c r="J732" s="294" t="str">
        <f>IF(ISBLANK(HLOOKUP(CaseName,CaseData,MATCH($G732,cases!$G$4:$G$2458,0),FALSE)),"",HLOOKUP(CaseName,CaseData,MATCH($G732,cases!$G$4:$G$2458,0),FALSE))</f>
        <v/>
      </c>
      <c r="K732" s="428">
        <f>L735*(L693+L694)</f>
        <v>9.9999999999832211E-4</v>
      </c>
      <c r="L732" s="298">
        <f>IF(ISBLANK(I732),IF(ISNUMBER(J732)=FALSE,K732,J732),I732)</f>
        <v>9.9999999999832211E-4</v>
      </c>
      <c r="M732" s="17" t="s">
        <v>697</v>
      </c>
      <c r="N732" s="17"/>
    </row>
    <row r="733" spans="1:14" ht="12.75" customHeight="1" x14ac:dyDescent="0.2">
      <c r="A733" s="17"/>
      <c r="B733" s="38"/>
      <c r="C733" s="38" t="s">
        <v>1203</v>
      </c>
      <c r="D733" s="17"/>
      <c r="E733" s="17"/>
      <c r="F733" s="17"/>
      <c r="G733" s="38" t="s">
        <v>3360</v>
      </c>
      <c r="H733" s="146" t="s">
        <v>1202</v>
      </c>
      <c r="I733" s="281"/>
      <c r="J733" s="294" t="str">
        <f>IF(ISBLANK(HLOOKUP(CaseName,CaseData,MATCH($G733,cases!$G$4:$G$2458,0),FALSE)),"",HLOOKUP(CaseName,CaseData,MATCH($G733,cases!$G$4:$G$2458,0),FALSE))</f>
        <v/>
      </c>
      <c r="K733" s="904">
        <f>(L694)*(L730+L731)/L731*L736*L737</f>
        <v>0.13694799423837767</v>
      </c>
      <c r="L733" s="298">
        <f>IF(ISBLANK(I733),IF(ISNUMBER(J733)=FALSE,K733,J733),I733)</f>
        <v>0.13694799423837767</v>
      </c>
      <c r="M733" s="17" t="s">
        <v>697</v>
      </c>
      <c r="N733" s="141" t="s">
        <v>3361</v>
      </c>
    </row>
    <row r="734" spans="1:14" ht="12.75" customHeight="1" x14ac:dyDescent="0.2">
      <c r="A734" s="17"/>
      <c r="B734" s="38"/>
      <c r="C734" s="38" t="s">
        <v>2110</v>
      </c>
      <c r="D734" s="17"/>
      <c r="E734" s="17"/>
      <c r="F734" s="17"/>
      <c r="G734" s="38" t="s">
        <v>3362</v>
      </c>
      <c r="H734" s="146" t="s">
        <v>1202</v>
      </c>
      <c r="I734" s="281"/>
      <c r="J734" s="294" t="str">
        <f>IF(ISBLANK(HLOOKUP(CaseName,CaseData,MATCH($G734,cases!$G$4:$G$2458,0),FALSE)),"",HLOOKUP(CaseName,CaseData,MATCH($G734,cases!$G$4:$G$2458,0),FALSE))</f>
        <v/>
      </c>
      <c r="K734" s="428">
        <f>L692*(L730+L731)/L731*L736/(L695*FRorig.aerw)</f>
        <v>115.27799310051998</v>
      </c>
      <c r="L734" s="298">
        <f>IF(ISBLANK(I734),IF(ISNUMBER(J734)=FALSE,K734,J734),I734)</f>
        <v>115.27799310051998</v>
      </c>
      <c r="M734" s="17" t="s">
        <v>697</v>
      </c>
      <c r="N734" s="17"/>
    </row>
    <row r="735" spans="1:14" ht="12.75" customHeight="1" x14ac:dyDescent="0.2">
      <c r="A735" s="17"/>
      <c r="B735" s="38"/>
      <c r="C735" s="17"/>
      <c r="D735" s="146" t="s">
        <v>1207</v>
      </c>
      <c r="E735" s="146"/>
      <c r="F735" s="146"/>
      <c r="G735" s="146" t="s">
        <v>3363</v>
      </c>
      <c r="H735" s="31" t="s">
        <v>1202</v>
      </c>
      <c r="I735" s="281"/>
      <c r="J735" s="294" t="str">
        <f>IF(ISBLANK(HLOOKUP(CaseName,CaseData,MATCH($G735,cases!$G$4:$G$2458,0),FALSE)),"",HLOOKUP(CaseName,CaseData,MATCH($G735,cases!$G$4:$G$2458,0),FALSE))</f>
        <v/>
      </c>
      <c r="K735" s="405">
        <v>1E-3</v>
      </c>
      <c r="L735" s="298">
        <f>IF(ISBLANK(I735),IF(ISNUMBER(J735)=FALSE,K735,J735),I735)</f>
        <v>1E-3</v>
      </c>
      <c r="M735" s="17" t="s">
        <v>697</v>
      </c>
      <c r="N735" s="17"/>
    </row>
    <row r="736" spans="1:14" ht="12.75" customHeight="1" x14ac:dyDescent="0.2">
      <c r="A736" s="17"/>
      <c r="B736" s="38"/>
      <c r="C736" s="17"/>
      <c r="D736" s="38" t="s">
        <v>2673</v>
      </c>
      <c r="E736" s="146"/>
      <c r="F736" s="146"/>
      <c r="G736" s="146" t="s">
        <v>3364</v>
      </c>
      <c r="H736" s="146" t="s">
        <v>2675</v>
      </c>
      <c r="I736" s="281"/>
      <c r="J736" s="294" t="str">
        <f>IF(ISBLANK(HLOOKUP(CaseName,CaseData,MATCH($G736,cases!$G$4:$G$2458,0),FALSE)),"",HLOOKUP(CaseName,CaseData,MATCH($G736,cases!$G$4:$G$2458,0),FALSE))</f>
        <v/>
      </c>
      <c r="K736" s="405">
        <v>1300</v>
      </c>
      <c r="L736" s="298">
        <f>IF(ISBLANK(I736),IF(ISNUMBER(J736)=FALSE,K736/(1000*3600*24*365),J736/(1000*3600*24*365)),I736/(1000*3600*24*365))</f>
        <v>4.1222729578893962E-8</v>
      </c>
      <c r="M736" s="17" t="s">
        <v>697</v>
      </c>
      <c r="N736" s="17"/>
    </row>
    <row r="737" spans="1:14" ht="12.75" customHeight="1" x14ac:dyDescent="0.2">
      <c r="A737" s="17"/>
      <c r="B737" s="38"/>
      <c r="C737" s="17"/>
      <c r="D737" s="38" t="s">
        <v>1209</v>
      </c>
      <c r="E737" s="17"/>
      <c r="F737" s="17"/>
      <c r="G737" s="146" t="s">
        <v>3365</v>
      </c>
      <c r="H737" s="38" t="s">
        <v>296</v>
      </c>
      <c r="I737" s="281"/>
      <c r="J737" s="294" t="str">
        <f>IF(ISBLANK(HLOOKUP(CaseName,CaseData,MATCH($G737,cases!$G$4:$G$2458,0),FALSE)),"",HLOOKUP(CaseName,CaseData,MATCH($G737,cases!$G$4:$G$2458,0),FALSE))</f>
        <v/>
      </c>
      <c r="K737" s="405">
        <v>200000</v>
      </c>
      <c r="L737" s="298">
        <f t="shared" ref="L737:L747" si="47">IF(ISBLANK(I737),IF(ISNUMBER(J737)=FALSE,K737,J737),I737)</f>
        <v>200000</v>
      </c>
      <c r="M737" s="38" t="s">
        <v>297</v>
      </c>
      <c r="N737" s="17"/>
    </row>
    <row r="738" spans="1:14" ht="12.75" customHeight="1" x14ac:dyDescent="0.2">
      <c r="A738" s="17"/>
      <c r="B738" s="38" t="s">
        <v>1211</v>
      </c>
      <c r="C738" s="17"/>
      <c r="D738" s="17"/>
      <c r="E738" s="146"/>
      <c r="F738" s="146"/>
      <c r="G738" s="540" t="s">
        <v>3366</v>
      </c>
      <c r="H738" s="38" t="s">
        <v>1202</v>
      </c>
      <c r="I738" s="281"/>
      <c r="J738" s="294" t="str">
        <f>IF(ISBLANK(HLOOKUP(CaseName,CaseData,MATCH($G738,cases!$G$4:$G$2458,0),FALSE)),"",HLOOKUP(CaseName,CaseData,MATCH($G738,cases!$G$4:$G$2458,0),FALSE))</f>
        <v/>
      </c>
      <c r="K738" s="405">
        <f>L692*(L742*L743/(L742*(L695*FRorig.w2)+L743))</f>
        <v>1.0920318150034177E-14</v>
      </c>
      <c r="L738" s="298">
        <f t="shared" si="47"/>
        <v>1.0920318150034177E-14</v>
      </c>
      <c r="M738" s="38"/>
      <c r="N738" s="17"/>
    </row>
    <row r="739" spans="1:14" ht="12.75" customHeight="1" x14ac:dyDescent="0.2">
      <c r="A739" s="17"/>
      <c r="B739" s="38" t="s">
        <v>1213</v>
      </c>
      <c r="C739" s="17"/>
      <c r="D739" s="17"/>
      <c r="E739" s="146"/>
      <c r="F739" s="146"/>
      <c r="G739" s="540" t="s">
        <v>3367</v>
      </c>
      <c r="H739" s="38" t="s">
        <v>1202</v>
      </c>
      <c r="I739" s="281"/>
      <c r="J739" s="294" t="str">
        <f>IF(ISBLANK(HLOOKUP(CaseName,CaseData,MATCH($G739,cases!$G$4:$G$2458,0),FALSE)),"",HLOOKUP(CaseName,CaseData,MATCH($G739,cases!$G$4:$G$2458,0),FALSE))</f>
        <v/>
      </c>
      <c r="K739" s="405">
        <f>L692*(L745*L746)/(L745*((L695*FRorig.s1w)/L714)+L746)</f>
        <v>1.7574030173061615E-15</v>
      </c>
      <c r="L739" s="298">
        <f t="shared" si="47"/>
        <v>1.7574030173061615E-15</v>
      </c>
      <c r="M739" s="38"/>
      <c r="N739" s="17"/>
    </row>
    <row r="740" spans="1:14" ht="12.75" customHeight="1" x14ac:dyDescent="0.2">
      <c r="A740" s="17"/>
      <c r="B740" s="38" t="s">
        <v>2679</v>
      </c>
      <c r="C740" s="17"/>
      <c r="D740" s="17"/>
      <c r="E740" s="17"/>
      <c r="F740" s="17"/>
      <c r="G740" s="540" t="s">
        <v>3368</v>
      </c>
      <c r="H740" s="38" t="s">
        <v>1202</v>
      </c>
      <c r="I740" s="281"/>
      <c r="J740" s="294" t="str">
        <f>IF(ISBLANK(HLOOKUP(CaseName,CaseData,MATCH($G740,cases!$G$4:$G$2458,0),FALSE)),"",HLOOKUP(CaseName,CaseData,MATCH($G740,cases!$G$4:$G$2458,0),FALSE))</f>
        <v/>
      </c>
      <c r="K740" s="405">
        <f>(L742*L743/(L742*(L695*FRorig.w2)+L743))*(L695*FRorig.w2)*L699</f>
        <v>6.5037194593889846E-23</v>
      </c>
      <c r="L740" s="298">
        <f t="shared" si="47"/>
        <v>6.5037194593889846E-23</v>
      </c>
      <c r="M740" s="38"/>
      <c r="N740" s="17"/>
    </row>
    <row r="741" spans="1:14" ht="12.75" customHeight="1" x14ac:dyDescent="0.2">
      <c r="A741" s="17"/>
      <c r="B741" s="38" t="s">
        <v>2681</v>
      </c>
      <c r="C741" s="17"/>
      <c r="D741" s="17"/>
      <c r="E741" s="146"/>
      <c r="F741" s="146"/>
      <c r="G741" s="540" t="s">
        <v>3369</v>
      </c>
      <c r="H741" s="38" t="s">
        <v>1202</v>
      </c>
      <c r="I741" s="281"/>
      <c r="J741" s="294" t="str">
        <f>IF(ISBLANK(HLOOKUP(CaseName,CaseData,MATCH($G741,cases!$G$4:$G$2458,0),FALSE)),"",HLOOKUP(CaseName,CaseData,MATCH($G741,cases!$G$4:$G$2458,0),FALSE))</f>
        <v/>
      </c>
      <c r="K741" s="405">
        <f>(L745*L746)/(L745+L746/((L695*FRorig.s1w)/L714))*L747</f>
        <v>4.4071985835682703E-25</v>
      </c>
      <c r="L741" s="298">
        <f t="shared" si="47"/>
        <v>4.4071985835682703E-25</v>
      </c>
      <c r="M741" s="38"/>
      <c r="N741" s="17"/>
    </row>
    <row r="742" spans="1:14" ht="12.75" customHeight="1" x14ac:dyDescent="0.2">
      <c r="A742" s="17"/>
      <c r="B742" s="38"/>
      <c r="C742" s="17" t="s">
        <v>1222</v>
      </c>
      <c r="D742" s="17"/>
      <c r="E742" s="17"/>
      <c r="F742" s="17"/>
      <c r="G742" s="17" t="s">
        <v>3370</v>
      </c>
      <c r="H742" s="31" t="s">
        <v>1202</v>
      </c>
      <c r="I742" s="281"/>
      <c r="J742" s="294" t="str">
        <f>IF(ISBLANK(HLOOKUP(CaseName,CaseData,MATCH($G742,cases!$G$4:$G$2458,0),FALSE)),"",HLOOKUP(CaseName,CaseData,MATCH($G742,cases!$G$4:$G$2458,0),FALSE))</f>
        <v/>
      </c>
      <c r="K742" s="428">
        <f>0.01*(0.3+0.2*L744)*((0.018/Molweight)^(0.67*0.5))</f>
        <v>6.508402137399746E-3</v>
      </c>
      <c r="L742" s="298">
        <f t="shared" si="47"/>
        <v>6.508402137399746E-3</v>
      </c>
      <c r="M742" s="17" t="s">
        <v>697</v>
      </c>
      <c r="N742" s="17"/>
    </row>
    <row r="743" spans="1:14" ht="12.75" customHeight="1" x14ac:dyDescent="0.2">
      <c r="A743" s="17"/>
      <c r="B743" s="38"/>
      <c r="C743" s="17" t="s">
        <v>1224</v>
      </c>
      <c r="D743" s="17"/>
      <c r="E743" s="17"/>
      <c r="F743" s="17"/>
      <c r="G743" s="17" t="s">
        <v>3371</v>
      </c>
      <c r="H743" s="31" t="s">
        <v>1202</v>
      </c>
      <c r="I743" s="281"/>
      <c r="J743" s="294" t="str">
        <f>IF(ISBLANK(HLOOKUP(CaseName,CaseData,MATCH($G743,cases!$G$4:$G$2458,0),FALSE)),"",HLOOKUP(CaseName,CaseData,MATCH($G743,cases!$G$4:$G$2458,0),FALSE))</f>
        <v/>
      </c>
      <c r="K743" s="428">
        <f>0.01*(0.0004+0.00004*L744^2)*((0.032/Molweight)^(0.5*0.5))</f>
        <v>6.8902045811906283E-6</v>
      </c>
      <c r="L743" s="298">
        <f t="shared" si="47"/>
        <v>6.8902045811906283E-6</v>
      </c>
      <c r="M743" s="17" t="s">
        <v>697</v>
      </c>
      <c r="N743" s="17"/>
    </row>
    <row r="744" spans="1:14" ht="12.75" customHeight="1" x14ac:dyDescent="0.2">
      <c r="A744" s="38"/>
      <c r="B744" s="17"/>
      <c r="C744" s="17"/>
      <c r="D744" s="146" t="s">
        <v>2685</v>
      </c>
      <c r="E744" s="17"/>
      <c r="F744" s="17"/>
      <c r="G744" s="38" t="s">
        <v>3372</v>
      </c>
      <c r="H744" s="31" t="s">
        <v>1202</v>
      </c>
      <c r="I744" s="281"/>
      <c r="J744" s="294" t="str">
        <f>IF(ISBLANK(HLOOKUP(CaseName,CaseData,MATCH($G744,cases!$G$4:$G$2458,0),FALSE)),"",HLOOKUP(CaseName,CaseData,MATCH($G744,cases!$G$4:$G$2458,0),FALSE))</f>
        <v/>
      </c>
      <c r="K744" s="405">
        <v>3</v>
      </c>
      <c r="L744" s="298">
        <f t="shared" si="47"/>
        <v>3</v>
      </c>
      <c r="M744" s="17" t="s">
        <v>697</v>
      </c>
      <c r="N744" s="17"/>
    </row>
    <row r="745" spans="1:14" ht="12.75" customHeight="1" x14ac:dyDescent="0.2">
      <c r="A745" s="17"/>
      <c r="B745" s="38"/>
      <c r="C745" s="17" t="s">
        <v>1232</v>
      </c>
      <c r="D745" s="17"/>
      <c r="E745" s="146"/>
      <c r="F745" s="146"/>
      <c r="G745" s="17" t="s">
        <v>3373</v>
      </c>
      <c r="H745" s="31" t="s">
        <v>1202</v>
      </c>
      <c r="I745" s="281"/>
      <c r="J745" s="294" t="str">
        <f>IF(ISBLANK(HLOOKUP(CaseName,CaseData,MATCH($G745,cases!$G$4:$G$2458,0),FALSE)),"",HLOOKUP(CaseName,CaseData,MATCH($G745,cases!$G$4:$G$2458,0),FALSE))</f>
        <v/>
      </c>
      <c r="K745" s="428">
        <f>0.43/(24*3600)/0.00475</f>
        <v>1.0477582846003899E-3</v>
      </c>
      <c r="L745" s="298">
        <f t="shared" si="47"/>
        <v>1.0477582846003899E-3</v>
      </c>
      <c r="M745" s="17" t="s">
        <v>697</v>
      </c>
      <c r="N745" s="17"/>
    </row>
    <row r="746" spans="1:14" ht="12.75" customHeight="1" x14ac:dyDescent="0.2">
      <c r="A746" s="17"/>
      <c r="B746" s="38"/>
      <c r="C746" s="17" t="s">
        <v>1234</v>
      </c>
      <c r="D746" s="17"/>
      <c r="E746" s="17"/>
      <c r="F746" s="17"/>
      <c r="G746" s="17" t="s">
        <v>3374</v>
      </c>
      <c r="H746" s="146" t="s">
        <v>1202</v>
      </c>
      <c r="I746" s="281"/>
      <c r="J746" s="294" t="str">
        <f>IF(ISBLANK(HLOOKUP(CaseName,CaseData,MATCH($G746,cases!$G$4:$G$2458,0),FALSE)),"",HLOOKUP(CaseName,CaseData,MATCH($G746,cases!$G$4:$G$2458,0),FALSE))</f>
        <v/>
      </c>
      <c r="K746" s="428">
        <f>0.1*L784</f>
        <v>9.9999999999999991E-22</v>
      </c>
      <c r="L746" s="298">
        <f t="shared" si="47"/>
        <v>9.9999999999999991E-22</v>
      </c>
      <c r="M746" s="17" t="s">
        <v>697</v>
      </c>
      <c r="N746" s="17" t="s">
        <v>2130</v>
      </c>
    </row>
    <row r="747" spans="1:14" ht="12.75" customHeight="1" x14ac:dyDescent="0.2">
      <c r="A747" s="17"/>
      <c r="B747" s="38"/>
      <c r="C747" s="17" t="s">
        <v>1236</v>
      </c>
      <c r="D747" s="17"/>
      <c r="E747" s="146"/>
      <c r="F747" s="17"/>
      <c r="G747" s="38" t="s">
        <v>3375</v>
      </c>
      <c r="H747" s="17" t="s">
        <v>296</v>
      </c>
      <c r="I747" s="276"/>
      <c r="J747" s="294" t="str">
        <f>IF(ISBLANK(HLOOKUP(CaseName,CaseData,MATCH($G747,cases!$G$4:$G$2458,0),FALSE)),"",HLOOKUP(CaseName,CaseData,MATCH($G747,cases!$G$4:$G$2458,0),FALSE))</f>
        <v/>
      </c>
      <c r="K747" s="428">
        <f>(EXP((-1/0.1)*0)*(1/0.1)*L669/(1-EXP((-1/0.1)*L669)))</f>
        <v>1.2707470412683992</v>
      </c>
      <c r="L747" s="298">
        <f t="shared" si="47"/>
        <v>1.2707470412683992</v>
      </c>
      <c r="M747" s="38" t="s">
        <v>297</v>
      </c>
      <c r="N747" s="17" t="s">
        <v>1238</v>
      </c>
    </row>
    <row r="748" spans="1:14" ht="12.75" customHeight="1" x14ac:dyDescent="0.2">
      <c r="A748" s="17"/>
      <c r="B748" s="17"/>
      <c r="C748" s="17"/>
      <c r="D748" s="17"/>
      <c r="E748" s="17"/>
      <c r="F748" s="17"/>
      <c r="G748" s="17"/>
      <c r="H748" s="17"/>
      <c r="I748" s="215"/>
      <c r="J748" s="294" t="str">
        <f>IF(ISBLANK(HLOOKUP(CaseName,CaseData,MATCH($G748,cases!$G$4:$G$2458,0),FALSE)),"",HLOOKUP(CaseName,CaseData,MATCH($G748,cases!$G$4:$G$2458,0),FALSE))</f>
        <v/>
      </c>
      <c r="K748" s="165"/>
      <c r="L748" s="165"/>
      <c r="M748" s="17"/>
      <c r="N748" s="17"/>
    </row>
    <row r="749" spans="1:14" ht="12.75" customHeight="1" x14ac:dyDescent="0.2">
      <c r="A749" s="38" t="s">
        <v>2690</v>
      </c>
      <c r="B749" s="17"/>
      <c r="C749" s="17"/>
      <c r="D749" s="17"/>
      <c r="E749" s="17"/>
      <c r="F749" s="17"/>
      <c r="G749" s="38" t="s">
        <v>3376</v>
      </c>
      <c r="H749" s="38" t="s">
        <v>624</v>
      </c>
      <c r="I749" s="276"/>
      <c r="J749" s="294" t="str">
        <f>IF(ISBLANK(HLOOKUP(CaseName,CaseData,MATCH($G749,cases!$G$4:$G$2458,0),FALSE)),"",HLOOKUP(CaseName,CaseData,MATCH($G749,cases!$G$4:$G$2458,0),FALSE))</f>
        <v/>
      </c>
      <c r="K749" s="424">
        <f>(L751+L757)/L667</f>
        <v>1.6101168434855456E-11</v>
      </c>
      <c r="L749" s="298">
        <f t="shared" ref="L749:L755" si="48">IF(ISBLANK(I749),IF(ISNUMBER(J749)=FALSE,K749,J749),I749)</f>
        <v>1.6101168434855456E-11</v>
      </c>
      <c r="M749" s="17" t="s">
        <v>1048</v>
      </c>
      <c r="N749" s="17"/>
    </row>
    <row r="750" spans="1:14" ht="12.75" customHeight="1" x14ac:dyDescent="0.2">
      <c r="A750" s="38" t="s">
        <v>2692</v>
      </c>
      <c r="B750" s="17"/>
      <c r="C750" s="17"/>
      <c r="D750" s="17"/>
      <c r="E750" s="17"/>
      <c r="F750" s="17"/>
      <c r="G750" s="38" t="s">
        <v>3377</v>
      </c>
      <c r="H750" s="38" t="s">
        <v>624</v>
      </c>
      <c r="I750" s="276"/>
      <c r="J750" s="294" t="str">
        <f>IF(ISBLANK(HLOOKUP(CaseName,CaseData,MATCH($G750,cases!$G$4:$G$2458,0),FALSE)),"",HLOOKUP(CaseName,CaseData,MATCH($G750,cases!$G$4:$G$2458,0),FALSE))</f>
        <v/>
      </c>
      <c r="K750" s="428">
        <f>(L752+L758)/L668</f>
        <v>4.5179059492972771E-8</v>
      </c>
      <c r="L750" s="298">
        <f t="shared" si="48"/>
        <v>4.5179059492972771E-8</v>
      </c>
      <c r="M750" s="17" t="s">
        <v>1048</v>
      </c>
      <c r="N750" s="17"/>
    </row>
    <row r="751" spans="1:14" ht="12.75" customHeight="1" x14ac:dyDescent="0.2">
      <c r="A751" s="38"/>
      <c r="B751" s="38" t="s">
        <v>2694</v>
      </c>
      <c r="C751" s="17"/>
      <c r="D751" s="17"/>
      <c r="E751" s="17"/>
      <c r="F751" s="17"/>
      <c r="G751" s="540" t="s">
        <v>3378</v>
      </c>
      <c r="H751" s="38" t="s">
        <v>1202</v>
      </c>
      <c r="I751" s="276"/>
      <c r="J751" s="294" t="str">
        <f>IF(ISBLANK(HLOOKUP(CaseName,CaseData,MATCH($G751,cases!$G$4:$G$2458,0),FALSE)),"",HLOOKUP(CaseName,CaseData,MATCH($G751,cases!$G$4:$G$2458,0),FALSE))</f>
        <v/>
      </c>
      <c r="K751" s="428">
        <f>L754*(1-L700)</f>
        <v>2.0818344125565744E-8</v>
      </c>
      <c r="L751" s="298">
        <f t="shared" si="48"/>
        <v>2.0818344125565744E-8</v>
      </c>
      <c r="M751" s="17"/>
      <c r="N751" s="17"/>
    </row>
    <row r="752" spans="1:14" ht="12.75" customHeight="1" x14ac:dyDescent="0.2">
      <c r="A752" s="38"/>
      <c r="B752" s="38" t="s">
        <v>2696</v>
      </c>
      <c r="C752" s="17"/>
      <c r="D752" s="17"/>
      <c r="E752" s="17"/>
      <c r="F752" s="17"/>
      <c r="G752" s="540" t="s">
        <v>3379</v>
      </c>
      <c r="H752" s="38" t="s">
        <v>1202</v>
      </c>
      <c r="I752" s="276"/>
      <c r="J752" s="294" t="str">
        <f>IF(ISBLANK(HLOOKUP(CaseName,CaseData,MATCH($G752,cases!$G$4:$G$2458,0),FALSE)),"",HLOOKUP(CaseName,CaseData,MATCH($G752,cases!$G$4:$G$2458,0),FALSE))</f>
        <v/>
      </c>
      <c r="K752" s="428">
        <f>L753-L755</f>
        <v>2.8928843226788437E-10</v>
      </c>
      <c r="L752" s="298">
        <f t="shared" si="48"/>
        <v>2.8928843226788437E-10</v>
      </c>
      <c r="M752" s="17"/>
      <c r="N752" s="17"/>
    </row>
    <row r="753" spans="1:14" ht="12.75" customHeight="1" x14ac:dyDescent="0.2">
      <c r="A753" s="17"/>
      <c r="B753" s="38"/>
      <c r="C753" s="38" t="s">
        <v>1268</v>
      </c>
      <c r="D753" s="17"/>
      <c r="E753" s="17"/>
      <c r="F753" s="17"/>
      <c r="G753" s="146" t="s">
        <v>3380</v>
      </c>
      <c r="H753" s="31" t="s">
        <v>1202</v>
      </c>
      <c r="I753" s="281"/>
      <c r="J753" s="294" t="str">
        <f>IF(ISBLANK(HLOOKUP(CaseName,CaseData,MATCH($G753,cases!$G$4:$G$2458,0),FALSE)),"",HLOOKUP(CaseName,CaseData,MATCH($G753,cases!$G$4:$G$2458,0),FALSE))</f>
        <v/>
      </c>
      <c r="K753" s="428">
        <f>IF(L754*L705/(L677*RHOsolid)&gt;L755,L754*L705/(L677*RHOsolid),L755)</f>
        <v>2.893518518518519E-10</v>
      </c>
      <c r="L753" s="298">
        <f t="shared" si="48"/>
        <v>2.893518518518519E-10</v>
      </c>
      <c r="M753" s="17" t="s">
        <v>697</v>
      </c>
      <c r="N753" s="17"/>
    </row>
    <row r="754" spans="1:14" ht="12.75" customHeight="1" x14ac:dyDescent="0.2">
      <c r="A754" s="38"/>
      <c r="B754" s="17"/>
      <c r="C754" s="38"/>
      <c r="D754" s="38" t="s">
        <v>1272</v>
      </c>
      <c r="E754" s="146"/>
      <c r="F754" s="146"/>
      <c r="G754" s="146" t="s">
        <v>3381</v>
      </c>
      <c r="H754" s="31" t="s">
        <v>1202</v>
      </c>
      <c r="I754" s="281"/>
      <c r="J754" s="294" t="str">
        <f>IF(ISBLANK(HLOOKUP(CaseName,CaseData,MATCH($G754,cases!$G$4:$G$2458,0),FALSE)),"",HLOOKUP(CaseName,CaseData,MATCH($G754,cases!$G$4:$G$2458,0),FALSE))</f>
        <v/>
      </c>
      <c r="K754" s="405">
        <f>2.5/(24*3600)</f>
        <v>2.8935185185185186E-5</v>
      </c>
      <c r="L754" s="298">
        <f t="shared" si="48"/>
        <v>2.8935185185185186E-5</v>
      </c>
      <c r="M754" s="17" t="s">
        <v>697</v>
      </c>
      <c r="N754" s="17"/>
    </row>
    <row r="755" spans="1:14" ht="12.75" customHeight="1" x14ac:dyDescent="0.2">
      <c r="A755" s="38"/>
      <c r="B755" s="17"/>
      <c r="C755" s="38"/>
      <c r="D755" s="38" t="s">
        <v>2700</v>
      </c>
      <c r="E755" s="146"/>
      <c r="F755" s="146"/>
      <c r="G755" s="146" t="s">
        <v>3382</v>
      </c>
      <c r="H755" s="31" t="s">
        <v>1202</v>
      </c>
      <c r="I755" s="281"/>
      <c r="J755" s="294" t="str">
        <f>IF(ISBLANK(HLOOKUP(CaseName,CaseData,MATCH($G755,cases!$G$4:$G$2458,0),FALSE)),"",HLOOKUP(CaseName,CaseData,MATCH($G755,cases!$G$4:$G$2458,0),FALSE))</f>
        <v/>
      </c>
      <c r="K755" s="428">
        <v>6.3419583967529484E-14</v>
      </c>
      <c r="L755" s="298">
        <f t="shared" si="48"/>
        <v>6.3419583967529484E-14</v>
      </c>
      <c r="M755" s="17" t="s">
        <v>697</v>
      </c>
      <c r="N755" s="17" t="s">
        <v>1279</v>
      </c>
    </row>
    <row r="756" spans="1:14" ht="12.75" customHeight="1" x14ac:dyDescent="0.2">
      <c r="A756" s="17"/>
      <c r="B756" s="38"/>
      <c r="C756" s="38"/>
      <c r="D756" s="38"/>
      <c r="E756" s="38" t="s">
        <v>2702</v>
      </c>
      <c r="F756" s="38"/>
      <c r="G756" s="146" t="s">
        <v>3383</v>
      </c>
      <c r="H756" s="38" t="s">
        <v>1284</v>
      </c>
      <c r="I756" s="281"/>
      <c r="J756" s="294" t="str">
        <f>IF(ISBLANK(HLOOKUP(CaseName,CaseData,MATCH($G756,cases!$G$4:$G$2458,0),FALSE)),"",HLOOKUP(CaseName,CaseData,MATCH($G756,cases!$G$4:$G$2458,0),FALSE))</f>
        <v/>
      </c>
      <c r="K756" s="405">
        <v>1</v>
      </c>
      <c r="L756" s="756">
        <f>IF(ISBLANK(I756),IF(ISNUMBER(J756)=FALSE,K756/(1000*3600*24*365)*L663*L662,J756/(1000*3600*24*365)*L663*L662),I756/(1000*3600*24*365)*L663*L662)</f>
        <v>2830.0989345509893</v>
      </c>
      <c r="M756" s="38" t="s">
        <v>1285</v>
      </c>
      <c r="N756" s="17"/>
    </row>
    <row r="757" spans="1:14" ht="12.75" customHeight="1" x14ac:dyDescent="0.2">
      <c r="A757" s="17"/>
      <c r="B757" s="17" t="s">
        <v>2705</v>
      </c>
      <c r="C757" s="146"/>
      <c r="D757" s="146"/>
      <c r="E757" s="17"/>
      <c r="F757" s="17"/>
      <c r="G757" s="540" t="s">
        <v>3384</v>
      </c>
      <c r="H757" s="38" t="s">
        <v>1217</v>
      </c>
      <c r="I757" s="281"/>
      <c r="J757" s="294" t="str">
        <f>IF(ISBLANK(HLOOKUP(CaseName,CaseData,MATCH($G757,cases!$G$4:$G$2458,0),FALSE)),"",HLOOKUP(CaseName,CaseData,MATCH($G757,cases!$G$4:$G$2458,0),FALSE))</f>
        <v/>
      </c>
      <c r="K757" s="405">
        <f>(L759*L760)/(L759+L760)*L699</f>
        <v>2.7485161179000623E-8</v>
      </c>
      <c r="L757" s="298">
        <f>IF(ISBLANK(I757),IF(ISNUMBER(J757)=FALSE,K757,J757),I757)</f>
        <v>2.7485161179000623E-8</v>
      </c>
      <c r="M757" s="38"/>
      <c r="N757" s="17"/>
    </row>
    <row r="758" spans="1:14" ht="12.75" customHeight="1" x14ac:dyDescent="0.2">
      <c r="A758" s="17"/>
      <c r="B758" s="17" t="s">
        <v>2707</v>
      </c>
      <c r="C758" s="146"/>
      <c r="D758" s="146"/>
      <c r="E758" s="17"/>
      <c r="F758" s="17"/>
      <c r="G758" s="540" t="s">
        <v>3385</v>
      </c>
      <c r="H758" s="38" t="s">
        <v>1217</v>
      </c>
      <c r="I758" s="281"/>
      <c r="J758" s="294" t="str">
        <f>IF(ISBLANK(HLOOKUP(CaseName,CaseData,MATCH($G758,cases!$G$4:$G$2458,0),FALSE)),"",HLOOKUP(CaseName,CaseData,MATCH($G758,cases!$G$4:$G$2458,0),FALSE))</f>
        <v/>
      </c>
      <c r="K758" s="405">
        <f>(L759*L760/(L759+L760))/L711</f>
        <v>1.0660833525212988E-9</v>
      </c>
      <c r="L758" s="298">
        <f>IF(ISBLANK(I758),IF(ISNUMBER(J758)=FALSE,K758,J758),I758)</f>
        <v>1.0660833525212988E-9</v>
      </c>
      <c r="M758" s="38"/>
      <c r="N758" s="17"/>
    </row>
    <row r="759" spans="1:14" ht="12.75" customHeight="1" x14ac:dyDescent="0.2">
      <c r="A759" s="17"/>
      <c r="B759" s="38"/>
      <c r="C759" s="17" t="s">
        <v>1296</v>
      </c>
      <c r="D759" s="17"/>
      <c r="E759" s="17"/>
      <c r="F759" s="17"/>
      <c r="G759" s="17" t="s">
        <v>3386</v>
      </c>
      <c r="H759" s="31" t="s">
        <v>1202</v>
      </c>
      <c r="I759" s="281"/>
      <c r="J759" s="294" t="str">
        <f>IF(ISBLANK(HLOOKUP(CaseName,CaseData,MATCH($G759,cases!$G$4:$G$2458,0),FALSE)),"",HLOOKUP(CaseName,CaseData,MATCH($G759,cases!$G$4:$G$2458,0),FALSE))</f>
        <v/>
      </c>
      <c r="K759" s="405">
        <v>2.7779999999999999E-6</v>
      </c>
      <c r="L759" s="298">
        <f>IF(ISBLANK(I759),IF(ISNUMBER(J759)=FALSE,K759,J759),I759)</f>
        <v>2.7779999999999999E-6</v>
      </c>
      <c r="M759" s="17" t="s">
        <v>697</v>
      </c>
      <c r="N759" s="17"/>
    </row>
    <row r="760" spans="1:14" ht="12.75" customHeight="1" x14ac:dyDescent="0.2">
      <c r="A760" s="17"/>
      <c r="B760" s="38"/>
      <c r="C760" s="17" t="s">
        <v>1298</v>
      </c>
      <c r="D760" s="17"/>
      <c r="E760" s="17"/>
      <c r="F760" s="17"/>
      <c r="G760" s="17" t="s">
        <v>3387</v>
      </c>
      <c r="H760" s="31" t="s">
        <v>1202</v>
      </c>
      <c r="I760" s="281"/>
      <c r="J760" s="294" t="str">
        <f>IF(ISBLANK(HLOOKUP(CaseName,CaseData,MATCH($G760,cases!$G$4:$G$2458,0),FALSE)),"",HLOOKUP(CaseName,CaseData,MATCH($G760,cases!$G$4:$G$2458,0),FALSE))</f>
        <v/>
      </c>
      <c r="K760" s="405">
        <v>2.7779999999999998E-8</v>
      </c>
      <c r="L760" s="298">
        <f>IF(ISBLANK(I760),IF(ISNUMBER(J760)=FALSE,K760,J760),I760)</f>
        <v>2.7779999999999998E-8</v>
      </c>
      <c r="M760" s="17" t="s">
        <v>697</v>
      </c>
      <c r="N760" s="17"/>
    </row>
    <row r="761" spans="1:14" ht="12.75" customHeight="1" x14ac:dyDescent="0.2">
      <c r="A761" s="17"/>
      <c r="B761" s="17"/>
      <c r="C761" s="17"/>
      <c r="D761" s="17"/>
      <c r="E761" s="17"/>
      <c r="F761" s="17"/>
      <c r="G761" s="17"/>
      <c r="H761" s="17"/>
      <c r="I761" s="215"/>
      <c r="J761" s="294" t="str">
        <f>IF(ISBLANK(HLOOKUP(CaseName,CaseData,MATCH($G761,cases!$G$4:$G$2458,0),FALSE)),"",HLOOKUP(CaseName,CaseData,MATCH($G761,cases!$G$4:$G$2458,0),FALSE))</f>
        <v/>
      </c>
      <c r="K761" s="165"/>
      <c r="L761" s="165"/>
      <c r="M761" s="17"/>
      <c r="N761" s="17"/>
    </row>
    <row r="762" spans="1:14" ht="12.75" customHeight="1" x14ac:dyDescent="0.2">
      <c r="A762" s="38" t="s">
        <v>2711</v>
      </c>
      <c r="B762" s="17"/>
      <c r="C762" s="17"/>
      <c r="D762" s="17"/>
      <c r="E762" s="17"/>
      <c r="F762" s="17"/>
      <c r="G762" s="38" t="s">
        <v>3388</v>
      </c>
      <c r="H762" s="38" t="s">
        <v>624</v>
      </c>
      <c r="I762" s="276"/>
      <c r="J762" s="294" t="str">
        <f>IF(ISBLANK(HLOOKUP(CaseName,CaseData,MATCH($G762,cases!$G$4:$G$2458,0),FALSE)),"",HLOOKUP(CaseName,CaseData,MATCH($G762,cases!$G$4:$G$2458,0),FALSE))</f>
        <v/>
      </c>
      <c r="K762" s="428">
        <f>(L736*L764/L714+L763)*L765/L669</f>
        <v>8.6969687377490738E-9</v>
      </c>
      <c r="L762" s="298">
        <f>IF(ISBLANK(I762),IF(ISNUMBER(J762)=FALSE,K762,J762),I762)</f>
        <v>8.6969687377490738E-9</v>
      </c>
      <c r="M762" s="17" t="s">
        <v>1048</v>
      </c>
      <c r="N762" s="17"/>
    </row>
    <row r="763" spans="1:14" ht="12.75" customHeight="1" x14ac:dyDescent="0.2">
      <c r="A763" s="17"/>
      <c r="B763" s="17"/>
      <c r="C763" s="146" t="s">
        <v>2713</v>
      </c>
      <c r="D763" s="17"/>
      <c r="E763" s="17"/>
      <c r="F763" s="17"/>
      <c r="G763" s="146" t="s">
        <v>3389</v>
      </c>
      <c r="H763" s="31" t="s">
        <v>1202</v>
      </c>
      <c r="I763" s="281"/>
      <c r="J763" s="294" t="str">
        <f>IF(ISBLANK(HLOOKUP(CaseName,CaseData,MATCH($G763,cases!$G$4:$G$2458,0),FALSE)),"",HLOOKUP(CaseName,CaseData,MATCH($G763,cases!$G$4:$G$2458,0),FALSE))</f>
        <v/>
      </c>
      <c r="K763" s="405">
        <f>EROSION.C</f>
        <v>9.5129375951293754E-13</v>
      </c>
      <c r="L763" s="298">
        <f>IF(ISBLANK(I763),IF(ISNUMBER(J763)=FALSE,K763,J763),I763)</f>
        <v>9.5129375951293754E-13</v>
      </c>
      <c r="M763" s="17" t="s">
        <v>697</v>
      </c>
      <c r="N763" s="17"/>
    </row>
    <row r="764" spans="1:14" ht="12.75" customHeight="1" x14ac:dyDescent="0.2">
      <c r="A764" s="17"/>
      <c r="B764" s="17"/>
      <c r="C764" s="38" t="s">
        <v>2715</v>
      </c>
      <c r="D764" s="17"/>
      <c r="E764" s="17"/>
      <c r="F764" s="17"/>
      <c r="G764" s="146" t="s">
        <v>3390</v>
      </c>
      <c r="H764" s="38" t="s">
        <v>296</v>
      </c>
      <c r="I764" s="281"/>
      <c r="J764" s="294" t="str">
        <f>IF(ISBLANK(HLOOKUP(CaseName,CaseData,MATCH($G764,cases!$G$4:$G$2458,0),FALSE)),"",HLOOKUP(CaseName,CaseData,MATCH($G764,cases!$G$4:$G$2458,0),FALSE))</f>
        <v/>
      </c>
      <c r="K764" s="405">
        <f>FRACrun.C</f>
        <v>0.25</v>
      </c>
      <c r="L764" s="298">
        <f>IF(ISBLANK(I764),IF(ISNUMBER(J764)=FALSE,K764,J764),I764)</f>
        <v>0.25</v>
      </c>
      <c r="M764" s="17" t="s">
        <v>297</v>
      </c>
      <c r="N764" s="17"/>
    </row>
    <row r="765" spans="1:14" ht="12.75" customHeight="1" x14ac:dyDescent="0.2">
      <c r="A765" s="38"/>
      <c r="B765" s="38"/>
      <c r="C765" s="17" t="s">
        <v>1236</v>
      </c>
      <c r="D765" s="17"/>
      <c r="E765" s="146"/>
      <c r="F765" s="146"/>
      <c r="G765" s="38" t="s">
        <v>3391</v>
      </c>
      <c r="H765" s="17" t="s">
        <v>296</v>
      </c>
      <c r="I765" s="276"/>
      <c r="J765" s="294" t="str">
        <f>IF(ISBLANK(HLOOKUP(CaseName,CaseData,MATCH($G765,cases!$G$4:$G$2458,0),FALSE)),"",HLOOKUP(CaseName,CaseData,MATCH($G765,cases!$G$4:$G$2458,0),FALSE))</f>
        <v/>
      </c>
      <c r="K765" s="428">
        <f>(EXP((-1/0.1)*0)*(1/0.1)*L669/(1-EXP((-1/0.1)*L669)))</f>
        <v>1.2707470412683992</v>
      </c>
      <c r="L765" s="298">
        <f>IF(ISBLANK(I765),IF(ISNUMBER(J765)=FALSE,K765,J765),I765)</f>
        <v>1.2707470412683992</v>
      </c>
      <c r="M765" s="38" t="s">
        <v>297</v>
      </c>
      <c r="N765" s="17" t="s">
        <v>1238</v>
      </c>
    </row>
    <row r="766" spans="1:14" ht="12.75" customHeight="1" x14ac:dyDescent="0.2">
      <c r="A766" s="17"/>
      <c r="B766" s="17"/>
      <c r="C766" s="17"/>
      <c r="D766" s="17"/>
      <c r="E766" s="17"/>
      <c r="F766" s="17"/>
      <c r="G766" s="17"/>
      <c r="H766" s="38"/>
      <c r="I766" s="13"/>
      <c r="J766" s="294"/>
      <c r="K766" s="296"/>
      <c r="L766" s="165"/>
      <c r="M766" s="17"/>
      <c r="N766" s="17"/>
    </row>
    <row r="767" spans="1:14" customFormat="1" ht="12.75" customHeight="1" x14ac:dyDescent="0.2">
      <c r="A767" s="148" t="s">
        <v>1321</v>
      </c>
      <c r="B767" s="147"/>
      <c r="C767" s="147"/>
      <c r="D767" s="147"/>
      <c r="E767" s="147"/>
      <c r="F767" s="147"/>
      <c r="G767" s="148" t="s">
        <v>263</v>
      </c>
      <c r="H767" s="148" t="s">
        <v>279</v>
      </c>
      <c r="I767" s="147" t="s">
        <v>264</v>
      </c>
      <c r="J767" s="271" t="s">
        <v>2960</v>
      </c>
      <c r="K767" s="331" t="s">
        <v>265</v>
      </c>
      <c r="L767" s="331" t="s">
        <v>266</v>
      </c>
      <c r="M767" s="147"/>
      <c r="N767" s="148" t="s">
        <v>267</v>
      </c>
    </row>
    <row r="768" spans="1:14" ht="12.75" customHeight="1" x14ac:dyDescent="0.2">
      <c r="A768" s="38"/>
      <c r="B768" s="17"/>
      <c r="C768" s="17"/>
      <c r="D768" s="17"/>
      <c r="E768" s="17"/>
      <c r="F768" s="17"/>
      <c r="G768" s="17"/>
      <c r="H768" s="38"/>
      <c r="I768" s="13"/>
      <c r="J768" s="294"/>
      <c r="K768" s="189"/>
      <c r="L768" s="124"/>
      <c r="M768" s="17"/>
      <c r="N768" s="17"/>
    </row>
    <row r="769" spans="1:14" ht="12.75" customHeight="1" x14ac:dyDescent="0.2">
      <c r="A769" s="38" t="s">
        <v>1322</v>
      </c>
      <c r="B769" s="17"/>
      <c r="C769" s="17"/>
      <c r="D769" s="17"/>
      <c r="E769" s="17"/>
      <c r="F769" s="17"/>
      <c r="G769" s="38" t="s">
        <v>3392</v>
      </c>
      <c r="H769" s="38" t="s">
        <v>624</v>
      </c>
      <c r="I769" s="276"/>
      <c r="J769" s="294" t="str">
        <f>IF(ISBLANK(HLOOKUP(CaseName,CaseData,MATCH($G769,cases!$G$4:$G$2458,0),FALSE)),"",HLOOKUP(CaseName,CaseData,MATCH($G769,cases!$G$4:$G$2458,0),FALSE))</f>
        <v/>
      </c>
      <c r="K769" s="428">
        <f>L774+L775</f>
        <v>3.663258818281463E-10</v>
      </c>
      <c r="L769" s="298">
        <f t="shared" ref="L769:L786" si="49">IF(ISBLANK(I769),IF(ISNUMBER(J769)=FALSE,K769,J769),I769)</f>
        <v>3.663258818281463E-10</v>
      </c>
      <c r="M769" s="17" t="s">
        <v>1048</v>
      </c>
      <c r="N769" s="17"/>
    </row>
    <row r="770" spans="1:14" ht="12.75" customHeight="1" x14ac:dyDescent="0.2">
      <c r="A770" s="38" t="s">
        <v>2719</v>
      </c>
      <c r="B770" s="17"/>
      <c r="C770" s="17"/>
      <c r="D770" s="17"/>
      <c r="E770" s="17"/>
      <c r="F770" s="17"/>
      <c r="G770" s="38" t="s">
        <v>3393</v>
      </c>
      <c r="H770" s="38" t="s">
        <v>624</v>
      </c>
      <c r="I770" s="276"/>
      <c r="J770" s="294" t="str">
        <f>IF(ISBLANK(HLOOKUP(CaseName,CaseData,MATCH($G770,cases!$G$4:$G$2458,0),FALSE)),"",HLOOKUP(CaseName,CaseData,MATCH($G770,cases!$G$4:$G$2458,0),FALSE))</f>
        <v/>
      </c>
      <c r="K770" s="428">
        <f>L778</f>
        <v>9.9928051802702038E-21</v>
      </c>
      <c r="L770" s="298">
        <f t="shared" si="49"/>
        <v>9.9928051802702038E-21</v>
      </c>
      <c r="M770" s="17" t="s">
        <v>1048</v>
      </c>
      <c r="N770" s="17"/>
    </row>
    <row r="771" spans="1:14" ht="12.75" customHeight="1" x14ac:dyDescent="0.2">
      <c r="A771" s="38" t="s">
        <v>2721</v>
      </c>
      <c r="B771" s="17"/>
      <c r="C771" s="17"/>
      <c r="D771" s="17"/>
      <c r="E771" s="17"/>
      <c r="F771" s="17"/>
      <c r="G771" s="38" t="s">
        <v>3394</v>
      </c>
      <c r="H771" s="38" t="s">
        <v>624</v>
      </c>
      <c r="I771" s="276"/>
      <c r="J771" s="294" t="str">
        <f>IF(ISBLANK(HLOOKUP(CaseName,CaseData,MATCH($G771,cases!$G$4:$G$2458,0),FALSE)),"",HLOOKUP(CaseName,CaseData,MATCH($G771,cases!$G$4:$G$2458,0),FALSE))</f>
        <v/>
      </c>
      <c r="K771" s="428">
        <f>L779</f>
        <v>9.9928051802702038E-21</v>
      </c>
      <c r="L771" s="298">
        <f t="shared" si="49"/>
        <v>9.9928051802702038E-21</v>
      </c>
      <c r="M771" s="17" t="s">
        <v>1048</v>
      </c>
      <c r="N771" s="17"/>
    </row>
    <row r="772" spans="1:14" ht="12.75" customHeight="1" x14ac:dyDescent="0.2">
      <c r="A772" s="38" t="s">
        <v>2723</v>
      </c>
      <c r="B772" s="17"/>
      <c r="C772" s="17"/>
      <c r="D772" s="17"/>
      <c r="E772" s="17"/>
      <c r="F772" s="17"/>
      <c r="G772" s="38" t="s">
        <v>3395</v>
      </c>
      <c r="H772" s="38" t="s">
        <v>624</v>
      </c>
      <c r="I772" s="276"/>
      <c r="J772" s="294" t="str">
        <f>IF(ISBLANK(HLOOKUP(CaseName,CaseData,MATCH($G772,cases!$G$4:$G$2458,0),FALSE)),"",HLOOKUP(CaseName,CaseData,MATCH($G772,cases!$G$4:$G$2458,0),FALSE))</f>
        <v/>
      </c>
      <c r="K772" s="428">
        <f>L783+L755/L668</f>
        <v>2.1139861422509831E-12</v>
      </c>
      <c r="L772" s="298">
        <f t="shared" si="49"/>
        <v>2.1139861422509831E-12</v>
      </c>
      <c r="M772" s="17" t="s">
        <v>1048</v>
      </c>
      <c r="N772" s="17"/>
    </row>
    <row r="773" spans="1:14" ht="12.75" customHeight="1" x14ac:dyDescent="0.2">
      <c r="A773" s="38" t="s">
        <v>2725</v>
      </c>
      <c r="B773" s="17"/>
      <c r="C773" s="17"/>
      <c r="D773" s="17"/>
      <c r="E773" s="17"/>
      <c r="F773" s="17"/>
      <c r="G773" s="38" t="s">
        <v>3396</v>
      </c>
      <c r="H773" s="38" t="s">
        <v>624</v>
      </c>
      <c r="I773" s="276"/>
      <c r="J773" s="294" t="str">
        <f>IF(ISBLANK(HLOOKUP(CaseName,CaseData,MATCH($G773,cases!$G$4:$G$2458,0),FALSE)),"",HLOOKUP(CaseName,CaseData,MATCH($G773,cases!$G$4:$G$2458,0),FALSE))</f>
        <v/>
      </c>
      <c r="K773" s="428">
        <f>L784+L785*L736/L714*L786/L669</f>
        <v>5.8436810570371303E-11</v>
      </c>
      <c r="L773" s="298">
        <f t="shared" si="49"/>
        <v>5.8436810570371303E-11</v>
      </c>
      <c r="M773" s="17" t="s">
        <v>1048</v>
      </c>
      <c r="N773" s="17"/>
    </row>
    <row r="774" spans="1:14" ht="12.75" customHeight="1" x14ac:dyDescent="0.2">
      <c r="A774" s="38"/>
      <c r="B774" s="38" t="s">
        <v>1342</v>
      </c>
      <c r="C774" s="146"/>
      <c r="D774" s="17"/>
      <c r="E774" s="17"/>
      <c r="F774" s="17"/>
      <c r="G774" s="146" t="s">
        <v>3397</v>
      </c>
      <c r="H774" s="38" t="s">
        <v>624</v>
      </c>
      <c r="I774" s="281"/>
      <c r="J774" s="294" t="str">
        <f>IF(ISBLANK(HLOOKUP(CaseName,CaseData,MATCH($G774,cases!$G$4:$G$2458,0),FALSE)),"",HLOOKUP(CaseName,CaseData,MATCH($G774,cases!$G$4:$G$2458,0),FALSE))</f>
        <v/>
      </c>
      <c r="K774" s="428">
        <f>LN(2)/(60*365*24*3600)</f>
        <v>3.663258818281463E-10</v>
      </c>
      <c r="L774" s="298">
        <f t="shared" si="49"/>
        <v>3.663258818281463E-10</v>
      </c>
      <c r="M774" s="38" t="s">
        <v>1048</v>
      </c>
      <c r="N774" s="17"/>
    </row>
    <row r="775" spans="1:14" ht="12.75" customHeight="1" x14ac:dyDescent="0.2">
      <c r="A775" s="38"/>
      <c r="B775" s="38" t="s">
        <v>1344</v>
      </c>
      <c r="C775" s="17"/>
      <c r="D775" s="17"/>
      <c r="E775" s="17"/>
      <c r="F775" s="17"/>
      <c r="G775" s="38" t="s">
        <v>3398</v>
      </c>
      <c r="H775" s="38" t="s">
        <v>624</v>
      </c>
      <c r="I775" s="281"/>
      <c r="J775" s="294" t="str">
        <f>IF(ISBLANK(HLOOKUP(CaseName,CaseData,MATCH($G775,cases!$G$4:$G$2458,0),FALSE)),"",HLOOKUP(CaseName,CaseData,MATCH($G775,cases!$G$4:$G$2458,0),FALSE))</f>
        <v/>
      </c>
      <c r="K775" s="428">
        <f>L692*kdegG.air*(L776/C.OHrad)*L777</f>
        <v>1.6778800571159991E-32</v>
      </c>
      <c r="L775" s="298">
        <f t="shared" si="49"/>
        <v>1.6778800571159991E-32</v>
      </c>
      <c r="M775" s="38" t="s">
        <v>1048</v>
      </c>
      <c r="N775" s="17"/>
    </row>
    <row r="776" spans="1:14" ht="12.75" customHeight="1" x14ac:dyDescent="0.2">
      <c r="A776" s="146"/>
      <c r="B776" s="146"/>
      <c r="C776" s="38" t="s">
        <v>3399</v>
      </c>
      <c r="D776" s="17"/>
      <c r="E776" s="17"/>
      <c r="F776" s="17"/>
      <c r="G776" s="38" t="s">
        <v>3400</v>
      </c>
      <c r="H776" s="38" t="s">
        <v>627</v>
      </c>
      <c r="I776" s="281"/>
      <c r="J776" s="294" t="str">
        <f>IF(ISBLANK(HLOOKUP(CaseName,CaseData,MATCH($G776,cases!$G$4:$G$2458,0),FALSE)),"",HLOOKUP(CaseName,CaseData,MATCH($G776,cases!$G$4:$G$2458,0),FALSE))</f>
        <v/>
      </c>
      <c r="K776" s="428">
        <f>C.OHrad</f>
        <v>500000</v>
      </c>
      <c r="L776" s="298">
        <f t="shared" si="49"/>
        <v>500000</v>
      </c>
      <c r="M776" s="38" t="s">
        <v>1348</v>
      </c>
      <c r="N776" s="17"/>
    </row>
    <row r="777" spans="1:14" ht="12.75" customHeight="1" x14ac:dyDescent="0.2">
      <c r="A777" s="146"/>
      <c r="B777" s="146"/>
      <c r="C777" s="38" t="s">
        <v>2190</v>
      </c>
      <c r="D777" s="17"/>
      <c r="E777" s="17"/>
      <c r="F777" s="17"/>
      <c r="G777" s="38" t="s">
        <v>3401</v>
      </c>
      <c r="H777" s="38" t="s">
        <v>296</v>
      </c>
      <c r="I777" s="281"/>
      <c r="J777" s="294" t="str">
        <f>IF(ISBLANK(HLOOKUP(CaseName,CaseData,MATCH($G777,cases!$G$4:$G$2458,0),FALSE)),"",HLOOKUP(CaseName,CaseData,MATCH($G777,cases!$G$4:$G$2458,0),FALSE))</f>
        <v/>
      </c>
      <c r="K777" s="428">
        <f>EXP((Ea.OHrad/8.314)*(L696-298)/298^2)</f>
        <v>1</v>
      </c>
      <c r="L777" s="298">
        <f t="shared" si="49"/>
        <v>1</v>
      </c>
      <c r="M777" s="38" t="s">
        <v>297</v>
      </c>
      <c r="N777" s="17"/>
    </row>
    <row r="778" spans="1:14" ht="12.75" customHeight="1" x14ac:dyDescent="0.2">
      <c r="A778" s="38"/>
      <c r="B778" s="38" t="s">
        <v>2732</v>
      </c>
      <c r="C778" s="17"/>
      <c r="D778" s="17"/>
      <c r="E778" s="17"/>
      <c r="F778" s="17"/>
      <c r="G778" s="38" t="s">
        <v>3402</v>
      </c>
      <c r="H778" s="38" t="s">
        <v>624</v>
      </c>
      <c r="I778" s="281"/>
      <c r="J778" s="294" t="str">
        <f>IF(ISBLANK(HLOOKUP(CaseName,CaseData,MATCH($G778,cases!$G$4:$G$2458,0),FALSE)),"",HLOOKUP(CaseName,CaseData,MATCH($G778,cases!$G$4:$G$2458,0),FALSE))</f>
        <v/>
      </c>
      <c r="K778" s="428">
        <f>kdeg.water*L782*(L780/BACT.test)*L699</f>
        <v>9.9928051802702038E-21</v>
      </c>
      <c r="L778" s="298">
        <f t="shared" si="49"/>
        <v>9.9928051802702038E-21</v>
      </c>
      <c r="M778" s="38" t="s">
        <v>1048</v>
      </c>
      <c r="N778" s="17"/>
    </row>
    <row r="779" spans="1:14" ht="12.75" customHeight="1" x14ac:dyDescent="0.2">
      <c r="A779" s="38"/>
      <c r="B779" s="38" t="s">
        <v>2734</v>
      </c>
      <c r="C779" s="17"/>
      <c r="D779" s="17"/>
      <c r="E779" s="17"/>
      <c r="F779" s="17"/>
      <c r="G779" s="38" t="s">
        <v>3403</v>
      </c>
      <c r="H779" s="38" t="s">
        <v>624</v>
      </c>
      <c r="I779" s="281"/>
      <c r="J779" s="294" t="str">
        <f>IF(ISBLANK(HLOOKUP(CaseName,CaseData,MATCH($G779,cases!$G$4:$G$2458,0),FALSE)),"",HLOOKUP(CaseName,CaseData,MATCH($G779,cases!$G$4:$G$2458,0),FALSE))</f>
        <v/>
      </c>
      <c r="K779" s="428">
        <f>kdeg.water*L782*(L781/BACT.test)*L700</f>
        <v>9.9928051802702038E-21</v>
      </c>
      <c r="L779" s="298">
        <f t="shared" si="49"/>
        <v>9.9928051802702038E-21</v>
      </c>
      <c r="M779" s="38" t="s">
        <v>1048</v>
      </c>
      <c r="N779" s="17"/>
    </row>
    <row r="780" spans="1:14" ht="12.75" customHeight="1" x14ac:dyDescent="0.2">
      <c r="A780" s="38"/>
      <c r="B780" s="38"/>
      <c r="C780" s="38" t="s">
        <v>2736</v>
      </c>
      <c r="D780" s="17"/>
      <c r="E780" s="17"/>
      <c r="F780" s="17"/>
      <c r="G780" s="146" t="s">
        <v>3404</v>
      </c>
      <c r="H780" s="38" t="s">
        <v>1359</v>
      </c>
      <c r="I780" s="281"/>
      <c r="J780" s="294" t="str">
        <f>IF(ISBLANK(HLOOKUP(CaseName,CaseData,MATCH($G780,cases!$G$4:$G$2458,0),FALSE)),"",HLOOKUP(CaseName,CaseData,MATCH($G780,cases!$G$4:$G$2458,0),FALSE))</f>
        <v/>
      </c>
      <c r="K780" s="405">
        <v>40000</v>
      </c>
      <c r="L780" s="298">
        <f t="shared" si="49"/>
        <v>40000</v>
      </c>
      <c r="M780" s="38" t="s">
        <v>645</v>
      </c>
      <c r="N780" s="17"/>
    </row>
    <row r="781" spans="1:14" ht="12.75" customHeight="1" x14ac:dyDescent="0.2">
      <c r="A781" s="38"/>
      <c r="B781" s="38"/>
      <c r="C781" s="38" t="s">
        <v>3093</v>
      </c>
      <c r="D781" s="17"/>
      <c r="E781" s="17"/>
      <c r="F781" s="17"/>
      <c r="G781" s="146" t="s">
        <v>3405</v>
      </c>
      <c r="H781" s="38" t="s">
        <v>1359</v>
      </c>
      <c r="I781" s="281"/>
      <c r="J781" s="294" t="str">
        <f>IF(ISBLANK(HLOOKUP(CaseName,CaseData,MATCH($G781,cases!$G$4:$G$2458,0),FALSE)),"",HLOOKUP(CaseName,CaseData,MATCH($G781,cases!$G$4:$G$2458,0),FALSE))</f>
        <v/>
      </c>
      <c r="K781" s="405">
        <v>40000</v>
      </c>
      <c r="L781" s="298">
        <f t="shared" si="49"/>
        <v>40000</v>
      </c>
      <c r="M781" s="38" t="s">
        <v>645</v>
      </c>
      <c r="N781" s="17"/>
    </row>
    <row r="782" spans="1:14" ht="12.75" customHeight="1" x14ac:dyDescent="0.2">
      <c r="A782" s="146"/>
      <c r="B782" s="146"/>
      <c r="C782" s="38" t="s">
        <v>1365</v>
      </c>
      <c r="D782" s="17"/>
      <c r="E782" s="17"/>
      <c r="F782" s="17"/>
      <c r="G782" s="38" t="s">
        <v>3406</v>
      </c>
      <c r="H782" s="38" t="s">
        <v>296</v>
      </c>
      <c r="I782" s="281"/>
      <c r="J782" s="294" t="str">
        <f>IF(ISBLANK(HLOOKUP(CaseName,CaseData,MATCH($G782,cases!$G$4:$G$2458,0),FALSE)),"",HLOOKUP(CaseName,CaseData,MATCH($G782,cases!$G$4:$G$2458,0),FALSE))</f>
        <v/>
      </c>
      <c r="K782" s="428">
        <f>Q.10^((L696-298)/10)</f>
        <v>1</v>
      </c>
      <c r="L782" s="298">
        <f t="shared" si="49"/>
        <v>1</v>
      </c>
      <c r="M782" s="38" t="s">
        <v>297</v>
      </c>
      <c r="N782" s="17"/>
    </row>
    <row r="783" spans="1:14" ht="12.75" customHeight="1" x14ac:dyDescent="0.2">
      <c r="A783" s="38"/>
      <c r="B783" s="38" t="s">
        <v>2741</v>
      </c>
      <c r="C783" s="17"/>
      <c r="D783" s="17"/>
      <c r="E783" s="17"/>
      <c r="F783" s="17"/>
      <c r="G783" s="38" t="s">
        <v>3407</v>
      </c>
      <c r="H783" s="38" t="s">
        <v>624</v>
      </c>
      <c r="I783" s="281"/>
      <c r="J783" s="294" t="str">
        <f>IF(ISBLANK(HLOOKUP(CaseName,CaseData,MATCH($G783,cases!$G$4:$G$2458,0),FALSE)),"",HLOOKUP(CaseName,CaseData,MATCH($G783,cases!$G$4:$G$2458,0),FALSE))</f>
        <v/>
      </c>
      <c r="K783" s="428">
        <f>L782*kdeg.sed</f>
        <v>9.9999999999999995E-21</v>
      </c>
      <c r="L783" s="298">
        <f t="shared" si="49"/>
        <v>9.9999999999999995E-21</v>
      </c>
      <c r="M783" s="38" t="s">
        <v>1048</v>
      </c>
      <c r="N783" s="17"/>
    </row>
    <row r="784" spans="1:14" ht="12.75" customHeight="1" x14ac:dyDescent="0.2">
      <c r="A784" s="38"/>
      <c r="B784" s="38" t="s">
        <v>2743</v>
      </c>
      <c r="C784" s="17"/>
      <c r="D784" s="17"/>
      <c r="E784" s="17"/>
      <c r="F784" s="17"/>
      <c r="G784" s="38" t="s">
        <v>3408</v>
      </c>
      <c r="H784" s="38" t="s">
        <v>624</v>
      </c>
      <c r="I784" s="281"/>
      <c r="J784" s="294" t="str">
        <f>IF(ISBLANK(HLOOKUP(CaseName,CaseData,MATCH($G784,cases!$G$4:$G$2458,0),FALSE)),"",HLOOKUP(CaseName,CaseData,MATCH($G784,cases!$G$4:$G$2458,0),FALSE))</f>
        <v/>
      </c>
      <c r="K784" s="428">
        <f>L782*kdeg.soil</f>
        <v>9.9999999999999995E-21</v>
      </c>
      <c r="L784" s="298">
        <f t="shared" si="49"/>
        <v>9.9999999999999995E-21</v>
      </c>
      <c r="M784" s="38" t="s">
        <v>1048</v>
      </c>
      <c r="N784" s="17"/>
    </row>
    <row r="785" spans="1:16" ht="12.75" customHeight="1" x14ac:dyDescent="0.2">
      <c r="A785" s="17"/>
      <c r="B785" s="17"/>
      <c r="C785" s="38" t="s">
        <v>2745</v>
      </c>
      <c r="D785" s="17"/>
      <c r="E785" s="17"/>
      <c r="F785" s="17"/>
      <c r="G785" s="146" t="s">
        <v>3409</v>
      </c>
      <c r="H785" s="38" t="s">
        <v>296</v>
      </c>
      <c r="I785" s="281"/>
      <c r="J785" s="294" t="str">
        <f>IF(ISBLANK(HLOOKUP(CaseName,CaseData,MATCH($G785,cases!$G$4:$G$2458,0),FALSE)),"",HLOOKUP(CaseName,CaseData,MATCH($G785,cases!$G$4:$G$2458,0),FALSE))</f>
        <v/>
      </c>
      <c r="K785" s="405">
        <f>FRACinf.C</f>
        <v>0.25</v>
      </c>
      <c r="L785" s="298">
        <f t="shared" si="49"/>
        <v>0.25</v>
      </c>
      <c r="M785" s="17" t="s">
        <v>297</v>
      </c>
      <c r="N785" s="17"/>
      <c r="O785" s="11"/>
      <c r="P785" s="11"/>
    </row>
    <row r="786" spans="1:16" ht="12.75" customHeight="1" x14ac:dyDescent="0.2">
      <c r="A786" s="38"/>
      <c r="B786" s="38"/>
      <c r="C786" s="17" t="s">
        <v>1236</v>
      </c>
      <c r="D786" s="17"/>
      <c r="E786" s="146"/>
      <c r="F786" s="146"/>
      <c r="G786" s="38" t="s">
        <v>3410</v>
      </c>
      <c r="H786" s="17" t="s">
        <v>296</v>
      </c>
      <c r="I786" s="276"/>
      <c r="J786" s="294" t="str">
        <f>IF(ISBLANK(HLOOKUP(CaseName,CaseData,MATCH($G786,cases!$G$4:$G$2458,0),FALSE)),"",HLOOKUP(CaseName,CaseData,MATCH($G786,cases!$G$4:$G$2458,0),FALSE))</f>
        <v/>
      </c>
      <c r="K786" s="428">
        <f>(EXP((-1/0.1)*0.5)*(1/0.1)*L669/(1-EXP((-1/0.1)*L669)))</f>
        <v>8.5622262133111474E-3</v>
      </c>
      <c r="L786" s="298">
        <f t="shared" si="49"/>
        <v>8.5622262133111474E-3</v>
      </c>
      <c r="M786" s="38" t="s">
        <v>297</v>
      </c>
      <c r="N786" s="17" t="s">
        <v>1238</v>
      </c>
      <c r="O786" s="11"/>
      <c r="P786" s="11"/>
    </row>
    <row r="787" spans="1:16" ht="12.75" customHeight="1" x14ac:dyDescent="0.2">
      <c r="A787" s="168"/>
      <c r="B787" s="168"/>
      <c r="C787" s="168"/>
      <c r="D787" s="168"/>
      <c r="E787" s="168"/>
      <c r="F787" s="168"/>
      <c r="G787" s="168"/>
      <c r="H787" s="357"/>
      <c r="I787" s="264"/>
      <c r="J787" s="294" t="str">
        <f>IF(ISBLANK(HLOOKUP(CaseName,CaseData,MATCH($G787,cases!$G$4:$G$2458,0),FALSE)),"",HLOOKUP(CaseName,CaseData,MATCH($G787,cases!$G$4:$G$2458,0),FALSE))</f>
        <v/>
      </c>
      <c r="K787" s="297"/>
      <c r="L787" s="409"/>
      <c r="M787" s="168"/>
      <c r="N787" s="168"/>
      <c r="O787" s="11"/>
      <c r="P787" s="11"/>
    </row>
    <row r="788" spans="1:16" s="413" customFormat="1" ht="12.75" customHeight="1" x14ac:dyDescent="0.2">
      <c r="A788" s="631" t="s">
        <v>1389</v>
      </c>
      <c r="G788" s="631" t="s">
        <v>263</v>
      </c>
      <c r="H788" s="631" t="s">
        <v>279</v>
      </c>
      <c r="I788" s="413" t="s">
        <v>264</v>
      </c>
      <c r="J788" s="294"/>
      <c r="K788" s="648" t="s">
        <v>265</v>
      </c>
      <c r="L788" s="649" t="s">
        <v>266</v>
      </c>
      <c r="N788" s="631" t="s">
        <v>267</v>
      </c>
      <c r="O788" s="209" t="s">
        <v>1390</v>
      </c>
      <c r="P788" s="413" t="s">
        <v>1391</v>
      </c>
    </row>
    <row r="789" spans="1:16" s="410" customFormat="1" ht="12.75" customHeight="1" x14ac:dyDescent="0.2">
      <c r="A789" s="410" t="s">
        <v>3411</v>
      </c>
      <c r="G789" s="655"/>
      <c r="H789" s="655"/>
      <c r="J789" s="294" t="str">
        <f>IF(ISBLANK(HLOOKUP(CaseName,CaseData,MATCH($G789,cases!$G$4:$G$2458,0),FALSE)),"",HLOOKUP(CaseName,CaseData,MATCH($G789,cases!$G$4:$G$2458,0),FALSE))</f>
        <v/>
      </c>
      <c r="K789" s="658"/>
      <c r="L789" s="659"/>
      <c r="O789" s="417"/>
    </row>
    <row r="790" spans="1:16" customFormat="1" ht="12.75" customHeight="1" x14ac:dyDescent="0.2">
      <c r="A790" s="567" t="s">
        <v>1393</v>
      </c>
      <c r="B790" s="567"/>
      <c r="C790" s="567"/>
      <c r="D790" s="567"/>
      <c r="E790" s="567"/>
      <c r="F790" s="567"/>
      <c r="G790" s="567" t="s">
        <v>3412</v>
      </c>
      <c r="H790" s="568" t="s">
        <v>340</v>
      </c>
      <c r="I790" s="678"/>
      <c r="J790" s="294" t="str">
        <f>IF(ISBLANK(HLOOKUP(CaseName,CaseData,MATCH($G790,cases!$G$4:$G$2458,0),FALSE)),"",HLOOKUP(CaseName,CaseData,MATCH($G790,cases!$G$4:$G$2458,0),FALSE))</f>
        <v/>
      </c>
      <c r="K790" s="626">
        <f>L791+L796</f>
        <v>5.3121642605596714E-5</v>
      </c>
      <c r="L790" s="298">
        <f t="shared" ref="L790:L805" si="50">IF(ISBLANK(I790),IF(ISNUMBER(J790)=FALSE,K790,J790),I790)</f>
        <v>5.3121642605596714E-5</v>
      </c>
      <c r="M790" s="568" t="s">
        <v>340</v>
      </c>
      <c r="N790" s="567"/>
      <c r="O790" s="605">
        <v>2</v>
      </c>
      <c r="P790" s="567" t="s">
        <v>1395</v>
      </c>
    </row>
    <row r="791" spans="1:16" customFormat="1" ht="12.75" customHeight="1" x14ac:dyDescent="0.2">
      <c r="A791" s="567"/>
      <c r="B791" s="567" t="s">
        <v>1396</v>
      </c>
      <c r="C791" s="567"/>
      <c r="D791" s="567"/>
      <c r="E791" s="567"/>
      <c r="F791" s="567"/>
      <c r="G791" s="567" t="s">
        <v>3413</v>
      </c>
      <c r="H791" s="567" t="s">
        <v>340</v>
      </c>
      <c r="I791" s="678"/>
      <c r="J791" s="294" t="str">
        <f>IF(ISBLANK(HLOOKUP(CaseName,CaseData,MATCH($G791,cases!$G$4:$G$2458,0),FALSE)),"",HLOOKUP(CaseName,CaseData,MATCH($G791,cases!$G$4:$G$2458,0),FALSE))</f>
        <v/>
      </c>
      <c r="K791" s="577">
        <f>L795*(4*PI()*(RadNuc+RadS)*(L794+DiffS.aT))*L792</f>
        <v>5.0503333995461197E-6</v>
      </c>
      <c r="L791" s="298">
        <f t="shared" si="50"/>
        <v>5.0503333995461197E-6</v>
      </c>
      <c r="M791" s="567" t="s">
        <v>340</v>
      </c>
      <c r="N791" s="567"/>
      <c r="O791" s="605">
        <v>10</v>
      </c>
      <c r="P791" s="567" t="s">
        <v>915</v>
      </c>
    </row>
    <row r="792" spans="1:16" customFormat="1" ht="12.75" customHeight="1" x14ac:dyDescent="0.2">
      <c r="A792" s="567"/>
      <c r="B792" s="567"/>
      <c r="C792" s="567" t="s">
        <v>713</v>
      </c>
      <c r="D792" s="567"/>
      <c r="E792" s="567"/>
      <c r="F792" s="567"/>
      <c r="G792" s="567" t="s">
        <v>3414</v>
      </c>
      <c r="H792" s="568" t="s">
        <v>715</v>
      </c>
      <c r="I792" s="678"/>
      <c r="J792" s="294" t="str">
        <f>IF(ISBLANK(HLOOKUP(CaseName,CaseData,MATCH($G792,cases!$G$4:$G$2458,0),FALSE)),"",HLOOKUP(CaseName,CaseData,MATCH($G792,cases!$G$4:$G$2458,0),FALSE))</f>
        <v/>
      </c>
      <c r="K792" s="577">
        <f>3.2*10^9</f>
        <v>3200000000</v>
      </c>
      <c r="L792" s="298">
        <f t="shared" si="50"/>
        <v>3200000000</v>
      </c>
      <c r="M792" s="568" t="s">
        <v>715</v>
      </c>
      <c r="N792" s="567"/>
      <c r="O792" s="675"/>
      <c r="P792" s="567" t="s">
        <v>716</v>
      </c>
    </row>
    <row r="793" spans="1:16" customFormat="1" ht="12.75" customHeight="1" x14ac:dyDescent="0.2">
      <c r="A793" s="567"/>
      <c r="B793" s="567"/>
      <c r="C793" s="567" t="s">
        <v>1403</v>
      </c>
      <c r="D793" s="567"/>
      <c r="E793" s="567"/>
      <c r="F793" s="567"/>
      <c r="G793" s="568" t="s">
        <v>3415</v>
      </c>
      <c r="H793" s="568" t="s">
        <v>873</v>
      </c>
      <c r="I793" s="678"/>
      <c r="J793" s="294" t="str">
        <f>IF(ISBLANK(HLOOKUP(CaseName,CaseData,MATCH($G793,cases!$G$4:$G$2458,0),FALSE)),"",HLOOKUP(CaseName,CaseData,MATCH($G793,cases!$G$4:$G$2458,0),FALSE))</f>
        <v/>
      </c>
      <c r="K793" s="577">
        <f>((8*kboltz*L696)/((PI()*(4/3*PI()*(RadNuc)^3)*RhoNuc)))^0.5</f>
        <v>1.3870873730212456</v>
      </c>
      <c r="L793" s="298">
        <f t="shared" si="50"/>
        <v>1.3870873730212456</v>
      </c>
      <c r="M793" s="568" t="s">
        <v>873</v>
      </c>
      <c r="N793" s="567"/>
      <c r="O793" s="605"/>
      <c r="P793" s="567"/>
    </row>
    <row r="794" spans="1:16" customFormat="1" ht="12.75" customHeight="1" x14ac:dyDescent="0.2">
      <c r="A794" s="567"/>
      <c r="B794" s="567"/>
      <c r="C794" s="567" t="s">
        <v>1401</v>
      </c>
      <c r="D794" s="567"/>
      <c r="E794" s="567"/>
      <c r="F794" s="567"/>
      <c r="G794" s="567" t="s">
        <v>3416</v>
      </c>
      <c r="H794" s="567" t="s">
        <v>907</v>
      </c>
      <c r="I794" s="678"/>
      <c r="J794" s="294" t="str">
        <f>IF(ISBLANK(HLOOKUP(CaseName,CaseData,MATCH($G794,cases!$G$4:$G$2458,0),FALSE)),"",HLOOKUP(CaseName,CaseData,MATCH($G794,cases!$G$4:$G$2458,0),FALSE))</f>
        <v/>
      </c>
      <c r="K794" s="577">
        <f>(kboltz*L696*(1+(66*10^-9/RadNuc)*(1.142+0.558*EXP(-0.999/(66*10^-9/RadNuc)))))/(6*PI()*DYNVISC.a*RadNuc)</f>
        <v>1.4112556779210446E-8</v>
      </c>
      <c r="L794" s="298">
        <f t="shared" si="50"/>
        <v>1.4112556779210446E-8</v>
      </c>
      <c r="M794" s="567" t="s">
        <v>907</v>
      </c>
      <c r="N794" s="567"/>
      <c r="O794" s="605"/>
      <c r="P794" s="567"/>
    </row>
    <row r="795" spans="1:16" customFormat="1" ht="12.75" customHeight="1" x14ac:dyDescent="0.2">
      <c r="A795" s="567"/>
      <c r="B795" s="567"/>
      <c r="C795" s="567" t="s">
        <v>1398</v>
      </c>
      <c r="D795" s="567"/>
      <c r="E795" s="567"/>
      <c r="F795" s="567"/>
      <c r="G795" s="568" t="s">
        <v>3417</v>
      </c>
      <c r="H795" s="568" t="s">
        <v>296</v>
      </c>
      <c r="I795" s="678"/>
      <c r="J795" s="294" t="str">
        <f>IF(ISBLANK(HLOOKUP(CaseName,CaseData,MATCH($G795,cases!$G$4:$G$2458,0),FALSE)),"",HLOOKUP(CaseName,CaseData,MATCH($G795,cases!$G$4:$G$2458,0),FALSE))</f>
        <v/>
      </c>
      <c r="K795" s="577">
        <f>(1+(4*(DiffS.aT+L794))/((RadS+RadNuc)*(ThermvelS^2+L793^2)^0.5))^-1</f>
        <v>0.12072957769176873</v>
      </c>
      <c r="L795" s="298">
        <f t="shared" si="50"/>
        <v>0.12072957769176873</v>
      </c>
      <c r="M795" s="568" t="s">
        <v>296</v>
      </c>
      <c r="N795" s="567"/>
      <c r="O795" s="676" t="s">
        <v>1400</v>
      </c>
      <c r="P795" s="567"/>
    </row>
    <row r="796" spans="1:16" customFormat="1" ht="12.75" customHeight="1" x14ac:dyDescent="0.2">
      <c r="A796" s="567" t="s">
        <v>1405</v>
      </c>
      <c r="B796" s="567"/>
      <c r="C796" s="567"/>
      <c r="D796" s="567"/>
      <c r="E796" s="567"/>
      <c r="F796" s="567"/>
      <c r="G796" s="567" t="s">
        <v>3418</v>
      </c>
      <c r="H796" s="567" t="s">
        <v>340</v>
      </c>
      <c r="I796" s="678"/>
      <c r="J796" s="294" t="str">
        <f>IF(ISBLANK(HLOOKUP(CaseName,CaseData,MATCH($G796,cases!$G$4:$G$2458,0),FALSE)),"",HLOOKUP(CaseName,CaseData,MATCH($G796,cases!$G$4:$G$2458,0),FALSE))</f>
        <v/>
      </c>
      <c r="K796" s="577">
        <f>L800*(4*PI()*(RadAcc+RadS)*(L799+DiffS.aT))*L797</f>
        <v>4.8071309206050596E-5</v>
      </c>
      <c r="L796" s="298">
        <f t="shared" si="50"/>
        <v>4.8071309206050596E-5</v>
      </c>
      <c r="M796" s="567" t="s">
        <v>340</v>
      </c>
      <c r="N796" s="567"/>
      <c r="O796" s="605"/>
      <c r="P796" s="567"/>
    </row>
    <row r="797" spans="1:16" customFormat="1" ht="12.75" customHeight="1" x14ac:dyDescent="0.2">
      <c r="A797" s="567"/>
      <c r="B797" s="567"/>
      <c r="C797" s="567" t="s">
        <v>717</v>
      </c>
      <c r="D797" s="567"/>
      <c r="E797" s="567"/>
      <c r="F797" s="567"/>
      <c r="G797" s="567" t="s">
        <v>3419</v>
      </c>
      <c r="H797" s="568" t="s">
        <v>715</v>
      </c>
      <c r="I797" s="678"/>
      <c r="J797" s="294" t="str">
        <f>IF(ISBLANK(HLOOKUP(CaseName,CaseData,MATCH($G797,cases!$G$4:$G$2458,0),FALSE)),"",HLOOKUP(CaseName,CaseData,MATCH($G797,cases!$G$4:$G$2458,0),FALSE))</f>
        <v/>
      </c>
      <c r="K797" s="577">
        <f>2.9*10^9</f>
        <v>2900000000</v>
      </c>
      <c r="L797" s="298">
        <f t="shared" si="50"/>
        <v>2900000000</v>
      </c>
      <c r="M797" s="568" t="s">
        <v>715</v>
      </c>
      <c r="N797" s="567"/>
      <c r="O797" s="675"/>
      <c r="P797" s="567" t="s">
        <v>716</v>
      </c>
    </row>
    <row r="798" spans="1:16" customFormat="1" ht="12.75" customHeight="1" x14ac:dyDescent="0.2">
      <c r="A798" s="567"/>
      <c r="B798" s="567"/>
      <c r="C798" s="567" t="s">
        <v>1407</v>
      </c>
      <c r="D798" s="567"/>
      <c r="E798" s="567"/>
      <c r="F798" s="567"/>
      <c r="G798" s="568" t="s">
        <v>3420</v>
      </c>
      <c r="H798" s="568" t="s">
        <v>873</v>
      </c>
      <c r="I798" s="678"/>
      <c r="J798" s="294" t="str">
        <f>IF(ISBLANK(HLOOKUP(CaseName,CaseData,MATCH($G798,cases!$G$4:$G$2458,0),FALSE)),"",HLOOKUP(CaseName,CaseData,MATCH($G798,cases!$G$4:$G$2458,0),FALSE))</f>
        <v/>
      </c>
      <c r="K798" s="577">
        <f>((8*kboltz*L696)/((PI()*(4/3*PI()*(RadAcc)^3)*RhoAcc)))^0.5</f>
        <v>8.0060538376411375E-2</v>
      </c>
      <c r="L798" s="298">
        <f t="shared" si="50"/>
        <v>8.0060538376411375E-2</v>
      </c>
      <c r="M798" s="568" t="s">
        <v>873</v>
      </c>
      <c r="N798" s="567"/>
      <c r="O798" s="605"/>
      <c r="P798" s="567"/>
    </row>
    <row r="799" spans="1:16" customFormat="1" ht="12.75" customHeight="1" x14ac:dyDescent="0.2">
      <c r="A799" s="567"/>
      <c r="B799" s="567"/>
      <c r="C799" s="567" t="s">
        <v>1409</v>
      </c>
      <c r="D799" s="567"/>
      <c r="E799" s="567"/>
      <c r="F799" s="567"/>
      <c r="G799" s="567" t="s">
        <v>3421</v>
      </c>
      <c r="H799" s="567" t="s">
        <v>907</v>
      </c>
      <c r="I799" s="678"/>
      <c r="J799" s="294" t="str">
        <f>IF(ISBLANK(HLOOKUP(CaseName,CaseData,MATCH($G799,cases!$G$4:$G$2458,0),FALSE)),"",HLOOKUP(CaseName,CaseData,MATCH($G799,cases!$G$4:$G$2458,0),FALSE))</f>
        <v/>
      </c>
      <c r="K799" s="577">
        <f>(kboltz*L696*(1+(66*10^-9/RadAcc)*(1.142+0.558*EXP(-0.999/(66*10^-9/RadAcc)))))/(6*PI()*DYNVISC.a*RadAcc)</f>
        <v>5.3298523504357898E-10</v>
      </c>
      <c r="L799" s="298">
        <f t="shared" si="50"/>
        <v>5.3298523504357898E-10</v>
      </c>
      <c r="M799" s="567" t="s">
        <v>907</v>
      </c>
      <c r="N799" s="567"/>
      <c r="O799" s="605"/>
      <c r="P799" s="567"/>
    </row>
    <row r="800" spans="1:16" customFormat="1" ht="12.75" customHeight="1" x14ac:dyDescent="0.2">
      <c r="A800" s="567"/>
      <c r="B800" s="567"/>
      <c r="C800" s="567" t="s">
        <v>1411</v>
      </c>
      <c r="D800" s="567"/>
      <c r="E800" s="567"/>
      <c r="F800" s="567"/>
      <c r="G800" s="568" t="s">
        <v>3422</v>
      </c>
      <c r="H800" s="568" t="s">
        <v>296</v>
      </c>
      <c r="I800" s="678"/>
      <c r="J800" s="294" t="str">
        <f>IF(ISBLANK(HLOOKUP(CaseName,CaseData,MATCH($G800,cases!$G$4:$G$2458,0),FALSE)),"",HLOOKUP(CaseName,CaseData,MATCH($G800,cases!$G$4:$G$2458,0),FALSE))</f>
        <v/>
      </c>
      <c r="K800" s="577">
        <f>(1+(4*(DiffS.aT+L799))/((RadS+RadAcc)*(L798^2+ThermvelS^2)^0.5))^-1</f>
        <v>0.3754245025940014</v>
      </c>
      <c r="L800" s="298">
        <f t="shared" si="50"/>
        <v>0.3754245025940014</v>
      </c>
      <c r="M800" s="568" t="s">
        <v>296</v>
      </c>
      <c r="N800" s="567"/>
      <c r="O800" s="605"/>
      <c r="P800" s="567"/>
    </row>
    <row r="801" spans="1:16" customFormat="1" ht="12.75" customHeight="1" x14ac:dyDescent="0.2">
      <c r="A801" s="567" t="s">
        <v>1413</v>
      </c>
      <c r="B801" s="567"/>
      <c r="C801" s="567"/>
      <c r="D801" s="567"/>
      <c r="E801" s="567"/>
      <c r="F801" s="567"/>
      <c r="G801" s="568" t="s">
        <v>3423</v>
      </c>
      <c r="H801" s="568" t="s">
        <v>340</v>
      </c>
      <c r="I801" s="678"/>
      <c r="J801" s="294" t="str">
        <f>IF(ISBLANK(HLOOKUP(CaseName,CaseData,MATCH($G801,cases!$G$4:$G$2458,0),FALSE)),"",HLOOKUP(CaseName,CaseData,MATCH($G801,cases!$G$4:$G$2458,0),FALSE))</f>
        <v/>
      </c>
      <c r="K801" s="577">
        <f>L805*(4*PI()*(RadCP.a+RadS)*(L804+DiffS.aT))*L802</f>
        <v>1.6909355154392758E-7</v>
      </c>
      <c r="L801" s="298">
        <f t="shared" si="50"/>
        <v>1.6909355154392758E-7</v>
      </c>
      <c r="M801" s="567" t="s">
        <v>340</v>
      </c>
      <c r="N801" s="567"/>
      <c r="O801" s="605"/>
      <c r="P801" s="567"/>
    </row>
    <row r="802" spans="1:16" customFormat="1" ht="12.75" customHeight="1" x14ac:dyDescent="0.2">
      <c r="A802" s="567"/>
      <c r="B802" s="567" t="s">
        <v>719</v>
      </c>
      <c r="C802" s="567"/>
      <c r="D802" s="567"/>
      <c r="E802" s="567"/>
      <c r="F802" s="567"/>
      <c r="G802" s="567" t="s">
        <v>3424</v>
      </c>
      <c r="H802" s="568" t="s">
        <v>715</v>
      </c>
      <c r="I802" s="678"/>
      <c r="J802" s="294" t="str">
        <f>IF(ISBLANK(HLOOKUP(CaseName,CaseData,MATCH($G802,cases!$G$4:$G$2458,0),FALSE)),"",HLOOKUP(CaseName,CaseData,MATCH($G802,cases!$G$4:$G$2458,0),FALSE))</f>
        <v/>
      </c>
      <c r="K802" s="577">
        <f>3*10^5</f>
        <v>300000</v>
      </c>
      <c r="L802" s="298">
        <f t="shared" si="50"/>
        <v>300000</v>
      </c>
      <c r="M802" s="568" t="s">
        <v>715</v>
      </c>
      <c r="N802" s="567"/>
      <c r="O802" s="675"/>
      <c r="P802" s="567" t="s">
        <v>716</v>
      </c>
    </row>
    <row r="803" spans="1:16" customFormat="1" ht="12.75" customHeight="1" x14ac:dyDescent="0.2">
      <c r="A803" s="567"/>
      <c r="B803" s="567" t="s">
        <v>1415</v>
      </c>
      <c r="C803" s="567"/>
      <c r="D803" s="567"/>
      <c r="E803" s="567"/>
      <c r="F803" s="567"/>
      <c r="G803" s="568" t="s">
        <v>3425</v>
      </c>
      <c r="H803" s="568" t="s">
        <v>873</v>
      </c>
      <c r="I803" s="678"/>
      <c r="J803" s="294" t="str">
        <f>IF(ISBLANK(HLOOKUP(CaseName,CaseData,MATCH($G803,cases!$G$4:$G$2458,0),FALSE)),"",HLOOKUP(CaseName,CaseData,MATCH($G803,cases!$G$4:$G$2458,0),FALSE))</f>
        <v/>
      </c>
      <c r="K803" s="577">
        <f>((8*kboltz*L696)/((PI()*(4/3*PI()*(RadCP.a)^3)*RhoCP.a)))^0.5</f>
        <v>1.3097751077950901E-3</v>
      </c>
      <c r="L803" s="298">
        <f t="shared" si="50"/>
        <v>1.3097751077950901E-3</v>
      </c>
      <c r="M803" s="568" t="s">
        <v>873</v>
      </c>
      <c r="N803" s="567"/>
      <c r="O803" s="605"/>
      <c r="P803" s="567"/>
    </row>
    <row r="804" spans="1:16" customFormat="1" ht="12.75" customHeight="1" x14ac:dyDescent="0.2">
      <c r="A804" s="567"/>
      <c r="B804" s="567" t="s">
        <v>1417</v>
      </c>
      <c r="C804" s="567"/>
      <c r="D804" s="567"/>
      <c r="E804" s="567"/>
      <c r="F804" s="567"/>
      <c r="G804" s="567" t="s">
        <v>3426</v>
      </c>
      <c r="H804" s="567" t="s">
        <v>907</v>
      </c>
      <c r="I804" s="678"/>
      <c r="J804" s="294" t="str">
        <f>IF(ISBLANK(HLOOKUP(CaseName,CaseData,MATCH($G804,cases!$G$4:$G$2458,0),FALSE)),"",HLOOKUP(CaseName,CaseData,MATCH($G804,cases!$G$4:$G$2458,0),FALSE))</f>
        <v/>
      </c>
      <c r="K804" s="577">
        <f>(kboltz*L696)/(6*PI()*DYNVISC.a*RadCP.a)</f>
        <v>1.3399150848328277E-11</v>
      </c>
      <c r="L804" s="298">
        <f t="shared" si="50"/>
        <v>1.3399150848328277E-11</v>
      </c>
      <c r="M804" s="567" t="s">
        <v>907</v>
      </c>
      <c r="N804" s="567"/>
      <c r="O804" s="605"/>
      <c r="P804" s="567"/>
    </row>
    <row r="805" spans="1:16" customFormat="1" ht="12.75" customHeight="1" x14ac:dyDescent="0.2">
      <c r="A805" s="567"/>
      <c r="B805" s="567" t="s">
        <v>1419</v>
      </c>
      <c r="C805" s="567"/>
      <c r="D805" s="567"/>
      <c r="E805" s="567"/>
      <c r="F805" s="567"/>
      <c r="G805" s="568" t="s">
        <v>3427</v>
      </c>
      <c r="H805" s="568" t="s">
        <v>296</v>
      </c>
      <c r="I805" s="678"/>
      <c r="J805" s="294" t="str">
        <f>IF(ISBLANK(HLOOKUP(CaseName,CaseData,MATCH($G805,cases!$G$4:$G$2458,0),FALSE)),"",HLOOKUP(CaseName,CaseData,MATCH($G805,cases!$G$4:$G$2458,0),FALSE))</f>
        <v/>
      </c>
      <c r="K805" s="627">
        <f>(1+(4*(DiffS.aT+L804))/((RadS+RadCP.a)*(L803^2+ThermvelS^2)^0.5))^-1</f>
        <v>0.89701023301668703</v>
      </c>
      <c r="L805" s="298">
        <f t="shared" si="50"/>
        <v>0.89701023301668703</v>
      </c>
      <c r="M805" s="568" t="s">
        <v>296</v>
      </c>
      <c r="N805" s="567"/>
      <c r="O805" s="605"/>
      <c r="P805" s="567"/>
    </row>
    <row r="806" spans="1:16" s="410" customFormat="1" ht="12.75" customHeight="1" x14ac:dyDescent="0.2">
      <c r="A806" s="410" t="s">
        <v>3428</v>
      </c>
      <c r="G806" s="655"/>
      <c r="H806" s="655"/>
      <c r="J806" s="294" t="str">
        <f>IF(ISBLANK(HLOOKUP(CaseName,CaseData,MATCH($G806,cases!$G$4:$G$2458,0),FALSE)),"",HLOOKUP(CaseName,CaseData,MATCH($G806,cases!$G$4:$G$2458,0),FALSE))</f>
        <v/>
      </c>
      <c r="K806" s="658"/>
      <c r="L806" s="659"/>
      <c r="O806" s="417"/>
    </row>
    <row r="807" spans="1:16" customFormat="1" ht="12.75" customHeight="1" x14ac:dyDescent="0.2">
      <c r="A807" s="567" t="s">
        <v>1444</v>
      </c>
      <c r="B807" s="567"/>
      <c r="C807" s="567"/>
      <c r="D807" s="567"/>
      <c r="E807" s="567"/>
      <c r="F807" s="567"/>
      <c r="G807" s="568" t="s">
        <v>3429</v>
      </c>
      <c r="H807" s="568" t="s">
        <v>340</v>
      </c>
      <c r="I807" s="678"/>
      <c r="J807" s="294" t="str">
        <f>IF(ISBLANK(HLOOKUP(CaseName,CaseData,MATCH($G807,cases!$G$4:$G$2458,0),FALSE)),"",HLOOKUP(CaseName,CaseData,MATCH($G807,cases!$G$4:$G$2458,0),FALSE))</f>
        <v/>
      </c>
      <c r="K807" s="626">
        <f>L809*L808*AtefSA.w2</f>
        <v>6.2064655465402432E-3</v>
      </c>
      <c r="L807" s="298">
        <f t="shared" ref="L807:L828" si="51">IF(ISBLANK(I807),IF(ISNUMBER(J807)=FALSE,K807,J807),I807)</f>
        <v>6.2064655465402432E-3</v>
      </c>
      <c r="M807" s="567" t="s">
        <v>340</v>
      </c>
      <c r="N807" s="567"/>
      <c r="O807" s="605"/>
      <c r="P807" s="567"/>
    </row>
    <row r="808" spans="1:16" customFormat="1" ht="12.75" customHeight="1" x14ac:dyDescent="0.2">
      <c r="A808" s="567"/>
      <c r="B808" s="567" t="s">
        <v>1446</v>
      </c>
      <c r="C808" s="567"/>
      <c r="D808" s="567"/>
      <c r="E808" s="567"/>
      <c r="F808" s="567"/>
      <c r="G808" s="568" t="s">
        <v>3430</v>
      </c>
      <c r="H808" s="568" t="s">
        <v>715</v>
      </c>
      <c r="I808" s="678"/>
      <c r="J808" s="294" t="str">
        <f>IF(ISBLANK(HLOOKUP(CaseName,CaseData,MATCH($G808,cases!$G$4:$G$2458,0),FALSE)),"",HLOOKUP(CaseName,CaseData,MATCH($G808,cases!$G$4:$G$2458,0),FALSE))</f>
        <v/>
      </c>
      <c r="K808" s="577">
        <f>2*L709/(SingleVolNC.w*RhoNC.w)</f>
        <v>70735530263064.578</v>
      </c>
      <c r="L808" s="298">
        <f t="shared" si="51"/>
        <v>70735530263064.578</v>
      </c>
      <c r="M808" s="568" t="s">
        <v>715</v>
      </c>
      <c r="N808" s="567"/>
      <c r="O808" s="605"/>
      <c r="P808" s="587" t="s">
        <v>1448</v>
      </c>
    </row>
    <row r="809" spans="1:16" customFormat="1" ht="12.75" customHeight="1" x14ac:dyDescent="0.2">
      <c r="A809" s="567"/>
      <c r="B809" s="567" t="s">
        <v>1449</v>
      </c>
      <c r="C809" s="567"/>
      <c r="D809" s="567"/>
      <c r="E809" s="567"/>
      <c r="F809" s="567"/>
      <c r="G809" s="568" t="s">
        <v>3431</v>
      </c>
      <c r="H809" s="568" t="s">
        <v>340</v>
      </c>
      <c r="I809" s="678"/>
      <c r="J809" s="294" t="str">
        <f>IF(ISBLANK(HLOOKUP(CaseName,CaseData,MATCH($G809,cases!$G$4:$G$2458,0),FALSE)),"",HLOOKUP(CaseName,CaseData,MATCH($G809,cases!$G$4:$G$2458,0),FALSE))</f>
        <v/>
      </c>
      <c r="K809" s="577">
        <f>L810+L817+L818</f>
        <v>8.7741839545960467E-17</v>
      </c>
      <c r="L809" s="298">
        <f t="shared" si="51"/>
        <v>8.7741839545960467E-17</v>
      </c>
      <c r="M809" s="567" t="s">
        <v>340</v>
      </c>
      <c r="N809" s="567"/>
      <c r="O809" s="605"/>
      <c r="P809" s="567"/>
    </row>
    <row r="810" spans="1:16" customFormat="1" ht="12.75" customHeight="1" x14ac:dyDescent="0.2">
      <c r="A810" s="567"/>
      <c r="B810" s="567"/>
      <c r="C810" s="567" t="s">
        <v>1428</v>
      </c>
      <c r="D810" s="567"/>
      <c r="E810" s="567"/>
      <c r="F810" s="567"/>
      <c r="G810" s="568" t="s">
        <v>3432</v>
      </c>
      <c r="H810" s="568" t="s">
        <v>340</v>
      </c>
      <c r="I810" s="678"/>
      <c r="J810" s="294" t="str">
        <f>IF(ISBLANK(HLOOKUP(CaseName,CaseData,MATCH($G810,cases!$G$4:$G$2458,0),FALSE)),"",HLOOKUP(CaseName,CaseData,MATCH($G810,cases!$G$4:$G$2458,0),FALSE))</f>
        <v/>
      </c>
      <c r="K810" s="577">
        <f>(4/3)*L811*(RadS+RadNC.w)^3</f>
        <v>4.9651666666666685E-20</v>
      </c>
      <c r="L810" s="298">
        <f t="shared" si="51"/>
        <v>4.9651666666666685E-20</v>
      </c>
      <c r="M810" s="567" t="s">
        <v>340</v>
      </c>
      <c r="N810" s="567"/>
      <c r="O810" s="605"/>
      <c r="P810" s="567"/>
    </row>
    <row r="811" spans="1:16" customFormat="1" ht="12.75" customHeight="1" x14ac:dyDescent="0.2">
      <c r="A811" s="567"/>
      <c r="B811" s="567"/>
      <c r="C811" s="567"/>
      <c r="D811" s="567" t="s">
        <v>1452</v>
      </c>
      <c r="E811" s="567"/>
      <c r="F811" s="567"/>
      <c r="G811" s="568" t="s">
        <v>3433</v>
      </c>
      <c r="H811" s="568" t="s">
        <v>340</v>
      </c>
      <c r="I811" s="678"/>
      <c r="J811" s="294" t="str">
        <f>IF(ISBLANK(HLOOKUP(CaseName,CaseData,MATCH($G811,cases!$G$4:$G$2458,0),FALSE)),"",HLOOKUP(CaseName,CaseData,MATCH($G811,cases!$G$4:$G$2458,0),FALSE))</f>
        <v/>
      </c>
      <c r="K811" s="577">
        <v>10</v>
      </c>
      <c r="L811" s="298">
        <f t="shared" si="51"/>
        <v>10</v>
      </c>
      <c r="M811" s="568" t="s">
        <v>340</v>
      </c>
      <c r="N811" s="567"/>
      <c r="O811" s="605"/>
      <c r="P811" s="587" t="s">
        <v>1432</v>
      </c>
    </row>
    <row r="812" spans="1:16" customFormat="1" ht="12.75" customHeight="1" x14ac:dyDescent="0.2">
      <c r="A812" s="567" t="s">
        <v>1444</v>
      </c>
      <c r="B812" s="567"/>
      <c r="C812" s="567"/>
      <c r="D812" s="567"/>
      <c r="E812" s="567"/>
      <c r="F812" s="567"/>
      <c r="G812" s="568" t="s">
        <v>3434</v>
      </c>
      <c r="H812" s="568" t="s">
        <v>340</v>
      </c>
      <c r="I812" s="678"/>
      <c r="J812" s="294" t="str">
        <f>IF(ISBLANK(HLOOKUP(CaseName,CaseData,MATCH($G812,cases!$G$4:$G$2458,0),FALSE)),"",HLOOKUP(CaseName,CaseData,MATCH($G812,cases!$G$4:$G$2458,0),FALSE))</f>
        <v/>
      </c>
      <c r="K812" s="577">
        <f>L814*L813*AtefSA.w3</f>
        <v>6.2064655465402432E-3</v>
      </c>
      <c r="L812" s="298">
        <f t="shared" si="51"/>
        <v>6.2064655465402432E-3</v>
      </c>
      <c r="M812" s="567" t="s">
        <v>340</v>
      </c>
      <c r="N812" s="567"/>
      <c r="O812" s="605"/>
      <c r="P812" s="567"/>
    </row>
    <row r="813" spans="1:16" customFormat="1" ht="12.75" customHeight="1" x14ac:dyDescent="0.2">
      <c r="A813" s="567"/>
      <c r="B813" s="567" t="s">
        <v>1446</v>
      </c>
      <c r="C813" s="567"/>
      <c r="D813" s="567"/>
      <c r="E813" s="567"/>
      <c r="F813" s="567"/>
      <c r="G813" s="568" t="s">
        <v>3435</v>
      </c>
      <c r="H813" s="568" t="s">
        <v>715</v>
      </c>
      <c r="I813" s="678"/>
      <c r="J813" s="294" t="str">
        <f>IF(ISBLANK(HLOOKUP(CaseName,CaseData,MATCH($G813,cases!$G$4:$G$2458,0),FALSE)),"",HLOOKUP(CaseName,CaseData,MATCH($G813,cases!$G$4:$G$2458,0),FALSE))</f>
        <v/>
      </c>
      <c r="K813" s="577">
        <f>2*L710/(SingleVolNC.w*RhoNC.w)</f>
        <v>70735530263064.578</v>
      </c>
      <c r="L813" s="298">
        <f t="shared" si="51"/>
        <v>70735530263064.578</v>
      </c>
      <c r="M813" s="568" t="s">
        <v>715</v>
      </c>
      <c r="N813" s="567"/>
      <c r="O813" s="605"/>
      <c r="P813" s="587" t="s">
        <v>1448</v>
      </c>
    </row>
    <row r="814" spans="1:16" customFormat="1" ht="12.75" customHeight="1" x14ac:dyDescent="0.2">
      <c r="A814" s="567"/>
      <c r="B814" s="567" t="s">
        <v>1449</v>
      </c>
      <c r="C814" s="567"/>
      <c r="D814" s="567"/>
      <c r="E814" s="567"/>
      <c r="F814" s="567"/>
      <c r="G814" s="568" t="s">
        <v>3436</v>
      </c>
      <c r="H814" s="568" t="s">
        <v>340</v>
      </c>
      <c r="I814" s="678"/>
      <c r="J814" s="294" t="str">
        <f>IF(ISBLANK(HLOOKUP(CaseName,CaseData,MATCH($G814,cases!$G$4:$G$2458,0),FALSE)),"",HLOOKUP(CaseName,CaseData,MATCH($G814,cases!$G$4:$G$2458,0),FALSE))</f>
        <v/>
      </c>
      <c r="K814" s="577">
        <f>L815+L817+L818</f>
        <v>8.7741839545960467E-17</v>
      </c>
      <c r="L814" s="298">
        <f t="shared" si="51"/>
        <v>8.7741839545960467E-17</v>
      </c>
      <c r="M814" s="567" t="s">
        <v>340</v>
      </c>
      <c r="N814" s="567"/>
      <c r="O814" s="605"/>
      <c r="P814" s="567"/>
    </row>
    <row r="815" spans="1:16" customFormat="1" ht="12.75" customHeight="1" x14ac:dyDescent="0.2">
      <c r="A815" s="567"/>
      <c r="B815" s="567"/>
      <c r="C815" s="567" t="s">
        <v>1428</v>
      </c>
      <c r="D815" s="567"/>
      <c r="E815" s="567"/>
      <c r="F815" s="567"/>
      <c r="G815" s="568" t="s">
        <v>3437</v>
      </c>
      <c r="H815" s="568" t="s">
        <v>340</v>
      </c>
      <c r="I815" s="678"/>
      <c r="J815" s="294" t="str">
        <f>IF(ISBLANK(HLOOKUP(CaseName,CaseData,MATCH($G815,cases!$G$4:$G$2458,0),FALSE)),"",HLOOKUP(CaseName,CaseData,MATCH($G815,cases!$G$4:$G$2458,0),FALSE))</f>
        <v/>
      </c>
      <c r="K815" s="577">
        <f>(4/3)*L816*(RadS+RadNC.w)^3</f>
        <v>4.9651666666666685E-20</v>
      </c>
      <c r="L815" s="298">
        <f t="shared" si="51"/>
        <v>4.9651666666666685E-20</v>
      </c>
      <c r="M815" s="567" t="s">
        <v>340</v>
      </c>
      <c r="N815" s="567"/>
      <c r="O815" s="605"/>
      <c r="P815" s="567"/>
    </row>
    <row r="816" spans="1:16" customFormat="1" ht="12.75" customHeight="1" x14ac:dyDescent="0.2">
      <c r="A816" s="567"/>
      <c r="B816" s="567"/>
      <c r="C816" s="567"/>
      <c r="D816" s="567" t="s">
        <v>1452</v>
      </c>
      <c r="E816" s="567"/>
      <c r="F816" s="567"/>
      <c r="G816" s="568" t="s">
        <v>3438</v>
      </c>
      <c r="H816" s="568" t="s">
        <v>340</v>
      </c>
      <c r="I816" s="678"/>
      <c r="J816" s="294" t="str">
        <f>IF(ISBLANK(HLOOKUP(CaseName,CaseData,MATCH($G816,cases!$G$4:$G$2458,0),FALSE)),"",HLOOKUP(CaseName,CaseData,MATCH($G816,cases!$G$4:$G$2458,0),FALSE))</f>
        <v/>
      </c>
      <c r="K816" s="577">
        <v>10</v>
      </c>
      <c r="L816" s="298">
        <f t="shared" si="51"/>
        <v>10</v>
      </c>
      <c r="M816" s="568" t="s">
        <v>340</v>
      </c>
      <c r="N816" s="567"/>
      <c r="O816" s="605"/>
      <c r="P816" s="587" t="s">
        <v>1432</v>
      </c>
    </row>
    <row r="817" spans="1:16" customFormat="1" ht="12.75" customHeight="1" x14ac:dyDescent="0.2">
      <c r="A817" s="567"/>
      <c r="B817" s="567"/>
      <c r="C817" s="567" t="s">
        <v>1454</v>
      </c>
      <c r="D817" s="567"/>
      <c r="E817" s="567"/>
      <c r="F817" s="567"/>
      <c r="G817" s="567" t="s">
        <v>3439</v>
      </c>
      <c r="H817" s="567" t="s">
        <v>340</v>
      </c>
      <c r="I817" s="678"/>
      <c r="J817" s="294" t="str">
        <f>IF(ISBLANK(HLOOKUP(CaseName,CaseData,MATCH($G817,cases!$G$4:$G$2458,0),FALSE)),"",HLOOKUP(CaseName,CaseData,MATCH($G817,cases!$G$4:$G$2458,0),FALSE))</f>
        <v/>
      </c>
      <c r="K817" s="577">
        <f>(2*kboltz*L696)/(3*DYNVISC.w)*(RadS+RadNC.w)^2/(RadS*RadNC.w)</f>
        <v>8.7688499012286551E-17</v>
      </c>
      <c r="L817" s="552">
        <f t="shared" si="51"/>
        <v>8.7688499012286551E-17</v>
      </c>
      <c r="M817" s="567" t="s">
        <v>340</v>
      </c>
      <c r="N817" s="567"/>
      <c r="O817" s="605"/>
      <c r="P817" s="567"/>
    </row>
    <row r="818" spans="1:16" customFormat="1" ht="12.75" customHeight="1" x14ac:dyDescent="0.2">
      <c r="A818" s="567"/>
      <c r="B818" s="567"/>
      <c r="C818" s="567" t="s">
        <v>1456</v>
      </c>
      <c r="D818" s="567"/>
      <c r="E818" s="567"/>
      <c r="F818" s="567"/>
      <c r="G818" s="568" t="s">
        <v>3440</v>
      </c>
      <c r="H818" s="568" t="s">
        <v>340</v>
      </c>
      <c r="I818" s="678"/>
      <c r="J818" s="294" t="str">
        <f>IF(ISBLANK(HLOOKUP(CaseName,CaseData,MATCH($G818,cases!$G$4:$G$2458,0),FALSE)),"",HLOOKUP(CaseName,CaseData,MATCH($G818,cases!$G$4:$G$2458,0),FALSE))</f>
        <v/>
      </c>
      <c r="K818" s="577">
        <f>PI()*(RadS+RadNC.w)^2*ABS(SetVelS.w-SetVelNC.w)</f>
        <v>3.6888670072520785E-21</v>
      </c>
      <c r="L818" s="298">
        <f t="shared" si="51"/>
        <v>3.6888670072520785E-21</v>
      </c>
      <c r="M818" s="567" t="s">
        <v>340</v>
      </c>
      <c r="N818" s="567"/>
      <c r="O818" s="605"/>
      <c r="P818" s="567"/>
    </row>
    <row r="819" spans="1:16" customFormat="1" ht="12.75" customHeight="1" x14ac:dyDescent="0.2">
      <c r="A819" s="567" t="s">
        <v>1476</v>
      </c>
      <c r="B819" s="567"/>
      <c r="C819" s="567"/>
      <c r="D819" s="567"/>
      <c r="E819" s="567"/>
      <c r="F819" s="567"/>
      <c r="G819" s="568" t="s">
        <v>3441</v>
      </c>
      <c r="H819" s="568" t="s">
        <v>340</v>
      </c>
      <c r="I819" s="678"/>
      <c r="J819" s="294" t="str">
        <f>IF(ISBLANK(HLOOKUP(CaseName,CaseData,MATCH($G819,cases!$G$4:$G$2458,0),FALSE)),"",HLOOKUP(CaseName,CaseData,MATCH($G819,cases!$G$4:$G$2458,0),FALSE))</f>
        <v/>
      </c>
      <c r="K819" s="577">
        <f>L820*L821*AtefSP.w2</f>
        <v>5.0294024208521204E-5</v>
      </c>
      <c r="L819" s="298">
        <f t="shared" si="51"/>
        <v>5.0294024208521204E-5</v>
      </c>
      <c r="M819" s="567" t="s">
        <v>340</v>
      </c>
      <c r="N819" s="567"/>
      <c r="O819" s="605"/>
      <c r="P819" s="567"/>
    </row>
    <row r="820" spans="1:16" customFormat="1" ht="12.75" customHeight="1" x14ac:dyDescent="0.2">
      <c r="A820" s="567"/>
      <c r="B820" s="567" t="s">
        <v>1470</v>
      </c>
      <c r="C820" s="567"/>
      <c r="D820" s="567"/>
      <c r="E820" s="567"/>
      <c r="F820" s="567"/>
      <c r="G820" s="568" t="s">
        <v>3442</v>
      </c>
      <c r="H820" s="568" t="s">
        <v>715</v>
      </c>
      <c r="I820" s="678"/>
      <c r="J820" s="294" t="str">
        <f>IF(ISBLANK(HLOOKUP(CaseName,CaseData,MATCH($G820,cases!$G$4:$G$2458,0),FALSE)),"",HLOOKUP(CaseName,CaseData,MATCH($G820,cases!$G$4:$G$2458,0),FALSE))</f>
        <v/>
      </c>
      <c r="K820" s="577">
        <f>(L705)/(SingleVolSPM.w*RhoSPM.w)</f>
        <v>17683882565.766148</v>
      </c>
      <c r="L820" s="298">
        <f t="shared" si="51"/>
        <v>17683882565.766148</v>
      </c>
      <c r="M820" s="567" t="s">
        <v>715</v>
      </c>
      <c r="N820" s="567"/>
      <c r="O820" s="605"/>
      <c r="P820" s="567"/>
    </row>
    <row r="821" spans="1:16" customFormat="1" ht="12.75" customHeight="1" x14ac:dyDescent="0.2">
      <c r="A821" s="567"/>
      <c r="B821" s="567" t="s">
        <v>1481</v>
      </c>
      <c r="C821" s="567"/>
      <c r="D821" s="567"/>
      <c r="E821" s="567"/>
      <c r="F821" s="567"/>
      <c r="G821" s="568" t="s">
        <v>3443</v>
      </c>
      <c r="H821" s="567" t="s">
        <v>340</v>
      </c>
      <c r="I821" s="678"/>
      <c r="J821" s="294" t="str">
        <f>IF(ISBLANK(HLOOKUP(CaseName,CaseData,MATCH($G821,cases!$G$4:$G$2458,0),FALSE)),"",HLOOKUP(CaseName,CaseData,MATCH($G821,cases!$G$4:$G$2458,0),FALSE))</f>
        <v/>
      </c>
      <c r="K821" s="577">
        <f>L827+L828+L822</f>
        <v>2.844060065513234E-15</v>
      </c>
      <c r="L821" s="298">
        <f t="shared" si="51"/>
        <v>2.844060065513234E-15</v>
      </c>
      <c r="M821" s="567" t="s">
        <v>340</v>
      </c>
      <c r="N821" s="567"/>
      <c r="O821" s="605"/>
      <c r="P821" s="567"/>
    </row>
    <row r="822" spans="1:16" customFormat="1" ht="12.75" customHeight="1" x14ac:dyDescent="0.2">
      <c r="A822" s="567"/>
      <c r="B822" s="567"/>
      <c r="C822" s="567" t="s">
        <v>1466</v>
      </c>
      <c r="D822" s="567"/>
      <c r="E822" s="567"/>
      <c r="F822" s="567"/>
      <c r="G822" s="568" t="s">
        <v>3444</v>
      </c>
      <c r="H822" s="568" t="s">
        <v>340</v>
      </c>
      <c r="I822" s="678"/>
      <c r="J822" s="294" t="str">
        <f>IF(ISBLANK(HLOOKUP(CaseName,CaseData,MATCH($G822,cases!$G$4:$G$2458,0),FALSE)),"",HLOOKUP(CaseName,CaseData,MATCH($G822,cases!$G$4:$G$2458,0),FALSE))</f>
        <v/>
      </c>
      <c r="K822" s="577">
        <f>(4/3)*L811*(RadS+RadSPM.w)^3</f>
        <v>3.6180300166666665E-16</v>
      </c>
      <c r="L822" s="298">
        <f t="shared" si="51"/>
        <v>3.6180300166666665E-16</v>
      </c>
      <c r="M822" s="567" t="s">
        <v>340</v>
      </c>
      <c r="N822" s="567"/>
      <c r="O822" s="605"/>
      <c r="P822" s="567"/>
    </row>
    <row r="823" spans="1:16" customFormat="1" ht="12.75" customHeight="1" x14ac:dyDescent="0.2">
      <c r="A823" s="567" t="s">
        <v>1476</v>
      </c>
      <c r="B823" s="567"/>
      <c r="C823" s="567"/>
      <c r="D823" s="567"/>
      <c r="E823" s="567"/>
      <c r="F823" s="567"/>
      <c r="G823" s="568" t="s">
        <v>3445</v>
      </c>
      <c r="H823" s="568" t="s">
        <v>340</v>
      </c>
      <c r="I823" s="678"/>
      <c r="J823" s="294" t="str">
        <f>IF(ISBLANK(HLOOKUP(CaseName,CaseData,MATCH($G823,cases!$G$4:$G$2458,0),FALSE)),"",HLOOKUP(CaseName,CaseData,MATCH($G823,cases!$G$4:$G$2458,0),FALSE))</f>
        <v/>
      </c>
      <c r="K823" s="577">
        <f>L824*L825*AtefSP.w3</f>
        <v>5.0294024208521204E-5</v>
      </c>
      <c r="L823" s="298">
        <f t="shared" si="51"/>
        <v>5.0294024208521204E-5</v>
      </c>
      <c r="M823" s="567" t="s">
        <v>340</v>
      </c>
      <c r="N823" s="567"/>
      <c r="O823" s="605"/>
      <c r="P823" s="567"/>
    </row>
    <row r="824" spans="1:16" customFormat="1" ht="12.75" customHeight="1" x14ac:dyDescent="0.2">
      <c r="A824" s="567"/>
      <c r="B824" s="567" t="s">
        <v>1470</v>
      </c>
      <c r="C824" s="567"/>
      <c r="D824" s="567"/>
      <c r="E824" s="567"/>
      <c r="F824" s="567"/>
      <c r="G824" s="568" t="s">
        <v>3446</v>
      </c>
      <c r="H824" s="568" t="s">
        <v>715</v>
      </c>
      <c r="I824" s="678"/>
      <c r="J824" s="294" t="str">
        <f>IF(ISBLANK(HLOOKUP(CaseName,CaseData,MATCH($G824,cases!$G$4:$G$2458,0),FALSE)),"",HLOOKUP(CaseName,CaseData,MATCH($G824,cases!$G$4:$G$2458,0),FALSE))</f>
        <v/>
      </c>
      <c r="K824" s="577">
        <f>(L706)/(SingleVolSPM.w*RhoSPM.w)</f>
        <v>17683882565.766148</v>
      </c>
      <c r="L824" s="298">
        <f t="shared" si="51"/>
        <v>17683882565.766148</v>
      </c>
      <c r="M824" s="567" t="s">
        <v>715</v>
      </c>
      <c r="N824" s="567"/>
      <c r="O824" s="605"/>
      <c r="P824" s="567"/>
    </row>
    <row r="825" spans="1:16" customFormat="1" ht="12.75" customHeight="1" x14ac:dyDescent="0.2">
      <c r="A825" s="567"/>
      <c r="B825" s="567" t="s">
        <v>1481</v>
      </c>
      <c r="C825" s="567"/>
      <c r="D825" s="567"/>
      <c r="E825" s="567"/>
      <c r="F825" s="567"/>
      <c r="G825" s="568" t="s">
        <v>3447</v>
      </c>
      <c r="H825" s="567" t="s">
        <v>340</v>
      </c>
      <c r="I825" s="678"/>
      <c r="J825" s="294" t="str">
        <f>IF(ISBLANK(HLOOKUP(CaseName,CaseData,MATCH($G825,cases!$G$4:$G$2458,0),FALSE)),"",HLOOKUP(CaseName,CaseData,MATCH($G825,cases!$G$4:$G$2458,0),FALSE))</f>
        <v/>
      </c>
      <c r="K825" s="577">
        <f>L827+L828+L826</f>
        <v>2.844060065513234E-15</v>
      </c>
      <c r="L825" s="298">
        <f t="shared" si="51"/>
        <v>2.844060065513234E-15</v>
      </c>
      <c r="M825" s="567" t="s">
        <v>340</v>
      </c>
      <c r="N825" s="567"/>
      <c r="O825" s="605"/>
      <c r="P825" s="567"/>
    </row>
    <row r="826" spans="1:16" customFormat="1" ht="12.75" customHeight="1" x14ac:dyDescent="0.2">
      <c r="A826" s="567"/>
      <c r="B826" s="567"/>
      <c r="C826" s="567" t="s">
        <v>1466</v>
      </c>
      <c r="D826" s="567"/>
      <c r="E826" s="567"/>
      <c r="F826" s="567"/>
      <c r="G826" s="568" t="s">
        <v>3448</v>
      </c>
      <c r="H826" s="568" t="s">
        <v>340</v>
      </c>
      <c r="I826" s="678"/>
      <c r="J826" s="294" t="str">
        <f>IF(ISBLANK(HLOOKUP(CaseName,CaseData,MATCH($G826,cases!$G$4:$G$2458,0),FALSE)),"",HLOOKUP(CaseName,CaseData,MATCH($G826,cases!$G$4:$G$2458,0),FALSE))</f>
        <v/>
      </c>
      <c r="K826" s="577">
        <f>(4/3)*L816*(RadS+RadSPM.w)^3</f>
        <v>3.6180300166666665E-16</v>
      </c>
      <c r="L826" s="298">
        <f t="shared" si="51"/>
        <v>3.6180300166666665E-16</v>
      </c>
      <c r="M826" s="567" t="s">
        <v>340</v>
      </c>
      <c r="N826" s="567"/>
      <c r="O826" s="605"/>
      <c r="P826" s="567"/>
    </row>
    <row r="827" spans="1:16" customFormat="1" ht="12.75" customHeight="1" x14ac:dyDescent="0.2">
      <c r="A827" s="567"/>
      <c r="B827" s="567"/>
      <c r="C827" s="567" t="s">
        <v>1484</v>
      </c>
      <c r="D827" s="567"/>
      <c r="E827" s="567"/>
      <c r="F827" s="567"/>
      <c r="G827" s="568" t="s">
        <v>3449</v>
      </c>
      <c r="H827" s="568" t="s">
        <v>340</v>
      </c>
      <c r="I827" s="678"/>
      <c r="J827" s="294" t="str">
        <f>IF(ISBLANK(HLOOKUP(CaseName,CaseData,MATCH($G827,cases!$G$4:$G$2458,0),FALSE)),"",HLOOKUP(CaseName,CaseData,MATCH($G827,cases!$G$4:$G$2458,0),FALSE))</f>
        <v/>
      </c>
      <c r="K827" s="577">
        <f>((2*kboltz*L696)/(3*DYNVISC.w))*(RadS+RadSPM.w)^2/(RadS*RadSPM.w)</f>
        <v>1.6479278632537417E-15</v>
      </c>
      <c r="L827" s="298">
        <f t="shared" si="51"/>
        <v>1.6479278632537417E-15</v>
      </c>
      <c r="M827" s="567" t="s">
        <v>340</v>
      </c>
      <c r="N827" s="567"/>
      <c r="O827" s="605"/>
      <c r="P827" s="567"/>
    </row>
    <row r="828" spans="1:16" customFormat="1" ht="12.75" customHeight="1" x14ac:dyDescent="0.2">
      <c r="A828" s="567"/>
      <c r="B828" s="567"/>
      <c r="C828" s="567" t="s">
        <v>2255</v>
      </c>
      <c r="D828" s="567"/>
      <c r="E828" s="567"/>
      <c r="F828" s="567"/>
      <c r="G828" s="568" t="s">
        <v>3450</v>
      </c>
      <c r="H828" s="568" t="s">
        <v>340</v>
      </c>
      <c r="I828" s="678"/>
      <c r="J828" s="294" t="str">
        <f>IF(ISBLANK(HLOOKUP(CaseName,CaseData,MATCH($G828,cases!$G$4:$G$2458,0),FALSE)),"",HLOOKUP(CaseName,CaseData,MATCH($G828,cases!$G$4:$G$2458,0),FALSE))</f>
        <v/>
      </c>
      <c r="K828" s="627">
        <f>PI()*(RadS+RadSPM.w)^2*ABS(SetVelS.w-SetVelSPM.w)</f>
        <v>8.3432920059282575E-16</v>
      </c>
      <c r="L828" s="298">
        <f t="shared" si="51"/>
        <v>8.3432920059282575E-16</v>
      </c>
      <c r="M828" s="567" t="s">
        <v>340</v>
      </c>
      <c r="N828" s="567"/>
      <c r="O828" s="605"/>
      <c r="P828" s="567"/>
    </row>
    <row r="829" spans="1:16" customFormat="1" ht="12.75" customHeight="1" x14ac:dyDescent="0.2">
      <c r="A829" s="410" t="s">
        <v>3451</v>
      </c>
      <c r="G829" s="172"/>
      <c r="H829" s="172"/>
      <c r="J829" s="294" t="str">
        <f>IF(ISBLANK(HLOOKUP(CaseName,CaseData,MATCH($G829,cases!$G$4:$G$2458,0),FALSE)),"",HLOOKUP(CaseName,CaseData,MATCH($G829,cases!$G$4:$G$2458,0),FALSE))</f>
        <v/>
      </c>
      <c r="K829" s="335"/>
      <c r="L829" s="332"/>
      <c r="O829" s="176"/>
    </row>
    <row r="830" spans="1:16" customFormat="1" ht="12.75" customHeight="1" x14ac:dyDescent="0.2">
      <c r="A830" s="567" t="s">
        <v>2789</v>
      </c>
      <c r="B830" s="567"/>
      <c r="C830" s="567"/>
      <c r="D830" s="567"/>
      <c r="E830" s="567"/>
      <c r="F830" s="567"/>
      <c r="G830" s="568" t="s">
        <v>3452</v>
      </c>
      <c r="H830" s="568" t="s">
        <v>340</v>
      </c>
      <c r="I830" s="678"/>
      <c r="J830" s="294" t="str">
        <f>IF(ISBLANK(HLOOKUP(CaseName,CaseData,MATCH($G830,cases!$G$4:$G$2458,0),FALSE)),"",HLOOKUP(CaseName,CaseData,MATCH($G830,cases!$G$4:$G$2458,0),FALSE))</f>
        <v/>
      </c>
      <c r="K830" s="626">
        <f>AtefSA.sd2*L831*(L832+L833)</f>
        <v>6.2029534095701319E-3</v>
      </c>
      <c r="L830" s="298">
        <f t="shared" ref="L830:L847" si="52">IF(ISBLANK(I830),IF(ISNUMBER(J830)=FALSE,K830,J830),I830)</f>
        <v>6.2029534095701319E-3</v>
      </c>
      <c r="M830" s="568" t="s">
        <v>340</v>
      </c>
      <c r="N830" s="567" t="s">
        <v>2791</v>
      </c>
      <c r="O830" s="605"/>
      <c r="P830" s="567"/>
    </row>
    <row r="831" spans="1:16" customFormat="1" ht="12.75" customHeight="1" x14ac:dyDescent="0.2">
      <c r="A831" s="567"/>
      <c r="B831" s="567" t="s">
        <v>1500</v>
      </c>
      <c r="C831" s="567"/>
      <c r="D831" s="567"/>
      <c r="E831" s="567"/>
      <c r="F831" s="567"/>
      <c r="G831" s="568" t="s">
        <v>3453</v>
      </c>
      <c r="H831" s="568" t="s">
        <v>715</v>
      </c>
      <c r="I831" s="678"/>
      <c r="J831" s="294" t="str">
        <f>IF(ISBLANK(HLOOKUP(CaseName,CaseData,MATCH($G831,cases!$G$4:$G$2458,0),FALSE)),"",HLOOKUP(CaseName,CaseData,MATCH($G831,cases!$G$4:$G$2458,0),FALSE))</f>
        <v/>
      </c>
      <c r="K831" s="577">
        <f>L808</f>
        <v>70735530263064.578</v>
      </c>
      <c r="L831" s="298">
        <f t="shared" si="52"/>
        <v>70735530263064.578</v>
      </c>
      <c r="M831" s="568" t="s">
        <v>715</v>
      </c>
      <c r="N831" s="567" t="s">
        <v>2260</v>
      </c>
      <c r="O831" s="605"/>
      <c r="P831" s="587" t="s">
        <v>3143</v>
      </c>
    </row>
    <row r="832" spans="1:16" customFormat="1" ht="12.75" customHeight="1" x14ac:dyDescent="0.2">
      <c r="A832" s="567"/>
      <c r="B832" s="567"/>
      <c r="C832" s="567" t="s">
        <v>1454</v>
      </c>
      <c r="D832" s="567"/>
      <c r="E832" s="567"/>
      <c r="F832" s="567"/>
      <c r="G832" s="567" t="s">
        <v>3454</v>
      </c>
      <c r="H832" s="567" t="s">
        <v>340</v>
      </c>
      <c r="I832" s="678"/>
      <c r="J832" s="294" t="str">
        <f>IF(ISBLANK(HLOOKUP(CaseName,CaseData,MATCH($G832,cases!$G$4:$G$2458,0),FALSE)),"",HLOOKUP(CaseName,CaseData,MATCH($G832,cases!$G$4:$G$2458,0),FALSE))</f>
        <v/>
      </c>
      <c r="K832" s="577">
        <f>((2*kboltz*L696)/(3*DYNVISC.w))*(RadS+RadNC.sd)^2/(RadS*RadNC.sd)</f>
        <v>8.7688499012286551E-17</v>
      </c>
      <c r="L832" s="552">
        <f t="shared" si="52"/>
        <v>8.7688499012286551E-17</v>
      </c>
      <c r="M832" s="567" t="s">
        <v>340</v>
      </c>
      <c r="N832" s="567"/>
      <c r="O832" s="605"/>
      <c r="P832" s="567"/>
    </row>
    <row r="833" spans="1:16" customFormat="1" ht="12.75" customHeight="1" x14ac:dyDescent="0.2">
      <c r="A833" s="567"/>
      <c r="B833" s="567"/>
      <c r="C833" s="567" t="s">
        <v>1456</v>
      </c>
      <c r="D833" s="567"/>
      <c r="E833" s="567"/>
      <c r="F833" s="567"/>
      <c r="G833" s="568" t="s">
        <v>3455</v>
      </c>
      <c r="H833" s="568" t="s">
        <v>340</v>
      </c>
      <c r="I833" s="678"/>
      <c r="J833" s="294" t="str">
        <f>IF(ISBLANK(HLOOKUP(CaseName,CaseData,MATCH($G833,cases!$G$4:$G$2458,0),FALSE)),"",HLOOKUP(CaseName,CaseData,MATCH($G833,cases!$G$4:$G$2458,0),FALSE))</f>
        <v/>
      </c>
      <c r="K833" s="577">
        <f>PI()*(RadS+RadNC.sd)^2*ABS(SetVelS.w-SetVelNC.sd)</f>
        <v>3.6888670072520785E-21</v>
      </c>
      <c r="L833" s="298">
        <f t="shared" si="52"/>
        <v>3.6888670072520785E-21</v>
      </c>
      <c r="M833" s="567" t="s">
        <v>340</v>
      </c>
      <c r="N833" s="567"/>
      <c r="O833" s="605"/>
      <c r="P833" s="567"/>
    </row>
    <row r="834" spans="1:16" customFormat="1" ht="12.75" customHeight="1" x14ac:dyDescent="0.2">
      <c r="A834" s="567" t="s">
        <v>2795</v>
      </c>
      <c r="B834" s="567"/>
      <c r="C834" s="567"/>
      <c r="D834" s="567"/>
      <c r="E834" s="567"/>
      <c r="F834" s="567"/>
      <c r="G834" s="568" t="s">
        <v>3456</v>
      </c>
      <c r="H834" s="568" t="s">
        <v>340</v>
      </c>
      <c r="I834" s="678"/>
      <c r="J834" s="294" t="str">
        <f>IF(ISBLANK(HLOOKUP(CaseName,CaseData,MATCH($G834,cases!$G$4:$G$2458,0),FALSE)),"",HLOOKUP(CaseName,CaseData,MATCH($G834,cases!$G$4:$G$2458,0),FALSE))</f>
        <v/>
      </c>
      <c r="K834" s="577">
        <f>L835*L837*L836*AtefSP.sd2</f>
        <v>1.5998939535065138E-2</v>
      </c>
      <c r="L834" s="298">
        <f t="shared" si="52"/>
        <v>1.5998939535065138E-2</v>
      </c>
      <c r="M834" s="568" t="s">
        <v>340</v>
      </c>
      <c r="N834" s="567" t="s">
        <v>2791</v>
      </c>
      <c r="O834" s="605"/>
      <c r="P834" s="567"/>
    </row>
    <row r="835" spans="1:16" customFormat="1" ht="12.75" customHeight="1" x14ac:dyDescent="0.2">
      <c r="A835" s="567"/>
      <c r="B835" s="567" t="s">
        <v>1511</v>
      </c>
      <c r="C835" s="567"/>
      <c r="D835" s="567"/>
      <c r="E835" s="567"/>
      <c r="F835" s="567"/>
      <c r="G835" s="568" t="s">
        <v>3457</v>
      </c>
      <c r="H835" s="568" t="s">
        <v>1513</v>
      </c>
      <c r="I835" s="678"/>
      <c r="J835" s="294" t="str">
        <f>IF(ISBLANK(HLOOKUP(CaseName,CaseData,MATCH($G835,cases!$G$4:$G$2458,0),FALSE)),"",HLOOKUP(CaseName,CaseData,MATCH($G835,cases!$G$4:$G$2458,0),FALSE))</f>
        <v/>
      </c>
      <c r="K835" s="577">
        <f>(3/2)*((1-L841)/(2*RadFP.sd*L841))</f>
        <v>1464.8437499999995</v>
      </c>
      <c r="L835" s="298">
        <f t="shared" si="52"/>
        <v>1464.8437499999995</v>
      </c>
      <c r="M835" s="568" t="s">
        <v>1513</v>
      </c>
      <c r="N835" s="567"/>
      <c r="O835" s="605"/>
      <c r="P835" s="567"/>
    </row>
    <row r="836" spans="1:16" customFormat="1" ht="12.75" customHeight="1" x14ac:dyDescent="0.2">
      <c r="A836" s="567"/>
      <c r="B836" s="567" t="s">
        <v>1514</v>
      </c>
      <c r="C836" s="567"/>
      <c r="D836" s="567"/>
      <c r="E836" s="567"/>
      <c r="F836" s="567"/>
      <c r="G836" s="567" t="s">
        <v>3458</v>
      </c>
      <c r="H836" s="568" t="s">
        <v>873</v>
      </c>
      <c r="I836" s="678"/>
      <c r="J836" s="294" t="str">
        <f>IF(ISBLANK(HLOOKUP(CaseName,CaseData,MATCH($G836,cases!$G$4:$G$2458,0),FALSE)),"",HLOOKUP(CaseName,CaseData,MATCH($G836,cases!$G$4:$G$2458,0),FALSE))</f>
        <v/>
      </c>
      <c r="K836" s="628">
        <f>9*10^-6</f>
        <v>9.0000000000000002E-6</v>
      </c>
      <c r="L836" s="298">
        <f t="shared" si="52"/>
        <v>9.0000000000000002E-6</v>
      </c>
      <c r="M836" s="568" t="s">
        <v>873</v>
      </c>
      <c r="N836" s="567"/>
      <c r="O836" s="605"/>
      <c r="P836" s="567" t="s">
        <v>1516</v>
      </c>
    </row>
    <row r="837" spans="1:16" customFormat="1" ht="12.75" customHeight="1" x14ac:dyDescent="0.2">
      <c r="A837" s="567"/>
      <c r="B837" s="567" t="s">
        <v>1517</v>
      </c>
      <c r="C837" s="567"/>
      <c r="D837" s="567"/>
      <c r="E837" s="567"/>
      <c r="F837" s="567"/>
      <c r="G837" s="568" t="s">
        <v>3459</v>
      </c>
      <c r="H837" s="568" t="s">
        <v>296</v>
      </c>
      <c r="I837" s="678"/>
      <c r="J837" s="294" t="str">
        <f>IF(ISBLANK(HLOOKUP(CaseName,CaseData,MATCH($G837,cases!$G$4:$G$2458,0),FALSE)),"",HLOOKUP(CaseName,CaseData,MATCH($G837,cases!$G$4:$G$2458,0),FALSE))</f>
        <v/>
      </c>
      <c r="K837" s="577">
        <f>L838+L842+L843</f>
        <v>1.2135491914004968</v>
      </c>
      <c r="L837" s="298">
        <f t="shared" si="52"/>
        <v>1.2135491914004968</v>
      </c>
      <c r="M837" s="568" t="s">
        <v>296</v>
      </c>
      <c r="N837" s="567"/>
      <c r="O837" s="605"/>
      <c r="P837" s="567" t="s">
        <v>1516</v>
      </c>
    </row>
    <row r="838" spans="1:16" customFormat="1" ht="12.75" customHeight="1" x14ac:dyDescent="0.2">
      <c r="A838" s="567"/>
      <c r="B838" s="567"/>
      <c r="C838" s="567" t="s">
        <v>1519</v>
      </c>
      <c r="D838" s="567"/>
      <c r="E838" s="567"/>
      <c r="F838" s="567"/>
      <c r="G838" s="568" t="s">
        <v>3460</v>
      </c>
      <c r="H838" s="568" t="s">
        <v>296</v>
      </c>
      <c r="I838" s="678"/>
      <c r="J838" s="294" t="str">
        <f>IF(ISBLANK(HLOOKUP(CaseName,CaseData,MATCH($G838,cases!$G$4:$G$2458,0),FALSE)),"",HLOOKUP(CaseName,CaseData,MATCH($G838,cases!$G$4:$G$2458,0),FALSE))</f>
        <v/>
      </c>
      <c r="K838" s="577">
        <f>2.4*L846^(1/3)*L845^(-0.081)*L846^(-0.715)*L844^(0.053)</f>
        <v>1.2135338268139868</v>
      </c>
      <c r="L838" s="298">
        <f t="shared" si="52"/>
        <v>1.2135338268139868</v>
      </c>
      <c r="M838" s="568" t="s">
        <v>296</v>
      </c>
      <c r="N838" s="567"/>
      <c r="O838" s="605"/>
      <c r="P838" s="567" t="s">
        <v>1516</v>
      </c>
    </row>
    <row r="839" spans="1:16" customFormat="1" ht="12.75" customHeight="1" x14ac:dyDescent="0.2">
      <c r="A839" s="567"/>
      <c r="B839" s="567"/>
      <c r="C839" s="567"/>
      <c r="D839" s="567" t="s">
        <v>1521</v>
      </c>
      <c r="E839" s="567"/>
      <c r="F839" s="567"/>
      <c r="G839" s="567" t="s">
        <v>3461</v>
      </c>
      <c r="H839" s="568" t="s">
        <v>296</v>
      </c>
      <c r="I839" s="678"/>
      <c r="J839" s="294" t="str">
        <f>IF(ISBLANK(HLOOKUP(CaseName,CaseData,MATCH($G839,cases!$G$4:$G$2458,0),FALSE)),"",HLOOKUP(CaseName,CaseData,MATCH($G839,cases!$G$4:$G$2458,0),FALSE))</f>
        <v/>
      </c>
      <c r="K839" s="628">
        <f>(2*(1-L840^5))/(2-3*L840+3*L840^5-2*L840^6)</f>
        <v>5.0249997549306684</v>
      </c>
      <c r="L839" s="298">
        <f t="shared" si="52"/>
        <v>5.0249997549306684</v>
      </c>
      <c r="M839" s="568" t="s">
        <v>296</v>
      </c>
      <c r="N839" s="567"/>
      <c r="O839" s="605"/>
      <c r="P839" s="567" t="s">
        <v>1516</v>
      </c>
    </row>
    <row r="840" spans="1:16" customFormat="1" ht="12.75" customHeight="1" x14ac:dyDescent="0.2">
      <c r="A840" s="567"/>
      <c r="B840" s="567"/>
      <c r="C840" s="567"/>
      <c r="D840" s="567"/>
      <c r="E840" s="567" t="s">
        <v>1523</v>
      </c>
      <c r="F840" s="567"/>
      <c r="G840" s="567" t="s">
        <v>3462</v>
      </c>
      <c r="H840" s="568" t="s">
        <v>296</v>
      </c>
      <c r="I840" s="678"/>
      <c r="J840" s="294" t="str">
        <f>IF(ISBLANK(HLOOKUP(CaseName,CaseData,MATCH($G840,cases!$G$4:$G$2458,0),FALSE)),"",HLOOKUP(CaseName,CaseData,MATCH($G840,cases!$G$4:$G$2458,0),FALSE))</f>
        <v/>
      </c>
      <c r="K840" s="628">
        <f>(1-L841)^(1/3)</f>
        <v>0.58480354764257325</v>
      </c>
      <c r="L840" s="298">
        <f t="shared" si="52"/>
        <v>0.58480354764257325</v>
      </c>
      <c r="M840" s="568" t="s">
        <v>296</v>
      </c>
      <c r="N840" s="567"/>
      <c r="O840" s="605"/>
      <c r="P840" s="567" t="s">
        <v>1516</v>
      </c>
    </row>
    <row r="841" spans="1:16" customFormat="1" ht="12.75" customHeight="1" x14ac:dyDescent="0.2">
      <c r="A841" s="567"/>
      <c r="B841" s="567"/>
      <c r="C841" s="567"/>
      <c r="D841" s="567"/>
      <c r="E841" s="567"/>
      <c r="F841" s="567" t="s">
        <v>1525</v>
      </c>
      <c r="G841" s="567" t="s">
        <v>3463</v>
      </c>
      <c r="H841" s="568" t="s">
        <v>1527</v>
      </c>
      <c r="I841" s="678"/>
      <c r="J841" s="294" t="str">
        <f>IF(ISBLANK(HLOOKUP(CaseName,CaseData,MATCH($G841,cases!$G$4:$G$2458,0),FALSE)),"",HLOOKUP(CaseName,CaseData,MATCH($G841,cases!$G$4:$G$2458,0),FALSE))</f>
        <v/>
      </c>
      <c r="K841" s="577">
        <f>L676</f>
        <v>0.8</v>
      </c>
      <c r="L841" s="298">
        <f t="shared" si="52"/>
        <v>0.8</v>
      </c>
      <c r="M841" s="568" t="s">
        <v>1527</v>
      </c>
      <c r="N841" s="567" t="s">
        <v>1528</v>
      </c>
      <c r="O841" s="605"/>
      <c r="P841" s="567"/>
    </row>
    <row r="842" spans="1:16" customFormat="1" ht="12.75" customHeight="1" x14ac:dyDescent="0.2">
      <c r="A842" s="567"/>
      <c r="B842" s="567"/>
      <c r="C842" s="567" t="s">
        <v>1529</v>
      </c>
      <c r="D842" s="567"/>
      <c r="E842" s="567"/>
      <c r="F842" s="567"/>
      <c r="G842" s="568" t="s">
        <v>3464</v>
      </c>
      <c r="H842" s="568" t="s">
        <v>296</v>
      </c>
      <c r="I842" s="678"/>
      <c r="J842" s="294" t="str">
        <f>IF(ISBLANK(HLOOKUP(CaseName,CaseData,MATCH($G842,cases!$G$4:$G$2458,0),FALSE)),"",HLOOKUP(CaseName,CaseData,MATCH($G842,cases!$G$4:$G$2458,0),FALSE))</f>
        <v/>
      </c>
      <c r="K842" s="577">
        <f>0.55*L845^1.55*L846^-0.125*L844^0.125</f>
        <v>5.2218307171999688E-8</v>
      </c>
      <c r="L842" s="298">
        <f t="shared" si="52"/>
        <v>5.2218307171999688E-8</v>
      </c>
      <c r="M842" s="568" t="s">
        <v>296</v>
      </c>
      <c r="N842" s="567"/>
      <c r="O842" s="605"/>
      <c r="P842" s="567" t="s">
        <v>1516</v>
      </c>
    </row>
    <row r="843" spans="1:16" customFormat="1" ht="12.75" customHeight="1" x14ac:dyDescent="0.2">
      <c r="A843" s="567"/>
      <c r="B843" s="567"/>
      <c r="C843" s="567" t="s">
        <v>1531</v>
      </c>
      <c r="D843" s="567"/>
      <c r="E843" s="567"/>
      <c r="F843" s="567"/>
      <c r="G843" s="568" t="s">
        <v>3465</v>
      </c>
      <c r="H843" s="568" t="s">
        <v>296</v>
      </c>
      <c r="I843" s="678"/>
      <c r="J843" s="294" t="str">
        <f>IF(ISBLANK(HLOOKUP(CaseName,CaseData,MATCH($G843,cases!$G$4:$G$2458,0),FALSE)),"",HLOOKUP(CaseName,CaseData,MATCH($G843,cases!$G$4:$G$2458,0),FALSE))</f>
        <v/>
      </c>
      <c r="K843" s="577">
        <f>0.22*L845^-0.24*L847^1.11*L844^0.053</f>
        <v>1.5312368202707912E-5</v>
      </c>
      <c r="L843" s="298">
        <f t="shared" si="52"/>
        <v>1.5312368202707912E-5</v>
      </c>
      <c r="M843" s="568" t="s">
        <v>296</v>
      </c>
      <c r="N843" s="567"/>
      <c r="O843" s="605"/>
      <c r="P843" s="567" t="s">
        <v>1516</v>
      </c>
    </row>
    <row r="844" spans="1:16" customFormat="1" ht="12.75" customHeight="1" x14ac:dyDescent="0.2">
      <c r="A844" s="567"/>
      <c r="B844" s="567"/>
      <c r="C844" s="567"/>
      <c r="D844" s="567" t="s">
        <v>1533</v>
      </c>
      <c r="E844" s="567"/>
      <c r="F844" s="567"/>
      <c r="G844" s="567" t="s">
        <v>3466</v>
      </c>
      <c r="H844" s="568" t="s">
        <v>296</v>
      </c>
      <c r="I844" s="678"/>
      <c r="J844" s="294" t="str">
        <f>IF(ISBLANK(HLOOKUP(CaseName,CaseData,MATCH($G844,cases!$G$4:$G$2458,0),FALSE)),"",HLOOKUP(CaseName,CaseData,MATCH($G844,cases!$G$4:$G$2458,0),FALSE))</f>
        <v/>
      </c>
      <c r="K844" s="628">
        <f>AHamakerSP.w/(kboltz*L696)</f>
        <v>1.6770638859141718</v>
      </c>
      <c r="L844" s="298">
        <f t="shared" si="52"/>
        <v>1.6770638859141718</v>
      </c>
      <c r="M844" s="568" t="s">
        <v>296</v>
      </c>
      <c r="N844" s="567"/>
      <c r="O844" s="605"/>
      <c r="P844" s="567" t="s">
        <v>1516</v>
      </c>
    </row>
    <row r="845" spans="1:16" customFormat="1" ht="12.75" customHeight="1" x14ac:dyDescent="0.2">
      <c r="A845" s="567"/>
      <c r="B845" s="567"/>
      <c r="C845" s="567"/>
      <c r="D845" s="567" t="s">
        <v>1535</v>
      </c>
      <c r="E845" s="567"/>
      <c r="F845" s="567"/>
      <c r="G845" s="567" t="s">
        <v>3467</v>
      </c>
      <c r="H845" s="568" t="s">
        <v>1537</v>
      </c>
      <c r="I845" s="678"/>
      <c r="J845" s="294" t="str">
        <f>IF(ISBLANK(HLOOKUP(CaseName,CaseData,MATCH($G845,cases!$G$4:$G$2458,0),FALSE)),"",HLOOKUP(CaseName,CaseData,MATCH($G845,cases!$G$4:$G$2458,0),FALSE))</f>
        <v/>
      </c>
      <c r="K845" s="628">
        <f>RadS/RadFP.sd</f>
        <v>3.9062500000000001E-5</v>
      </c>
      <c r="L845" s="298">
        <f t="shared" si="52"/>
        <v>3.9062500000000001E-5</v>
      </c>
      <c r="M845" s="568" t="s">
        <v>1537</v>
      </c>
      <c r="N845" s="567"/>
      <c r="O845" s="605"/>
      <c r="P845" s="567" t="s">
        <v>1516</v>
      </c>
    </row>
    <row r="846" spans="1:16" customFormat="1" ht="12.75" customHeight="1" x14ac:dyDescent="0.2">
      <c r="A846" s="567"/>
      <c r="B846" s="567"/>
      <c r="C846" s="567"/>
      <c r="D846" s="567" t="s">
        <v>1538</v>
      </c>
      <c r="E846" s="567"/>
      <c r="F846" s="567"/>
      <c r="G846" s="567" t="s">
        <v>3468</v>
      </c>
      <c r="H846" s="568" t="s">
        <v>296</v>
      </c>
      <c r="I846" s="678"/>
      <c r="J846" s="294" t="str">
        <f>IF(ISBLANK(HLOOKUP(CaseName,CaseData,MATCH($G846,cases!$G$4:$G$2458,0),FALSE)),"",HLOOKUP(CaseName,CaseData,MATCH($G846,cases!$G$4:$G$2458,0),FALSE))</f>
        <v/>
      </c>
      <c r="K846" s="628">
        <f>(L836*2*RadFP.sd)/DiffS.wC</f>
        <v>55.295939834256309</v>
      </c>
      <c r="L846" s="298">
        <f t="shared" si="52"/>
        <v>55.295939834256309</v>
      </c>
      <c r="M846" s="568" t="s">
        <v>296</v>
      </c>
      <c r="N846" s="567"/>
      <c r="O846" s="605"/>
      <c r="P846" s="567" t="s">
        <v>1516</v>
      </c>
    </row>
    <row r="847" spans="1:16" customFormat="1" ht="12.75" customHeight="1" x14ac:dyDescent="0.2">
      <c r="A847" s="567"/>
      <c r="B847" s="567"/>
      <c r="C847" s="567"/>
      <c r="D847" s="567" t="s">
        <v>1540</v>
      </c>
      <c r="E847" s="567"/>
      <c r="F847" s="567"/>
      <c r="G847" s="568" t="s">
        <v>3469</v>
      </c>
      <c r="H847" s="568" t="s">
        <v>296</v>
      </c>
      <c r="I847" s="678"/>
      <c r="J847" s="294" t="str">
        <f>IF(ISBLANK(HLOOKUP(CaseName,CaseData,MATCH($G847,cases!$G$4:$G$2458,0),FALSE)),"",HLOOKUP(CaseName,CaseData,MATCH($G847,cases!$G$4:$G$2458,0),FALSE))</f>
        <v/>
      </c>
      <c r="K847" s="629">
        <f>(2*RadS^2*(ABS(RhoS-Rho.w))*9.81)/(9*DYNVISC.w*L836)</f>
        <v>1.9532490574406746E-5</v>
      </c>
      <c r="L847" s="298">
        <f t="shared" si="52"/>
        <v>1.9532490574406746E-5</v>
      </c>
      <c r="M847" s="568" t="s">
        <v>296</v>
      </c>
      <c r="N847" s="567"/>
      <c r="O847" s="605"/>
      <c r="P847" s="567" t="s">
        <v>1516</v>
      </c>
    </row>
    <row r="848" spans="1:16" customFormat="1" ht="12.75" customHeight="1" x14ac:dyDescent="0.2">
      <c r="A848" s="410" t="s">
        <v>3470</v>
      </c>
      <c r="G848" s="172"/>
      <c r="H848" s="172"/>
      <c r="J848" s="294" t="str">
        <f>IF(ISBLANK(HLOOKUP(CaseName,CaseData,MATCH($G848,cases!$G$4:$G$2458,0),FALSE)),"",HLOOKUP(CaseName,CaseData,MATCH($G848,cases!$G$4:$G$2458,0),FALSE))</f>
        <v/>
      </c>
      <c r="K848" s="335"/>
      <c r="L848" s="332"/>
      <c r="M848" s="172"/>
      <c r="O848" s="176"/>
    </row>
    <row r="849" spans="1:16" customFormat="1" ht="12.75" customHeight="1" x14ac:dyDescent="0.2">
      <c r="A849" s="567" t="s">
        <v>2811</v>
      </c>
      <c r="B849" s="567"/>
      <c r="C849" s="567"/>
      <c r="D849" s="567"/>
      <c r="E849" s="567"/>
      <c r="F849" s="567"/>
      <c r="G849" s="568" t="s">
        <v>3471</v>
      </c>
      <c r="H849" s="568" t="s">
        <v>340</v>
      </c>
      <c r="I849" s="678"/>
      <c r="J849" s="294" t="str">
        <f>IF(ISBLANK(HLOOKUP(CaseName,CaseData,MATCH($G849,cases!$G$4:$G$2458,0),FALSE)),"",HLOOKUP(CaseName,CaseData,MATCH($G849,cases!$G$4:$G$2458,0),FALSE))</f>
        <v/>
      </c>
      <c r="K849" s="626">
        <f>AtefSA.s1*L850*(L852+L853)</f>
        <v>0.10420961728077824</v>
      </c>
      <c r="L849" s="298">
        <f>IF(ISBLANK(I849),IF(ISNUMBER(J849)=FALSE,K849,J849),I849)</f>
        <v>0.10420961728077824</v>
      </c>
      <c r="M849" s="568" t="s">
        <v>340</v>
      </c>
      <c r="N849" s="567"/>
      <c r="O849" s="605"/>
      <c r="P849" s="567"/>
    </row>
    <row r="850" spans="1:16" customFormat="1" ht="12.75" customHeight="1" x14ac:dyDescent="0.2">
      <c r="A850" s="567"/>
      <c r="B850" s="567" t="s">
        <v>1549</v>
      </c>
      <c r="C850" s="567"/>
      <c r="D850" s="567"/>
      <c r="E850" s="567"/>
      <c r="F850" s="567"/>
      <c r="G850" s="568" t="s">
        <v>3472</v>
      </c>
      <c r="H850" s="568" t="s">
        <v>715</v>
      </c>
      <c r="I850" s="678"/>
      <c r="J850" s="294" t="str">
        <f>IF(ISBLANK(HLOOKUP(CaseName,CaseData,MATCH($G850,cases!$G$4:$G$2458,0),FALSE)),"",HLOOKUP(CaseName,CaseData,MATCH($G850,cases!$G$4:$G$2458,0),FALSE))</f>
        <v/>
      </c>
      <c r="K850" s="577">
        <f>(L851)/(SingleVolNC.s*RhoNC.s)</f>
        <v>3536776513153229.5</v>
      </c>
      <c r="L850" s="298">
        <f>IF(ISBLANK(I850),IF(ISNUMBER(J850)=FALSE,K850,J850),I850)</f>
        <v>3536776513153229.5</v>
      </c>
      <c r="M850" s="568" t="s">
        <v>715</v>
      </c>
      <c r="N850" s="567"/>
      <c r="O850" s="605"/>
      <c r="P850" s="567"/>
    </row>
    <row r="851" spans="1:16" customFormat="1" ht="12.75" customHeight="1" x14ac:dyDescent="0.2">
      <c r="A851" s="567"/>
      <c r="B851" s="567" t="s">
        <v>734</v>
      </c>
      <c r="C851" s="567"/>
      <c r="D851" s="567"/>
      <c r="E851" s="567"/>
      <c r="F851" s="567"/>
      <c r="G851" s="568" t="s">
        <v>3473</v>
      </c>
      <c r="H851" s="568" t="s">
        <v>736</v>
      </c>
      <c r="I851" s="678"/>
      <c r="J851" s="294" t="str">
        <f>IF(ISBLANK(HLOOKUP(CaseName,CaseData,MATCH($G851,cases!$G$4:$G$2458,0),FALSE)),"",HLOOKUP(CaseName,CaseData,MATCH($G851,cases!$G$4:$G$2458,0),FALSE))</f>
        <v/>
      </c>
      <c r="K851" s="577">
        <v>100</v>
      </c>
      <c r="L851" s="298">
        <f>IF(ISBLANK(I851),IF(ISNUMBER(J851)=FALSE,K851/1000,J851/1000),I851/1000)</f>
        <v>0.1</v>
      </c>
      <c r="M851" s="568" t="s">
        <v>737</v>
      </c>
      <c r="N851" s="567" t="s">
        <v>738</v>
      </c>
      <c r="O851" s="605"/>
      <c r="P851" s="567"/>
    </row>
    <row r="852" spans="1:16" customFormat="1" ht="12.75" customHeight="1" x14ac:dyDescent="0.2">
      <c r="A852" s="567"/>
      <c r="B852" s="567" t="s">
        <v>1454</v>
      </c>
      <c r="C852" s="567"/>
      <c r="D852" s="567"/>
      <c r="E852" s="567"/>
      <c r="F852" s="567"/>
      <c r="G852" s="568" t="s">
        <v>3474</v>
      </c>
      <c r="H852" s="568" t="s">
        <v>340</v>
      </c>
      <c r="I852" s="678"/>
      <c r="J852" s="294" t="str">
        <f>IF(ISBLANK(HLOOKUP(CaseName,CaseData,MATCH($G852,cases!$G$4:$G$2458,0),FALSE)),"",HLOOKUP(CaseName,CaseData,MATCH($G852,cases!$G$4:$G$2458,0),FALSE))</f>
        <v/>
      </c>
      <c r="K852" s="577">
        <f>((2*kboltz*L696)/(3*DYNVISC.w))*(RadS+RadNC.s)^2/(RadS*RadNC.s)</f>
        <v>8.7688499012286551E-17</v>
      </c>
      <c r="L852" s="298">
        <f t="shared" ref="L852:L867" si="53">IF(ISBLANK(I852),IF(ISNUMBER(J852)=FALSE,K852,J852),I852)</f>
        <v>8.7688499012286551E-17</v>
      </c>
      <c r="M852" s="567" t="s">
        <v>340</v>
      </c>
      <c r="N852" s="567"/>
      <c r="O852" s="605"/>
      <c r="P852" s="567"/>
    </row>
    <row r="853" spans="1:16" customFormat="1" ht="12.75" customHeight="1" x14ac:dyDescent="0.2">
      <c r="A853" s="567"/>
      <c r="B853" s="567" t="s">
        <v>1456</v>
      </c>
      <c r="C853" s="567"/>
      <c r="D853" s="567"/>
      <c r="E853" s="567"/>
      <c r="F853" s="567"/>
      <c r="G853" s="568" t="s">
        <v>3475</v>
      </c>
      <c r="H853" s="568" t="s">
        <v>340</v>
      </c>
      <c r="I853" s="678"/>
      <c r="J853" s="294" t="str">
        <f>IF(ISBLANK(HLOOKUP(CaseName,CaseData,MATCH($G853,cases!$G$4:$G$2458,0),FALSE)),"",HLOOKUP(CaseName,CaseData,MATCH($G853,cases!$G$4:$G$2458,0),FALSE))</f>
        <v/>
      </c>
      <c r="K853" s="577">
        <f>PI()*(RadS+RadNC.s)^2*ABS(SetVelS.w-SetVelNC.s)</f>
        <v>3.6888670072520785E-21</v>
      </c>
      <c r="L853" s="298">
        <f t="shared" si="53"/>
        <v>3.6888670072520785E-21</v>
      </c>
      <c r="M853" s="567" t="s">
        <v>340</v>
      </c>
      <c r="N853" s="567"/>
      <c r="O853" s="605"/>
      <c r="P853" s="567"/>
    </row>
    <row r="854" spans="1:16" customFormat="1" ht="12.75" customHeight="1" x14ac:dyDescent="0.2">
      <c r="A854" s="567" t="s">
        <v>2818</v>
      </c>
      <c r="B854" s="567"/>
      <c r="C854" s="567"/>
      <c r="D854" s="567"/>
      <c r="E854" s="567"/>
      <c r="F854" s="567"/>
      <c r="G854" s="568" t="s">
        <v>3476</v>
      </c>
      <c r="H854" s="568" t="s">
        <v>340</v>
      </c>
      <c r="I854" s="678"/>
      <c r="J854" s="294" t="str">
        <f>IF(ISBLANK(HLOOKUP(CaseName,CaseData,MATCH($G854,cases!$G$4:$G$2458,0),FALSE)),"",HLOOKUP(CaseName,CaseData,MATCH($G854,cases!$G$4:$G$2458,0),FALSE))</f>
        <v/>
      </c>
      <c r="K854" s="577">
        <f>L855*L856*L857*AtefSP.s1</f>
        <v>2.8457686141313963E-2</v>
      </c>
      <c r="L854" s="298">
        <f t="shared" si="53"/>
        <v>2.8457686141313963E-2</v>
      </c>
      <c r="M854" s="568" t="s">
        <v>340</v>
      </c>
      <c r="N854" s="567"/>
      <c r="O854" s="605"/>
      <c r="P854" s="567"/>
    </row>
    <row r="855" spans="1:16" customFormat="1" ht="12.75" customHeight="1" x14ac:dyDescent="0.2">
      <c r="A855" s="567"/>
      <c r="B855" s="567" t="s">
        <v>1556</v>
      </c>
      <c r="C855" s="567"/>
      <c r="D855" s="567"/>
      <c r="E855" s="567"/>
      <c r="F855" s="567"/>
      <c r="G855" s="568" t="s">
        <v>3477</v>
      </c>
      <c r="H855" s="568" t="s">
        <v>1513</v>
      </c>
      <c r="I855" s="678"/>
      <c r="J855" s="294" t="str">
        <f>IF(ISBLANK(HLOOKUP(CaseName,CaseData,MATCH($G855,cases!$G$4:$G$2458,0),FALSE)),"",HLOOKUP(CaseName,CaseData,MATCH($G855,cases!$G$4:$G$2458,0),FALSE))</f>
        <v/>
      </c>
      <c r="K855" s="577">
        <f>(3/2)*(1-L861)/(2*RadFP.s*L861)</f>
        <v>8789.0625000000036</v>
      </c>
      <c r="L855" s="298">
        <f t="shared" si="53"/>
        <v>8789.0625000000036</v>
      </c>
      <c r="M855" s="568" t="s">
        <v>1513</v>
      </c>
      <c r="N855" s="567"/>
      <c r="O855" s="605"/>
      <c r="P855" s="567"/>
    </row>
    <row r="856" spans="1:16" customFormat="1" ht="12.75" customHeight="1" x14ac:dyDescent="0.2">
      <c r="A856" s="567"/>
      <c r="B856" s="567" t="s">
        <v>1558</v>
      </c>
      <c r="C856" s="567"/>
      <c r="D856" s="567"/>
      <c r="E856" s="567"/>
      <c r="F856" s="567"/>
      <c r="G856" s="567" t="s">
        <v>3478</v>
      </c>
      <c r="H856" s="568" t="s">
        <v>873</v>
      </c>
      <c r="I856" s="678"/>
      <c r="J856" s="294" t="str">
        <f>IF(ISBLANK(HLOOKUP(CaseName,CaseData,MATCH($G856,cases!$G$4:$G$2458,0),FALSE)),"",HLOOKUP(CaseName,CaseData,MATCH($G856,cases!$G$4:$G$2458,0),FALSE))</f>
        <v/>
      </c>
      <c r="K856" s="628">
        <f>9*10^-6</f>
        <v>9.0000000000000002E-6</v>
      </c>
      <c r="L856" s="298">
        <f t="shared" si="53"/>
        <v>9.0000000000000002E-6</v>
      </c>
      <c r="M856" s="568" t="s">
        <v>873</v>
      </c>
      <c r="N856" s="567"/>
      <c r="O856" s="605"/>
      <c r="P856" s="567" t="s">
        <v>1516</v>
      </c>
    </row>
    <row r="857" spans="1:16" customFormat="1" ht="12.75" customHeight="1" x14ac:dyDescent="0.2">
      <c r="A857" s="567"/>
      <c r="B857" s="567" t="s">
        <v>1517</v>
      </c>
      <c r="C857" s="567"/>
      <c r="D857" s="567"/>
      <c r="E857" s="567"/>
      <c r="F857" s="567"/>
      <c r="G857" s="568" t="s">
        <v>3479</v>
      </c>
      <c r="H857" s="568" t="s">
        <v>296</v>
      </c>
      <c r="I857" s="678"/>
      <c r="J857" s="294" t="str">
        <f>IF(ISBLANK(HLOOKUP(CaseName,CaseData,MATCH($G857,cases!$G$4:$G$2458,0),FALSE)),"",HLOOKUP(CaseName,CaseData,MATCH($G857,cases!$G$4:$G$2458,0),FALSE))</f>
        <v/>
      </c>
      <c r="K857" s="577">
        <f>L858+L862+L863</f>
        <v>1.0707183498201602</v>
      </c>
      <c r="L857" s="298">
        <f t="shared" si="53"/>
        <v>1.0707183498201602</v>
      </c>
      <c r="M857" s="568" t="s">
        <v>296</v>
      </c>
      <c r="N857" s="567"/>
      <c r="O857" s="605"/>
      <c r="P857" s="567" t="s">
        <v>1516</v>
      </c>
    </row>
    <row r="858" spans="1:16" customFormat="1" ht="12.75" customHeight="1" x14ac:dyDescent="0.2">
      <c r="A858" s="567"/>
      <c r="B858" s="567"/>
      <c r="C858" s="567" t="s">
        <v>1519</v>
      </c>
      <c r="D858" s="567"/>
      <c r="E858" s="567"/>
      <c r="F858" s="567"/>
      <c r="G858" s="568" t="s">
        <v>3480</v>
      </c>
      <c r="H858" s="568" t="s">
        <v>296</v>
      </c>
      <c r="I858" s="678"/>
      <c r="J858" s="294" t="str">
        <f>IF(ISBLANK(HLOOKUP(CaseName,CaseData,MATCH($G858,cases!$G$4:$G$2458,0),FALSE)),"",HLOOKUP(CaseName,CaseData,MATCH($G858,cases!$G$4:$G$2458,0),FALSE))</f>
        <v/>
      </c>
      <c r="K858" s="577">
        <f>2.4*L859^(1/3)*L864^(-0.081)*L865^-0.715*L866^0.053</f>
        <v>1.0707029852336503</v>
      </c>
      <c r="L858" s="298">
        <f t="shared" si="53"/>
        <v>1.0707029852336503</v>
      </c>
      <c r="M858" s="568" t="s">
        <v>296</v>
      </c>
      <c r="N858" s="567"/>
      <c r="O858" s="605"/>
      <c r="P858" s="567" t="s">
        <v>1516</v>
      </c>
    </row>
    <row r="859" spans="1:16" customFormat="1" ht="12.75" customHeight="1" x14ac:dyDescent="0.2">
      <c r="A859" s="567"/>
      <c r="B859" s="567"/>
      <c r="C859" s="567"/>
      <c r="D859" s="567" t="s">
        <v>1521</v>
      </c>
      <c r="E859" s="567"/>
      <c r="F859" s="567"/>
      <c r="G859" s="567" t="s">
        <v>3481</v>
      </c>
      <c r="H859" s="568" t="s">
        <v>296</v>
      </c>
      <c r="I859" s="678"/>
      <c r="J859" s="294" t="str">
        <f>IF(ISBLANK(HLOOKUP(CaseName,CaseData,MATCH($G859,cases!$G$4:$G$2458,0),FALSE)),"",HLOOKUP(CaseName,CaseData,MATCH($G859,cases!$G$4:$G$2458,0),FALSE))</f>
        <v/>
      </c>
      <c r="K859" s="628">
        <f>(2*(1-L860^5))/(2-3*L860+3*L860^5-2*L860^6)</f>
        <v>37.979096123930859</v>
      </c>
      <c r="L859" s="298">
        <f t="shared" si="53"/>
        <v>37.979096123930859</v>
      </c>
      <c r="M859" s="568" t="s">
        <v>296</v>
      </c>
      <c r="N859" s="567"/>
      <c r="O859" s="605"/>
      <c r="P859" s="567" t="s">
        <v>1516</v>
      </c>
    </row>
    <row r="860" spans="1:16" customFormat="1" ht="12.75" customHeight="1" x14ac:dyDescent="0.2">
      <c r="A860" s="567"/>
      <c r="B860" s="567"/>
      <c r="C860" s="567"/>
      <c r="D860" s="567"/>
      <c r="E860" s="567" t="s">
        <v>1563</v>
      </c>
      <c r="F860" s="567"/>
      <c r="G860" s="567" t="s">
        <v>3482</v>
      </c>
      <c r="H860" s="568" t="s">
        <v>296</v>
      </c>
      <c r="I860" s="678"/>
      <c r="J860" s="294" t="str">
        <f>IF(ISBLANK(HLOOKUP(CaseName,CaseData,MATCH($G860,cases!$G$4:$G$2458,0),FALSE)),"",HLOOKUP(CaseName,CaseData,MATCH($G860,cases!$G$4:$G$2458,0),FALSE))</f>
        <v/>
      </c>
      <c r="K860" s="628">
        <f>(1-L861)^(1/3)</f>
        <v>0.84343266530174932</v>
      </c>
      <c r="L860" s="298">
        <f t="shared" si="53"/>
        <v>0.84343266530174932</v>
      </c>
      <c r="M860" s="568" t="s">
        <v>296</v>
      </c>
      <c r="N860" s="567"/>
      <c r="O860" s="605"/>
      <c r="P860" s="567" t="s">
        <v>1516</v>
      </c>
    </row>
    <row r="861" spans="1:16" customFormat="1" ht="12.75" customHeight="1" x14ac:dyDescent="0.2">
      <c r="A861" s="567"/>
      <c r="B861" s="567"/>
      <c r="C861" s="567"/>
      <c r="D861" s="567"/>
      <c r="E861" s="567"/>
      <c r="F861" s="567" t="s">
        <v>1565</v>
      </c>
      <c r="G861" s="567" t="s">
        <v>3483</v>
      </c>
      <c r="H861" s="568" t="s">
        <v>1527</v>
      </c>
      <c r="I861" s="678"/>
      <c r="J861" s="294" t="str">
        <f>IF(ISBLANK(HLOOKUP(CaseName,CaseData,MATCH($G861,cases!$G$4:$G$2458,0),FALSE)),"",HLOOKUP(CaseName,CaseData,MATCH($G861,cases!$G$4:$G$2458,0),FALSE))</f>
        <v/>
      </c>
      <c r="K861" s="577">
        <f>1-L675</f>
        <v>0.39999999999999991</v>
      </c>
      <c r="L861" s="298">
        <f t="shared" si="53"/>
        <v>0.39999999999999991</v>
      </c>
      <c r="M861" s="568" t="s">
        <v>1527</v>
      </c>
      <c r="N861" s="567" t="s">
        <v>1583</v>
      </c>
      <c r="O861" s="605"/>
      <c r="P861" s="567"/>
    </row>
    <row r="862" spans="1:16" customFormat="1" ht="12.75" customHeight="1" x14ac:dyDescent="0.2">
      <c r="A862" s="567"/>
      <c r="B862" s="567"/>
      <c r="C862" s="567" t="s">
        <v>1529</v>
      </c>
      <c r="D862" s="567"/>
      <c r="E862" s="567"/>
      <c r="F862" s="567"/>
      <c r="G862" s="568" t="s">
        <v>3484</v>
      </c>
      <c r="H862" s="568" t="s">
        <v>296</v>
      </c>
      <c r="I862" s="678"/>
      <c r="J862" s="294" t="str">
        <f>IF(ISBLANK(HLOOKUP(CaseName,CaseData,MATCH($G862,cases!$G$4:$G$2458,0),FALSE)),"",HLOOKUP(CaseName,CaseData,MATCH($G862,cases!$G$4:$G$2458,0),FALSE))</f>
        <v/>
      </c>
      <c r="K862" s="577">
        <f>0.55*L864^1.55*L865^-0.125*L866^0.125</f>
        <v>5.2218307171999688E-8</v>
      </c>
      <c r="L862" s="298">
        <f t="shared" si="53"/>
        <v>5.2218307171999688E-8</v>
      </c>
      <c r="M862" s="568" t="s">
        <v>296</v>
      </c>
      <c r="N862" s="567"/>
      <c r="O862" s="605"/>
      <c r="P862" s="567" t="s">
        <v>1516</v>
      </c>
    </row>
    <row r="863" spans="1:16" customFormat="1" ht="12.75" customHeight="1" x14ac:dyDescent="0.2">
      <c r="A863" s="567"/>
      <c r="B863" s="567"/>
      <c r="C863" s="567" t="s">
        <v>1531</v>
      </c>
      <c r="D863" s="567"/>
      <c r="E863" s="567"/>
      <c r="F863" s="567"/>
      <c r="G863" s="568" t="s">
        <v>3485</v>
      </c>
      <c r="H863" s="568" t="s">
        <v>296</v>
      </c>
      <c r="I863" s="678"/>
      <c r="J863" s="294" t="str">
        <f>IF(ISBLANK(HLOOKUP(CaseName,CaseData,MATCH($G863,cases!$G$4:$G$2458,0),FALSE)),"",HLOOKUP(CaseName,CaseData,MATCH($G863,cases!$G$4:$G$2458,0),FALSE))</f>
        <v/>
      </c>
      <c r="K863" s="577">
        <f>0.22*L864^-0.24*L867^1.11*L866^0.053</f>
        <v>1.5312368202707912E-5</v>
      </c>
      <c r="L863" s="298">
        <f t="shared" si="53"/>
        <v>1.5312368202707912E-5</v>
      </c>
      <c r="M863" s="568" t="s">
        <v>296</v>
      </c>
      <c r="N863" s="567"/>
      <c r="O863" s="605"/>
      <c r="P863" s="567" t="s">
        <v>1516</v>
      </c>
    </row>
    <row r="864" spans="1:16" customFormat="1" ht="12.75" customHeight="1" x14ac:dyDescent="0.2">
      <c r="A864" s="567"/>
      <c r="B864" s="567"/>
      <c r="C864" s="567"/>
      <c r="D864" s="567" t="s">
        <v>1535</v>
      </c>
      <c r="E864" s="567"/>
      <c r="F864" s="567"/>
      <c r="G864" s="567" t="s">
        <v>3486</v>
      </c>
      <c r="H864" s="568" t="s">
        <v>1537</v>
      </c>
      <c r="I864" s="678"/>
      <c r="J864" s="294" t="str">
        <f>IF(ISBLANK(HLOOKUP(CaseName,CaseData,MATCH($G864,cases!$G$4:$G$2458,0),FALSE)),"",HLOOKUP(CaseName,CaseData,MATCH($G864,cases!$G$4:$G$2458,0),FALSE))</f>
        <v/>
      </c>
      <c r="K864" s="628">
        <f>RadS/RadFP.s</f>
        <v>3.9062500000000001E-5</v>
      </c>
      <c r="L864" s="298">
        <f t="shared" si="53"/>
        <v>3.9062500000000001E-5</v>
      </c>
      <c r="M864" s="568" t="s">
        <v>1537</v>
      </c>
      <c r="N864" s="567"/>
      <c r="O864" s="605"/>
      <c r="P864" s="567" t="s">
        <v>1516</v>
      </c>
    </row>
    <row r="865" spans="1:16" customFormat="1" ht="12.75" customHeight="1" x14ac:dyDescent="0.2">
      <c r="A865" s="567"/>
      <c r="B865" s="567"/>
      <c r="C865" s="567"/>
      <c r="D865" s="567" t="s">
        <v>1538</v>
      </c>
      <c r="E865" s="567"/>
      <c r="F865" s="567"/>
      <c r="G865" s="567" t="s">
        <v>3487</v>
      </c>
      <c r="H865" s="568" t="s">
        <v>296</v>
      </c>
      <c r="I865" s="678"/>
      <c r="J865" s="294" t="str">
        <f>IF(ISBLANK(HLOOKUP(CaseName,CaseData,MATCH($G865,cases!$G$4:$G$2458,0),FALSE)),"",HLOOKUP(CaseName,CaseData,MATCH($G865,cases!$G$4:$G$2458,0),FALSE))</f>
        <v/>
      </c>
      <c r="K865" s="628">
        <f>(L856*2*RadFP.s)/(DiffS.wC)</f>
        <v>55.295939834256309</v>
      </c>
      <c r="L865" s="298">
        <f t="shared" si="53"/>
        <v>55.295939834256309</v>
      </c>
      <c r="M865" s="568" t="s">
        <v>296</v>
      </c>
      <c r="N865" s="567"/>
      <c r="O865" s="605"/>
      <c r="P865" s="567" t="s">
        <v>1516</v>
      </c>
    </row>
    <row r="866" spans="1:16" customFormat="1" ht="12.75" customHeight="1" x14ac:dyDescent="0.2">
      <c r="A866" s="567"/>
      <c r="B866" s="567"/>
      <c r="C866" s="567"/>
      <c r="D866" s="567" t="s">
        <v>1533</v>
      </c>
      <c r="E866" s="567"/>
      <c r="F866" s="567"/>
      <c r="G866" s="567" t="s">
        <v>3488</v>
      </c>
      <c r="H866" s="568" t="s">
        <v>296</v>
      </c>
      <c r="I866" s="678"/>
      <c r="J866" s="294" t="str">
        <f>IF(ISBLANK(HLOOKUP(CaseName,CaseData,MATCH($G866,cases!$G$4:$G$2458,0),FALSE)),"",HLOOKUP(CaseName,CaseData,MATCH($G866,cases!$G$4:$G$2458,0),FALSE))</f>
        <v/>
      </c>
      <c r="K866" s="628">
        <f>AHamakerSP.w/(kboltz*L696)</f>
        <v>1.6770638859141718</v>
      </c>
      <c r="L866" s="298">
        <f t="shared" si="53"/>
        <v>1.6770638859141718</v>
      </c>
      <c r="M866" s="568" t="s">
        <v>296</v>
      </c>
      <c r="N866" s="567"/>
      <c r="O866" s="605"/>
      <c r="P866" s="567" t="s">
        <v>1516</v>
      </c>
    </row>
    <row r="867" spans="1:16" customFormat="1" ht="12.75" customHeight="1" x14ac:dyDescent="0.2">
      <c r="A867" s="567"/>
      <c r="B867" s="567"/>
      <c r="C867" s="567"/>
      <c r="D867" s="567" t="s">
        <v>1540</v>
      </c>
      <c r="E867" s="567"/>
      <c r="F867" s="567"/>
      <c r="G867" s="568" t="s">
        <v>3489</v>
      </c>
      <c r="H867" s="568" t="s">
        <v>296</v>
      </c>
      <c r="I867" s="678"/>
      <c r="J867" s="294" t="str">
        <f>IF(ISBLANK(HLOOKUP(CaseName,CaseData,MATCH($G867,cases!$G$4:$G$2458,0),FALSE)),"",HLOOKUP(CaseName,CaseData,MATCH($G867,cases!$G$4:$G$2458,0),FALSE))</f>
        <v/>
      </c>
      <c r="K867" s="629">
        <f>(2*RadS^2*(ABS(RhoS-Rho.w))*9.81)/(9*DYNVISC.w*L856)</f>
        <v>1.9532490574406746E-5</v>
      </c>
      <c r="L867" s="298">
        <f t="shared" si="53"/>
        <v>1.9532490574406746E-5</v>
      </c>
      <c r="M867" s="568" t="s">
        <v>296</v>
      </c>
      <c r="N867" s="567"/>
      <c r="O867" s="605"/>
      <c r="P867" s="567" t="s">
        <v>1516</v>
      </c>
    </row>
    <row r="868" spans="1:16" customFormat="1" ht="12.75" customHeight="1" x14ac:dyDescent="0.2">
      <c r="G868" s="172"/>
      <c r="H868" s="172"/>
      <c r="J868" s="294"/>
      <c r="K868" s="335"/>
      <c r="L868" s="332"/>
      <c r="O868" s="176"/>
    </row>
    <row r="869" spans="1:16" s="634" customFormat="1" ht="12.75" customHeight="1" x14ac:dyDescent="0.2">
      <c r="A869" s="633" t="s">
        <v>1605</v>
      </c>
      <c r="G869" s="633" t="s">
        <v>263</v>
      </c>
      <c r="H869" s="633" t="s">
        <v>279</v>
      </c>
      <c r="I869" s="634" t="s">
        <v>264</v>
      </c>
      <c r="J869" s="271" t="s">
        <v>2960</v>
      </c>
      <c r="K869" s="661" t="s">
        <v>265</v>
      </c>
      <c r="L869" s="180" t="s">
        <v>266</v>
      </c>
      <c r="N869" s="633" t="s">
        <v>267</v>
      </c>
      <c r="O869" s="395" t="s">
        <v>1390</v>
      </c>
      <c r="P869" s="634" t="s">
        <v>1391</v>
      </c>
    </row>
    <row r="870" spans="1:16" customFormat="1" ht="12.75" customHeight="1" x14ac:dyDescent="0.2">
      <c r="A870" t="s">
        <v>3490</v>
      </c>
      <c r="G870" s="172"/>
      <c r="H870" s="172"/>
      <c r="J870" s="294"/>
      <c r="K870" s="335"/>
      <c r="L870" s="332"/>
      <c r="O870" s="176"/>
    </row>
    <row r="871" spans="1:16" customFormat="1" ht="12.75" customHeight="1" x14ac:dyDescent="0.2">
      <c r="A871" s="567"/>
      <c r="B871" s="567" t="s">
        <v>1607</v>
      </c>
      <c r="C871" s="567"/>
      <c r="D871" s="567"/>
      <c r="E871" s="567"/>
      <c r="F871" s="567"/>
      <c r="G871" s="568" t="s">
        <v>3491</v>
      </c>
      <c r="H871" s="568" t="s">
        <v>820</v>
      </c>
      <c r="I871" s="678"/>
      <c r="J871" s="294" t="str">
        <f>IF(ISBLANK(HLOOKUP(CaseName,CaseData,MATCH($G871,cases!$G$4:$G$2458,0),FALSE)),"",HLOOKUP(CaseName,CaseData,MATCH($G871,cases!$G$4:$G$2458,0),FALSE))</f>
        <v/>
      </c>
      <c r="K871" s="626">
        <f>((7*10^-4)*(60*6*10^4*L873)^0.25)/2</f>
        <v>2.1723402841442835E-4</v>
      </c>
      <c r="L871" s="298">
        <f t="shared" ref="L871:L877" si="54">IF(ISBLANK(I871),IF(ISNUMBER(J871)=FALSE,K871,J871),I871)</f>
        <v>2.1723402841442835E-4</v>
      </c>
      <c r="M871" s="568" t="s">
        <v>820</v>
      </c>
      <c r="N871" s="567"/>
      <c r="O871" s="605"/>
      <c r="P871" s="567" t="s">
        <v>1609</v>
      </c>
    </row>
    <row r="872" spans="1:16" customFormat="1" ht="12.75" customHeight="1" x14ac:dyDescent="0.2">
      <c r="A872" s="567"/>
      <c r="B872" s="567" t="s">
        <v>1610</v>
      </c>
      <c r="C872" s="567"/>
      <c r="D872" s="567"/>
      <c r="E872" s="567"/>
      <c r="F872" s="567"/>
      <c r="G872" s="568" t="s">
        <v>3492</v>
      </c>
      <c r="H872" s="568" t="s">
        <v>296</v>
      </c>
      <c r="I872" s="678">
        <v>1</v>
      </c>
      <c r="J872" s="294" t="str">
        <f>IF(ISBLANK(HLOOKUP(CaseName,CaseData,MATCH($G872,cases!$G$4:$G$2458,0),FALSE)),"",HLOOKUP(CaseName,CaseData,MATCH($G872,cases!$G$4:$G$2458,0),FALSE))</f>
        <v/>
      </c>
      <c r="K872" s="577">
        <f>L731/(L731+L730)</f>
        <v>0.06</v>
      </c>
      <c r="L872" s="298">
        <f t="shared" si="54"/>
        <v>1</v>
      </c>
      <c r="M872" s="568" t="s">
        <v>296</v>
      </c>
      <c r="N872" s="567"/>
      <c r="O872" s="605"/>
      <c r="P872" s="567"/>
    </row>
    <row r="873" spans="1:16" customFormat="1" ht="12.75" customHeight="1" x14ac:dyDescent="0.2">
      <c r="A873" s="567"/>
      <c r="B873" s="567" t="s">
        <v>1613</v>
      </c>
      <c r="C873" s="567"/>
      <c r="D873" s="567"/>
      <c r="E873" s="567"/>
      <c r="F873" s="567"/>
      <c r="G873" s="568" t="s">
        <v>3493</v>
      </c>
      <c r="H873" s="568" t="s">
        <v>873</v>
      </c>
      <c r="I873" s="678"/>
      <c r="J873" s="294" t="str">
        <f>IF(ISBLANK(HLOOKUP(CaseName,CaseData,MATCH($G873,cases!$G$4:$G$2458,0),FALSE)),"",HLOOKUP(CaseName,CaseData,MATCH($G873,cases!$G$4:$G$2458,0),FALSE))</f>
        <v/>
      </c>
      <c r="K873" s="577">
        <f>L736/L872</f>
        <v>4.1222729578893962E-8</v>
      </c>
      <c r="L873" s="298">
        <f t="shared" si="54"/>
        <v>4.1222729578893962E-8</v>
      </c>
      <c r="M873" s="568" t="s">
        <v>873</v>
      </c>
      <c r="N873" s="567"/>
      <c r="O873" s="605"/>
      <c r="P873" s="567"/>
    </row>
    <row r="874" spans="1:16" customFormat="1" ht="12.75" customHeight="1" x14ac:dyDescent="0.2">
      <c r="A874" s="567"/>
      <c r="B874" s="567" t="s">
        <v>1617</v>
      </c>
      <c r="C874" s="567"/>
      <c r="D874" s="567"/>
      <c r="E874" s="567"/>
      <c r="F874" s="567"/>
      <c r="G874" s="568" t="s">
        <v>3494</v>
      </c>
      <c r="H874" s="568" t="s">
        <v>873</v>
      </c>
      <c r="I874" s="678"/>
      <c r="J874" s="294" t="str">
        <f>IF(ISBLANK(HLOOKUP(CaseName,CaseData,MATCH($G874,cases!$G$4:$G$2458,0),FALSE)),"",HLOOKUP(CaseName,CaseData,MATCH($G874,cases!$G$4:$G$2458,0),FALSE))</f>
        <v/>
      </c>
      <c r="K874" s="577">
        <f>((2*L871)^2*(Rho.w-Rho.a)*g*L875)/(18*DYNVISC.a)</f>
        <v>5.6654024687744498</v>
      </c>
      <c r="L874" s="298">
        <f t="shared" si="54"/>
        <v>5.6654024687744498</v>
      </c>
      <c r="M874" s="568" t="s">
        <v>873</v>
      </c>
      <c r="N874" s="567"/>
      <c r="O874" s="605"/>
      <c r="P874" s="567"/>
    </row>
    <row r="875" spans="1:16" customFormat="1" ht="12.75" customHeight="1" x14ac:dyDescent="0.2">
      <c r="A875" s="567"/>
      <c r="B875" s="567" t="s">
        <v>1619</v>
      </c>
      <c r="C875" s="567"/>
      <c r="D875" s="567"/>
      <c r="E875" s="567"/>
      <c r="F875" s="567"/>
      <c r="G875" s="568" t="s">
        <v>3495</v>
      </c>
      <c r="H875" s="568" t="s">
        <v>296</v>
      </c>
      <c r="I875" s="678"/>
      <c r="J875" s="294" t="str">
        <f>IF(ISBLANK(HLOOKUP(CaseName,CaseData,MATCH($G875,cases!$G$4:$G$2458,0),FALSE)),"",HLOOKUP(CaseName,CaseData,MATCH($G875,cases!$G$4:$G$2458,0),FALSE))</f>
        <v/>
      </c>
      <c r="K875" s="577">
        <v>1</v>
      </c>
      <c r="L875" s="298">
        <f t="shared" si="54"/>
        <v>1</v>
      </c>
      <c r="M875" s="568" t="s">
        <v>296</v>
      </c>
      <c r="N875" s="567"/>
      <c r="O875" s="605"/>
      <c r="P875" s="567"/>
    </row>
    <row r="876" spans="1:16" customFormat="1" ht="12.75" customHeight="1" x14ac:dyDescent="0.2">
      <c r="A876" s="567"/>
      <c r="B876" s="567" t="s">
        <v>1621</v>
      </c>
      <c r="C876" s="567"/>
      <c r="D876" s="567"/>
      <c r="E876" s="567"/>
      <c r="F876" s="567"/>
      <c r="G876" s="568" t="s">
        <v>3496</v>
      </c>
      <c r="H876" s="568" t="s">
        <v>296</v>
      </c>
      <c r="I876" s="678"/>
      <c r="J876" s="294" t="str">
        <f>IF(ISBLANK(HLOOKUP(CaseName,CaseData,MATCH($G876,cases!$G$4:$G$2458,0),FALSE)),"",HLOOKUP(CaseName,CaseData,MATCH($G876,cases!$G$4:$G$2458,0),FALSE))</f>
        <v/>
      </c>
      <c r="K876" s="577">
        <f>((1.2+(1/12)*LN(1+L877))/(1+LN(L877)))</f>
        <v>0.2894532926898527</v>
      </c>
      <c r="L876" s="298">
        <f t="shared" si="54"/>
        <v>0.2894532926898527</v>
      </c>
      <c r="M876" s="568" t="s">
        <v>296</v>
      </c>
      <c r="N876" s="567"/>
      <c r="O876" s="605"/>
      <c r="P876" s="567"/>
    </row>
    <row r="877" spans="1:16" customFormat="1" ht="12.75" customHeight="1" x14ac:dyDescent="0.2">
      <c r="A877" s="567"/>
      <c r="B877" s="567" t="s">
        <v>1623</v>
      </c>
      <c r="C877" s="567"/>
      <c r="D877" s="567"/>
      <c r="E877" s="567"/>
      <c r="F877" s="567"/>
      <c r="G877" s="568" t="s">
        <v>3497</v>
      </c>
      <c r="H877" s="568" t="s">
        <v>296</v>
      </c>
      <c r="I877" s="678"/>
      <c r="J877" s="294" t="str">
        <f>IF(ISBLANK(HLOOKUP(CaseName,CaseData,MATCH($G877,cases!$G$4:$G$2458,0),FALSE)),"",HLOOKUP(CaseName,CaseData,MATCH($G877,cases!$G$4:$G$2458,0),FALSE))</f>
        <v/>
      </c>
      <c r="K877" s="627">
        <f>((2*L871)*L874*Rho.a)/(2*DYNVISC.a)</f>
        <v>83.294463871775051</v>
      </c>
      <c r="L877" s="298">
        <f t="shared" si="54"/>
        <v>83.294463871775051</v>
      </c>
      <c r="M877" s="568" t="s">
        <v>2341</v>
      </c>
      <c r="N877" s="567"/>
      <c r="O877" s="605"/>
      <c r="P877" s="567"/>
    </row>
    <row r="878" spans="1:16" customFormat="1" ht="12.75" customHeight="1" x14ac:dyDescent="0.2">
      <c r="A878" t="s">
        <v>3498</v>
      </c>
      <c r="J878" s="294" t="str">
        <f>IF(ISBLANK(HLOOKUP(CaseName,CaseData,MATCH($G878,cases!$G$4:$G$2458,0),FALSE)),"",HLOOKUP(CaseName,CaseData,MATCH($G878,cases!$G$4:$G$2458,0),FALSE))</f>
        <v/>
      </c>
      <c r="K878" s="335"/>
      <c r="L878" s="332"/>
      <c r="O878" s="176"/>
    </row>
    <row r="879" spans="1:16" customFormat="1" ht="12.75" customHeight="1" x14ac:dyDescent="0.2">
      <c r="A879" s="567"/>
      <c r="B879" s="567" t="s">
        <v>1626</v>
      </c>
      <c r="C879" s="567"/>
      <c r="D879" s="567"/>
      <c r="E879" s="567"/>
      <c r="F879" s="567"/>
      <c r="G879" s="567" t="s">
        <v>3499</v>
      </c>
      <c r="H879" s="567" t="s">
        <v>820</v>
      </c>
      <c r="I879" s="678"/>
      <c r="J879" s="294" t="str">
        <f>IF(ISBLANK(HLOOKUP(CaseName,CaseData,MATCH($G879,cases!$G$4:$G$2458,0),FALSE)),"",HLOOKUP(CaseName,CaseData,MATCH($G879,cases!$G$4:$G$2458,0),FALSE))</f>
        <v/>
      </c>
      <c r="K879" s="626">
        <f>(L881/((4/3)*PI()))^(1/3)</f>
        <v>4.5372667230498981E-8</v>
      </c>
      <c r="L879" s="298">
        <f>IF(ISBLANK(I879),IF(ISNUMBER(J879)=FALSE,K879,J879),I879)</f>
        <v>4.5372667230498981E-8</v>
      </c>
      <c r="M879" s="567" t="s">
        <v>820</v>
      </c>
      <c r="N879" s="567"/>
      <c r="O879" s="605"/>
      <c r="P879" s="567"/>
    </row>
    <row r="880" spans="1:16" customFormat="1" ht="12.75" customHeight="1" x14ac:dyDescent="0.2">
      <c r="A880" s="567"/>
      <c r="B880" s="567" t="s">
        <v>1628</v>
      </c>
      <c r="C880" s="567"/>
      <c r="D880" s="567"/>
      <c r="E880" s="567"/>
      <c r="F880" s="567"/>
      <c r="G880" s="567" t="s">
        <v>3500</v>
      </c>
      <c r="H880" s="567" t="s">
        <v>287</v>
      </c>
      <c r="I880" s="678"/>
      <c r="J880" s="294" t="str">
        <f>IF(ISBLANK(HLOOKUP(CaseName,CaseData,MATCH($G880,cases!$G$4:$G$2458,0),FALSE)),"",HLOOKUP(CaseName,CaseData,MATCH($G880,cases!$G$4:$G$2458,0),FALSE))</f>
        <v/>
      </c>
      <c r="K880" s="577">
        <f>(L882)/L881</f>
        <v>1999.052936069301</v>
      </c>
      <c r="L880" s="298">
        <f>IF(ISBLANK(I880),IF(ISNUMBER(J880)=FALSE,K880,J880),I880)</f>
        <v>1999.052936069301</v>
      </c>
      <c r="M880" s="567" t="s">
        <v>287</v>
      </c>
      <c r="N880" s="567"/>
      <c r="O880" s="605"/>
      <c r="P880" s="567"/>
    </row>
    <row r="881" spans="1:16" customFormat="1" ht="12.75" customHeight="1" x14ac:dyDescent="0.2">
      <c r="A881" s="567"/>
      <c r="B881" s="567"/>
      <c r="C881" s="567" t="s">
        <v>1630</v>
      </c>
      <c r="D881" s="567"/>
      <c r="E881" s="567"/>
      <c r="F881" s="567"/>
      <c r="G881" s="567" t="s">
        <v>3501</v>
      </c>
      <c r="H881" s="567" t="s">
        <v>864</v>
      </c>
      <c r="I881" s="678"/>
      <c r="J881" s="294" t="str">
        <f>IF(ISBLANK(HLOOKUP(CaseName,CaseData,MATCH($G881,cases!$G$4:$G$2458,0),FALSE)),"",HLOOKUP(CaseName,CaseData,MATCH($G881,cases!$G$4:$G$2458,0),FALSE))</f>
        <v/>
      </c>
      <c r="K881" s="577">
        <f>((L792*(SingleVolS+(((4/3)*PI()*(RadNuc)^3))))+(L797*(SingleVolS+(((4/3)*PI()*(RadAcc)^3)))))/(L792+L797)</f>
        <v>3.9126548541830902E-22</v>
      </c>
      <c r="L881" s="298">
        <f>IF(ISBLANK(I881),IF(ISNUMBER(J881)=FALSE,K881,J881),I881)</f>
        <v>3.9126548541830902E-22</v>
      </c>
      <c r="M881" s="567" t="s">
        <v>864</v>
      </c>
      <c r="N881" s="567"/>
      <c r="O881" s="605"/>
      <c r="P881" s="567"/>
    </row>
    <row r="882" spans="1:16" customFormat="1" ht="12.75" customHeight="1" x14ac:dyDescent="0.2">
      <c r="A882" s="567"/>
      <c r="B882" s="567"/>
      <c r="C882" s="567" t="s">
        <v>1632</v>
      </c>
      <c r="D882" s="567"/>
      <c r="E882" s="567"/>
      <c r="F882" s="567"/>
      <c r="G882" s="567" t="s">
        <v>3502</v>
      </c>
      <c r="H882" s="567" t="s">
        <v>895</v>
      </c>
      <c r="I882" s="678"/>
      <c r="J882" s="294" t="str">
        <f>IF(ISBLANK(HLOOKUP(CaseName,CaseData,MATCH($G882,cases!$G$4:$G$2458,0),FALSE)),"",HLOOKUP(CaseName,CaseData,MATCH($G882,cases!$G$4:$G$2458,0),FALSE))</f>
        <v/>
      </c>
      <c r="K882" s="577">
        <f>((L792*(RhoNuc*(4/3*PI()*(RadNuc)^3)+RhoS*SingleVolS))+(L797*(RhoAcc*(4/3*PI()*(RadAcc)^3)+RhoS*SingleVolS)))/(L792+L797)</f>
        <v>7.8216041740805096E-19</v>
      </c>
      <c r="L882" s="298">
        <f>IF(ISBLANK(I882),IF(ISNUMBER(J882)=FALSE,K882,J882),I882)</f>
        <v>7.8216041740805096E-19</v>
      </c>
      <c r="M882" s="567" t="s">
        <v>895</v>
      </c>
      <c r="N882" s="567"/>
      <c r="O882" s="605"/>
      <c r="P882" s="567"/>
    </row>
    <row r="883" spans="1:16" customFormat="1" ht="12.75" customHeight="1" x14ac:dyDescent="0.2">
      <c r="A883" t="s">
        <v>3503</v>
      </c>
      <c r="J883" s="294" t="str">
        <f>IF(ISBLANK(HLOOKUP(CaseName,CaseData,MATCH($G883,cases!$G$4:$G$2458,0),FALSE)),"",HLOOKUP(CaseName,CaseData,MATCH($G883,cases!$G$4:$G$2458,0),FALSE))</f>
        <v/>
      </c>
      <c r="K883" s="437"/>
      <c r="L883" s="332"/>
      <c r="O883" s="176"/>
    </row>
    <row r="884" spans="1:16" customFormat="1" ht="12.75" customHeight="1" x14ac:dyDescent="0.2">
      <c r="A884" s="567" t="s">
        <v>1635</v>
      </c>
      <c r="B884" s="567"/>
      <c r="C884" s="567"/>
      <c r="D884" s="567"/>
      <c r="E884" s="567"/>
      <c r="F884" s="567"/>
      <c r="G884" s="568" t="s">
        <v>3504</v>
      </c>
      <c r="H884" s="568" t="s">
        <v>340</v>
      </c>
      <c r="I884" s="678"/>
      <c r="J884" s="294" t="str">
        <f>IF(ISBLANK(HLOOKUP(CaseName,CaseData,MATCH($G884,cases!$G$4:$G$2458,0),FALSE)),"",HLOOKUP(CaseName,CaseData,MATCH($G884,cases!$G$4:$G$2458,0),FALSE))</f>
        <v/>
      </c>
      <c r="K884" s="577">
        <f>(3/2)*(L892*L873)/(2*L871)</f>
        <v>1.2501385998330055E-6</v>
      </c>
      <c r="L884" s="298">
        <f t="shared" ref="L884:L915" si="55">IF(ISBLANK(I884),IF(ISNUMBER(J884)=FALSE,K884,J884),I884)</f>
        <v>1.2501385998330055E-6</v>
      </c>
      <c r="M884" s="568" t="s">
        <v>340</v>
      </c>
      <c r="N884" s="567"/>
      <c r="O884" s="605" t="s">
        <v>2348</v>
      </c>
      <c r="P884" s="567" t="s">
        <v>1637</v>
      </c>
    </row>
    <row r="885" spans="1:16" customFormat="1" ht="12.75" customHeight="1" x14ac:dyDescent="0.2">
      <c r="A885" s="567"/>
      <c r="B885" s="567" t="s">
        <v>1638</v>
      </c>
      <c r="C885" s="567"/>
      <c r="D885" s="567"/>
      <c r="E885" s="567"/>
      <c r="F885" s="567"/>
      <c r="G885" s="568" t="s">
        <v>3505</v>
      </c>
      <c r="H885" s="568" t="s">
        <v>1640</v>
      </c>
      <c r="I885" s="678"/>
      <c r="J885" s="294" t="str">
        <f>IF(ISBLANK(HLOOKUP(CaseName,CaseData,MATCH($G885,cases!$G$4:$G$2458,0),FALSE)),"",HLOOKUP(CaseName,CaseData,MATCH($G885,cases!$G$4:$G$2458,0),FALSE))</f>
        <v/>
      </c>
      <c r="K885" s="577">
        <f>((RhoS-Rho.a)*(2*RadS)^2*CunninghamS)/(18*DYNVISC.a)</f>
        <v>2.9727496338664685E-8</v>
      </c>
      <c r="L885" s="298">
        <f t="shared" si="55"/>
        <v>2.9727496338664685E-8</v>
      </c>
      <c r="M885" s="568" t="s">
        <v>1640</v>
      </c>
      <c r="N885" s="567"/>
      <c r="O885" s="605"/>
      <c r="P885" s="567"/>
    </row>
    <row r="886" spans="1:16" customFormat="1" ht="12.75" customHeight="1" x14ac:dyDescent="0.2">
      <c r="A886" s="567"/>
      <c r="B886" s="567" t="s">
        <v>1641</v>
      </c>
      <c r="C886" s="567"/>
      <c r="D886" s="567"/>
      <c r="E886" s="567"/>
      <c r="F886" s="567"/>
      <c r="G886" s="568" t="s">
        <v>3506</v>
      </c>
      <c r="H886" s="568" t="s">
        <v>296</v>
      </c>
      <c r="I886" s="678"/>
      <c r="J886" s="294" t="str">
        <f>IF(ISBLANK(HLOOKUP(CaseName,CaseData,MATCH($G886,cases!$G$4:$G$2458,0),FALSE)),"",HLOOKUP(CaseName,CaseData,MATCH($G886,cases!$G$4:$G$2458,0),FALSE))</f>
        <v/>
      </c>
      <c r="K886" s="577">
        <f>(2*L885*(L874-L887))/(2*L871)</f>
        <v>7.7528471808717533E-4</v>
      </c>
      <c r="L886" s="298">
        <f t="shared" si="55"/>
        <v>7.7528471808717533E-4</v>
      </c>
      <c r="M886" s="568" t="s">
        <v>296</v>
      </c>
      <c r="N886" s="567"/>
      <c r="O886" s="605" t="s">
        <v>1643</v>
      </c>
      <c r="P886" s="567"/>
    </row>
    <row r="887" spans="1:16" customFormat="1" ht="12.75" customHeight="1" x14ac:dyDescent="0.2">
      <c r="A887" s="567"/>
      <c r="B887" s="567" t="s">
        <v>1644</v>
      </c>
      <c r="C887" s="567"/>
      <c r="D887" s="567"/>
      <c r="E887" s="567"/>
      <c r="F887" s="567"/>
      <c r="G887" s="568" t="s">
        <v>3507</v>
      </c>
      <c r="H887" s="568" t="s">
        <v>873</v>
      </c>
      <c r="I887" s="678"/>
      <c r="J887" s="294" t="str">
        <f>IF(ISBLANK(HLOOKUP(CaseName,CaseData,MATCH($G887,cases!$G$4:$G$2458,0),FALSE)),"",HLOOKUP(CaseName,CaseData,MATCH($G887,cases!$G$4:$G$2458,0),FALSE))</f>
        <v/>
      </c>
      <c r="K887" s="577">
        <f>((2*RadS)^2*(RhoS-Rho.a)*9.81*CunninghamS)/(18*DYNVISC.a)</f>
        <v>2.9162673908230058E-7</v>
      </c>
      <c r="L887" s="298">
        <f t="shared" si="55"/>
        <v>2.9162673908230058E-7</v>
      </c>
      <c r="M887" s="568" t="s">
        <v>873</v>
      </c>
      <c r="N887" s="567"/>
      <c r="O887" s="605"/>
      <c r="P887" s="567"/>
    </row>
    <row r="888" spans="1:16" customFormat="1" ht="12.75" customHeight="1" x14ac:dyDescent="0.2">
      <c r="A888" s="567"/>
      <c r="B888" s="567" t="s">
        <v>1646</v>
      </c>
      <c r="C888" s="567"/>
      <c r="D888" s="567"/>
      <c r="E888" s="567"/>
      <c r="F888" s="567"/>
      <c r="G888" s="568" t="s">
        <v>3508</v>
      </c>
      <c r="H888" s="568" t="s">
        <v>296</v>
      </c>
      <c r="I888" s="678"/>
      <c r="J888" s="294" t="str">
        <f>IF(ISBLANK(HLOOKUP(CaseName,CaseData,MATCH($G888,cases!$G$4:$G$2458,0),FALSE)),"",HLOOKUP(CaseName,CaseData,MATCH($G888,cases!$G$4:$G$2458,0),FALSE))</f>
        <v/>
      </c>
      <c r="K888" s="577">
        <f>DYNVISC.a/(Rho.a*DiffS.aT)</f>
        <v>267.48403667914636</v>
      </c>
      <c r="L888" s="298">
        <f t="shared" si="55"/>
        <v>267.48403667914636</v>
      </c>
      <c r="M888" s="568" t="s">
        <v>296</v>
      </c>
      <c r="N888" s="567"/>
      <c r="O888" s="605"/>
      <c r="P888" s="567"/>
    </row>
    <row r="889" spans="1:16" customFormat="1" ht="12.75" customHeight="1" x14ac:dyDescent="0.2">
      <c r="A889" s="567"/>
      <c r="B889" s="567"/>
      <c r="C889" s="567" t="s">
        <v>1648</v>
      </c>
      <c r="D889" s="567"/>
      <c r="E889" s="567"/>
      <c r="F889" s="567"/>
      <c r="G889" s="568" t="s">
        <v>3509</v>
      </c>
      <c r="H889" s="568" t="s">
        <v>296</v>
      </c>
      <c r="I889" s="678"/>
      <c r="J889" s="294" t="str">
        <f>IF(ISBLANK(HLOOKUP(CaseName,CaseData,MATCH($G889,cases!$G$4:$G$2458,0),FALSE)),"",HLOOKUP(CaseName,CaseData,MATCH($G889,cases!$G$4:$G$2458,0),FALSE))</f>
        <v/>
      </c>
      <c r="K889" s="577">
        <f>(4/(L877*L888))*(1+0.4*(L877^0.5*L888^(1/3))+0.16*(L877^0.5*L888^0.5))</f>
        <v>8.6901443565513808E-3</v>
      </c>
      <c r="L889" s="298">
        <f t="shared" si="55"/>
        <v>8.6901443565513808E-3</v>
      </c>
      <c r="M889" s="568" t="s">
        <v>296</v>
      </c>
      <c r="N889" s="567"/>
      <c r="O889" s="605"/>
      <c r="P889" s="567"/>
    </row>
    <row r="890" spans="1:16" customFormat="1" ht="12.75" customHeight="1" x14ac:dyDescent="0.2">
      <c r="A890" s="567"/>
      <c r="B890" s="567"/>
      <c r="C890" s="567" t="s">
        <v>1650</v>
      </c>
      <c r="D890" s="567"/>
      <c r="E890" s="567"/>
      <c r="F890" s="567"/>
      <c r="G890" s="568" t="s">
        <v>3510</v>
      </c>
      <c r="H890" s="568" t="s">
        <v>296</v>
      </c>
      <c r="I890" s="678"/>
      <c r="J890" s="294" t="str">
        <f>IF(ISBLANK(HLOOKUP(CaseName,CaseData,MATCH($G890,cases!$G$4:$G$2458,0),FALSE)),"",HLOOKUP(CaseName,CaseData,MATCH($G890,cases!$G$4:$G$2458,0),FALSE))</f>
        <v/>
      </c>
      <c r="K890" s="577">
        <f>4*(RadS/L871)*((DYNVISC.a/DYNVISC.w)+(1+2*L877^0.5*(RadS/L871)))</f>
        <v>9.3768366431492924E-5</v>
      </c>
      <c r="L890" s="298">
        <f t="shared" si="55"/>
        <v>9.3768366431492924E-5</v>
      </c>
      <c r="M890" s="568" t="s">
        <v>296</v>
      </c>
      <c r="N890" s="567"/>
      <c r="O890" s="605"/>
      <c r="P890" s="567"/>
    </row>
    <row r="891" spans="1:16" customFormat="1" ht="12.75" customHeight="1" x14ac:dyDescent="0.2">
      <c r="A891" s="567"/>
      <c r="B891" s="567"/>
      <c r="C891" s="567" t="s">
        <v>1652</v>
      </c>
      <c r="D891" s="567"/>
      <c r="E891" s="567"/>
      <c r="F891" s="567"/>
      <c r="G891" s="568" t="s">
        <v>3511</v>
      </c>
      <c r="H891" s="568" t="s">
        <v>296</v>
      </c>
      <c r="I891" s="678"/>
      <c r="J891" s="294" t="str">
        <f>IF(ISBLANK(HLOOKUP(CaseName,CaseData,MATCH($G891,cases!$G$4:$G$2458,0),FALSE)),"",HLOOKUP(CaseName,CaseData,MATCH($G891,cases!$G$4:$G$2458,0),FALSE))</f>
        <v/>
      </c>
      <c r="K891" s="577">
        <f>IF(L886&gt;L876,((L886-L876)/(L886-L876+2/3))^(3/2),0)</f>
        <v>0</v>
      </c>
      <c r="L891" s="298">
        <f t="shared" si="55"/>
        <v>0</v>
      </c>
      <c r="M891" s="568" t="s">
        <v>296</v>
      </c>
      <c r="N891" s="567"/>
      <c r="O891" s="605"/>
      <c r="P891" s="567"/>
    </row>
    <row r="892" spans="1:16" customFormat="1" ht="12.75" customHeight="1" x14ac:dyDescent="0.2">
      <c r="A892" s="567"/>
      <c r="B892" s="567"/>
      <c r="C892" s="567" t="s">
        <v>1654</v>
      </c>
      <c r="D892" s="567"/>
      <c r="E892" s="567"/>
      <c r="F892" s="567"/>
      <c r="G892" s="568" t="s">
        <v>3512</v>
      </c>
      <c r="H892" s="568" t="s">
        <v>296</v>
      </c>
      <c r="I892" s="678"/>
      <c r="J892" s="294" t="str">
        <f>IF(ISBLANK(HLOOKUP(CaseName,CaseData,MATCH($G892,cases!$G$4:$G$2458,0),FALSE)),"",HLOOKUP(CaseName,CaseData,MATCH($G892,cases!$G$4:$G$2458,0),FALSE))</f>
        <v/>
      </c>
      <c r="K892" s="577">
        <f>L889+L890+L891</f>
        <v>8.7839127229828728E-3</v>
      </c>
      <c r="L892" s="298">
        <f t="shared" si="55"/>
        <v>8.7839127229828728E-3</v>
      </c>
      <c r="M892" s="568" t="s">
        <v>296</v>
      </c>
      <c r="N892" s="567"/>
      <c r="O892" s="605"/>
      <c r="P892" s="567"/>
    </row>
    <row r="893" spans="1:16" customFormat="1" ht="12.75" customHeight="1" x14ac:dyDescent="0.2">
      <c r="A893" s="567" t="s">
        <v>1656</v>
      </c>
      <c r="B893" s="567"/>
      <c r="C893" s="567"/>
      <c r="D893" s="567"/>
      <c r="E893" s="567"/>
      <c r="F893" s="567"/>
      <c r="G893" s="568" t="s">
        <v>3513</v>
      </c>
      <c r="H893" s="568" t="s">
        <v>340</v>
      </c>
      <c r="I893" s="678"/>
      <c r="J893" s="294" t="str">
        <f>IF(ISBLANK(HLOOKUP(CaseName,CaseData,MATCH($G893,cases!$G$4:$G$2458,0),FALSE)),"",HLOOKUP(CaseName,CaseData,MATCH($G893,cases!$G$4:$G$2458,0),FALSE))</f>
        <v/>
      </c>
      <c r="K893" s="577">
        <f>((3/2)*(L903*L873)/(2*L871))</f>
        <v>2.3222275200981132E-7</v>
      </c>
      <c r="L893" s="298">
        <f t="shared" si="55"/>
        <v>2.3222275200981132E-7</v>
      </c>
      <c r="M893" s="568" t="s">
        <v>340</v>
      </c>
      <c r="N893" s="567"/>
      <c r="O893" s="605"/>
      <c r="P893" s="567"/>
    </row>
    <row r="894" spans="1:16" customFormat="1" ht="12.75" customHeight="1" x14ac:dyDescent="0.2">
      <c r="A894" s="567"/>
      <c r="B894" s="567" t="s">
        <v>1658</v>
      </c>
      <c r="C894" s="567"/>
      <c r="D894" s="567"/>
      <c r="E894" s="567"/>
      <c r="F894" s="567"/>
      <c r="G894" s="568" t="s">
        <v>3514</v>
      </c>
      <c r="H894" s="568" t="s">
        <v>296</v>
      </c>
      <c r="I894" s="678"/>
      <c r="J894" s="294" t="str">
        <f>IF(ISBLANK(HLOOKUP(CaseName,CaseData,MATCH($G894,cases!$G$4:$G$2458,0),FALSE)),"",HLOOKUP(CaseName,CaseData,MATCH($G894,cases!$G$4:$G$2458,0),FALSE))</f>
        <v/>
      </c>
      <c r="K894" s="577">
        <f>1+(66*10^-9/L879)*(1.142+0.558*EXP(-0.999/(66*10^-9/L879)))</f>
        <v>3.0696088001070425</v>
      </c>
      <c r="L894" s="298">
        <f t="shared" si="55"/>
        <v>3.0696088001070425</v>
      </c>
      <c r="M894" s="568" t="s">
        <v>296</v>
      </c>
      <c r="N894" s="567"/>
      <c r="O894" s="605"/>
      <c r="P894" s="567"/>
    </row>
    <row r="895" spans="1:16" customFormat="1" ht="12.75" customHeight="1" x14ac:dyDescent="0.2">
      <c r="A895" s="567"/>
      <c r="B895" s="567" t="s">
        <v>1660</v>
      </c>
      <c r="C895" s="567"/>
      <c r="D895" s="567"/>
      <c r="E895" s="567"/>
      <c r="F895" s="567"/>
      <c r="G895" s="568" t="s">
        <v>3515</v>
      </c>
      <c r="H895" s="568"/>
      <c r="I895" s="678"/>
      <c r="J895" s="294" t="str">
        <f>IF(ISBLANK(HLOOKUP(CaseName,CaseData,MATCH($G895,cases!$G$4:$G$2458,0),FALSE)),"",HLOOKUP(CaseName,CaseData,MATCH($G895,cases!$G$4:$G$2458,0),FALSE))</f>
        <v/>
      </c>
      <c r="K895" s="577">
        <f>(kboltz*L696*L894)/(6*PI()*DYNVISC.a*L879)</f>
        <v>8.1584659844084962E-10</v>
      </c>
      <c r="L895" s="298">
        <f t="shared" si="55"/>
        <v>8.1584659844084962E-10</v>
      </c>
      <c r="M895" s="568"/>
      <c r="N895" s="567"/>
      <c r="O895" s="605"/>
      <c r="P895" s="567"/>
    </row>
    <row r="896" spans="1:16" customFormat="1" ht="12.75" customHeight="1" x14ac:dyDescent="0.2">
      <c r="A896" s="567"/>
      <c r="B896" s="567" t="s">
        <v>1638</v>
      </c>
      <c r="C896" s="567"/>
      <c r="D896" s="567"/>
      <c r="E896" s="567"/>
      <c r="F896" s="567"/>
      <c r="G896" s="568" t="s">
        <v>3516</v>
      </c>
      <c r="H896" s="568" t="s">
        <v>1640</v>
      </c>
      <c r="I896" s="678"/>
      <c r="J896" s="294" t="str">
        <f>IF(ISBLANK(HLOOKUP(CaseName,CaseData,MATCH($G896,cases!$G$4:$G$2458,0),FALSE)),"",HLOOKUP(CaseName,CaseData,MATCH($G896,cases!$G$4:$G$2458,0),FALSE))</f>
        <v/>
      </c>
      <c r="K896" s="577">
        <f>((L880-Rho.a)*(2*L879)^2*L894)/(18*DYNVISC.a)</f>
        <v>1.5500247909018642E-7</v>
      </c>
      <c r="L896" s="298">
        <f t="shared" si="55"/>
        <v>1.5500247909018642E-7</v>
      </c>
      <c r="M896" s="568" t="s">
        <v>1640</v>
      </c>
      <c r="N896" s="567"/>
      <c r="O896" s="605"/>
      <c r="P896" s="567"/>
    </row>
    <row r="897" spans="1:16" customFormat="1" ht="12.75" customHeight="1" x14ac:dyDescent="0.2">
      <c r="A897" s="567"/>
      <c r="B897" s="567" t="s">
        <v>1663</v>
      </c>
      <c r="C897" s="567"/>
      <c r="D897" s="567"/>
      <c r="E897" s="567"/>
      <c r="F897" s="567"/>
      <c r="G897" s="568" t="s">
        <v>3517</v>
      </c>
      <c r="H897" s="568" t="s">
        <v>296</v>
      </c>
      <c r="I897" s="678"/>
      <c r="J897" s="294" t="str">
        <f>IF(ISBLANK(HLOOKUP(CaseName,CaseData,MATCH($G897,cases!$G$4:$G$2458,0),FALSE)),"",HLOOKUP(CaseName,CaseData,MATCH($G897,cases!$G$4:$G$2458,0),FALSE))</f>
        <v/>
      </c>
      <c r="K897" s="577">
        <f>(2*L896*(L874-L898))/(2*L871)</f>
        <v>4.0424200500283475E-3</v>
      </c>
      <c r="L897" s="298">
        <f t="shared" si="55"/>
        <v>4.0424200500283475E-3</v>
      </c>
      <c r="M897" s="568" t="s">
        <v>296</v>
      </c>
      <c r="N897" s="567"/>
      <c r="O897" s="605"/>
      <c r="P897" s="567"/>
    </row>
    <row r="898" spans="1:16" customFormat="1" ht="12.75" customHeight="1" x14ac:dyDescent="0.2">
      <c r="A898" s="567"/>
      <c r="B898" s="567" t="s">
        <v>1644</v>
      </c>
      <c r="C898" s="567"/>
      <c r="D898" s="567"/>
      <c r="E898" s="567"/>
      <c r="F898" s="567"/>
      <c r="G898" s="568" t="s">
        <v>3518</v>
      </c>
      <c r="H898" s="568" t="s">
        <v>873</v>
      </c>
      <c r="I898" s="678"/>
      <c r="J898" s="294" t="str">
        <f>IF(ISBLANK(HLOOKUP(CaseName,CaseData,MATCH($G898,cases!$G$4:$G$2458,0),FALSE)),"",HLOOKUP(CaseName,CaseData,MATCH($G898,cases!$G$4:$G$2458,0),FALSE))</f>
        <v/>
      </c>
      <c r="K898" s="577">
        <f>((2*L879)^2*(L880-Rho.a)*9.81*L894)/(18*DYNVISC.a)</f>
        <v>1.5205743198747288E-6</v>
      </c>
      <c r="L898" s="298">
        <f t="shared" si="55"/>
        <v>1.5205743198747288E-6</v>
      </c>
      <c r="M898" s="568" t="s">
        <v>873</v>
      </c>
      <c r="N898" s="567"/>
      <c r="O898" s="605"/>
      <c r="P898" s="567"/>
    </row>
    <row r="899" spans="1:16" customFormat="1" ht="12.75" customHeight="1" x14ac:dyDescent="0.2">
      <c r="A899" s="567"/>
      <c r="B899" s="567" t="s">
        <v>1646</v>
      </c>
      <c r="C899" s="567"/>
      <c r="D899" s="567"/>
      <c r="E899" s="567"/>
      <c r="F899" s="567"/>
      <c r="G899" s="568" t="s">
        <v>3519</v>
      </c>
      <c r="H899" s="568" t="s">
        <v>296</v>
      </c>
      <c r="I899" s="678"/>
      <c r="J899" s="294" t="str">
        <f>IF(ISBLANK(HLOOKUP(CaseName,CaseData,MATCH($G899,cases!$G$4:$G$2458,0),FALSE)),"",HLOOKUP(CaseName,CaseData,MATCH($G899,cases!$G$4:$G$2458,0),FALSE))</f>
        <v/>
      </c>
      <c r="K899" s="577">
        <f>DYNVISC.a/(Rho.a*L895)</f>
        <v>18110.647555948457</v>
      </c>
      <c r="L899" s="298">
        <f t="shared" si="55"/>
        <v>18110.647555948457</v>
      </c>
      <c r="M899" s="568" t="s">
        <v>296</v>
      </c>
      <c r="N899" s="567"/>
      <c r="O899" s="605"/>
      <c r="P899" s="567"/>
    </row>
    <row r="900" spans="1:16" customFormat="1" ht="12.75" customHeight="1" x14ac:dyDescent="0.2">
      <c r="A900" s="567"/>
      <c r="B900" s="567"/>
      <c r="C900" s="567" t="s">
        <v>1648</v>
      </c>
      <c r="D900" s="567"/>
      <c r="E900" s="567"/>
      <c r="F900" s="567"/>
      <c r="G900" s="568" t="s">
        <v>3520</v>
      </c>
      <c r="H900" s="568" t="s">
        <v>296</v>
      </c>
      <c r="I900" s="678"/>
      <c r="J900" s="294" t="str">
        <f>IF(ISBLANK(HLOOKUP(CaseName,CaseData,MATCH($G900,cases!$G$4:$G$2458,0),FALSE)),"",HLOOKUP(CaseName,CaseData,MATCH($G900,cases!$G$4:$G$2458,0),FALSE))</f>
        <v/>
      </c>
      <c r="K900" s="577">
        <f>(4/(L877*L899))*(1+0.4*(L877^0.5*L899^(1/3))+0.16*(L877^0.5*L899^0.5))</f>
        <v>7.7794025283477283E-4</v>
      </c>
      <c r="L900" s="298">
        <f t="shared" si="55"/>
        <v>7.7794025283477283E-4</v>
      </c>
      <c r="M900" s="568" t="s">
        <v>296</v>
      </c>
      <c r="N900" s="567"/>
      <c r="O900" s="605"/>
      <c r="P900" s="567"/>
    </row>
    <row r="901" spans="1:16" customFormat="1" ht="12.75" customHeight="1" x14ac:dyDescent="0.2">
      <c r="A901" s="567"/>
      <c r="B901" s="567"/>
      <c r="C901" s="567" t="s">
        <v>1650</v>
      </c>
      <c r="D901" s="567"/>
      <c r="E901" s="567"/>
      <c r="F901" s="567"/>
      <c r="G901" s="568" t="s">
        <v>3521</v>
      </c>
      <c r="H901" s="568" t="s">
        <v>296</v>
      </c>
      <c r="I901" s="678"/>
      <c r="J901" s="294" t="str">
        <f>IF(ISBLANK(HLOOKUP(CaseName,CaseData,MATCH($G901,cases!$G$4:$G$2458,0),FALSE)),"",HLOOKUP(CaseName,CaseData,MATCH($G901,cases!$G$4:$G$2458,0),FALSE))</f>
        <v/>
      </c>
      <c r="K901" s="577">
        <f>4*(L879/L871)*((DYNVISC.a/DYNVISC.w)+(1+2*L877^0.5*(L879/L871)))</f>
        <v>8.5373833561738712E-4</v>
      </c>
      <c r="L901" s="298">
        <f t="shared" si="55"/>
        <v>8.5373833561738712E-4</v>
      </c>
      <c r="M901" s="568" t="s">
        <v>296</v>
      </c>
      <c r="N901" s="567"/>
      <c r="O901" s="605"/>
      <c r="P901" s="567"/>
    </row>
    <row r="902" spans="1:16" customFormat="1" ht="12.75" customHeight="1" x14ac:dyDescent="0.2">
      <c r="A902" s="567"/>
      <c r="B902" s="567"/>
      <c r="C902" s="567" t="s">
        <v>1652</v>
      </c>
      <c r="D902" s="567"/>
      <c r="E902" s="567"/>
      <c r="F902" s="567"/>
      <c r="G902" s="568" t="s">
        <v>3522</v>
      </c>
      <c r="H902" s="568" t="s">
        <v>296</v>
      </c>
      <c r="I902" s="678"/>
      <c r="J902" s="294" t="str">
        <f>IF(ISBLANK(HLOOKUP(CaseName,CaseData,MATCH($G902,cases!$G$4:$G$2458,0),FALSE)),"",HLOOKUP(CaseName,CaseData,MATCH($G902,cases!$G$4:$G$2458,0),FALSE))</f>
        <v/>
      </c>
      <c r="K902" s="577">
        <f>IF(L897&gt;L876,((L897-L876)/(L897-L876+2/3))^(3/2),0)</f>
        <v>0</v>
      </c>
      <c r="L902" s="298">
        <f t="shared" si="55"/>
        <v>0</v>
      </c>
      <c r="M902" s="568" t="s">
        <v>296</v>
      </c>
      <c r="N902" s="567"/>
      <c r="O902" s="605"/>
      <c r="P902" s="567"/>
    </row>
    <row r="903" spans="1:16" customFormat="1" ht="12.75" customHeight="1" x14ac:dyDescent="0.2">
      <c r="A903" s="567"/>
      <c r="B903" s="567"/>
      <c r="C903" s="567" t="s">
        <v>1654</v>
      </c>
      <c r="D903" s="567"/>
      <c r="E903" s="567"/>
      <c r="F903" s="567"/>
      <c r="G903" s="568" t="s">
        <v>3523</v>
      </c>
      <c r="H903" s="568" t="s">
        <v>296</v>
      </c>
      <c r="I903" s="678"/>
      <c r="J903" s="294" t="str">
        <f>IF(ISBLANK(HLOOKUP(CaseName,CaseData,MATCH($G903,cases!$G$4:$G$2458,0),FALSE)),"",HLOOKUP(CaseName,CaseData,MATCH($G903,cases!$G$4:$G$2458,0),FALSE))</f>
        <v/>
      </c>
      <c r="K903" s="577">
        <f>L900+L901+L902</f>
        <v>1.63167858845216E-3</v>
      </c>
      <c r="L903" s="298">
        <f t="shared" si="55"/>
        <v>1.63167858845216E-3</v>
      </c>
      <c r="M903" s="568" t="s">
        <v>296</v>
      </c>
      <c r="N903" s="567"/>
      <c r="O903" s="605"/>
      <c r="P903" s="567"/>
    </row>
    <row r="904" spans="1:16" customFormat="1" ht="12.75" customHeight="1" x14ac:dyDescent="0.2">
      <c r="A904" s="567" t="s">
        <v>1671</v>
      </c>
      <c r="B904" s="567"/>
      <c r="C904" s="567"/>
      <c r="D904" s="567"/>
      <c r="E904" s="567"/>
      <c r="F904" s="567"/>
      <c r="G904" s="568" t="s">
        <v>3524</v>
      </c>
      <c r="H904" s="568" t="s">
        <v>340</v>
      </c>
      <c r="I904" s="678"/>
      <c r="J904" s="294" t="str">
        <f>IF(ISBLANK(HLOOKUP(CaseName,CaseData,MATCH($G904,cases!$G$4:$G$2458,0),FALSE)),"",HLOOKUP(CaseName,CaseData,MATCH($G904,cases!$G$4:$G$2458,0),FALSE))</f>
        <v/>
      </c>
      <c r="K904" s="900">
        <f>((L730+L731)/L731*L736*L737)/L665</f>
        <v>1.374090985963132E-4</v>
      </c>
      <c r="L904" s="298">
        <f t="shared" si="55"/>
        <v>1.374090985963132E-4</v>
      </c>
      <c r="M904" s="567" t="s">
        <v>340</v>
      </c>
      <c r="N904" s="567" t="s">
        <v>1673</v>
      </c>
      <c r="O904" s="605"/>
      <c r="P904" s="567"/>
    </row>
    <row r="905" spans="1:16" customFormat="1" ht="12.75" customHeight="1" x14ac:dyDescent="0.2">
      <c r="A905" s="567" t="s">
        <v>2869</v>
      </c>
      <c r="B905" s="567"/>
      <c r="C905" s="567"/>
      <c r="D905" s="567"/>
      <c r="E905" s="567"/>
      <c r="F905" s="567"/>
      <c r="G905" s="568" t="s">
        <v>3525</v>
      </c>
      <c r="H905" s="568" t="s">
        <v>340</v>
      </c>
      <c r="I905" s="678"/>
      <c r="J905" s="294" t="str">
        <f>IF(ISBLANK(HLOOKUP(CaseName,CaseData,MATCH($G905,cases!$G$4:$G$2458,0),FALSE)),"",HLOOKUP(CaseName,CaseData,MATCH($G905,cases!$G$4:$G$2458,0),FALSE))</f>
        <v/>
      </c>
      <c r="K905" s="577">
        <f>(L906*L664*L662)/(L656)</f>
        <v>1.0259121804918607E-6</v>
      </c>
      <c r="L905" s="298">
        <f t="shared" si="55"/>
        <v>1.0259121804918607E-6</v>
      </c>
      <c r="M905" s="568" t="s">
        <v>340</v>
      </c>
      <c r="N905" s="567"/>
      <c r="O905" s="605"/>
      <c r="P905" s="567"/>
    </row>
    <row r="906" spans="1:16" customFormat="1" ht="12.75" customHeight="1" x14ac:dyDescent="0.2">
      <c r="A906" s="567"/>
      <c r="B906" s="567" t="s">
        <v>1676</v>
      </c>
      <c r="C906" s="567"/>
      <c r="D906" s="567"/>
      <c r="E906" s="567"/>
      <c r="F906" s="567"/>
      <c r="G906" s="568" t="s">
        <v>3526</v>
      </c>
      <c r="H906" s="568" t="s">
        <v>873</v>
      </c>
      <c r="I906" s="678"/>
      <c r="J906" s="294" t="str">
        <f>IF(ISBLANK(HLOOKUP(CaseName,CaseData,MATCH($G906,cases!$G$4:$G$2458,0),FALSE)),"",HLOOKUP(CaseName,CaseData,MATCH($G906,cases!$G$4:$G$2458,0),FALSE))</f>
        <v/>
      </c>
      <c r="K906" s="577">
        <f>1/(L907+L908)+L887</f>
        <v>3.4197062423940213E-3</v>
      </c>
      <c r="L906" s="298">
        <f t="shared" si="55"/>
        <v>3.4197062423940213E-3</v>
      </c>
      <c r="M906" s="568" t="s">
        <v>873</v>
      </c>
      <c r="N906" s="567"/>
      <c r="O906" s="605"/>
      <c r="P906" s="567"/>
    </row>
    <row r="907" spans="1:16" customFormat="1" ht="12.75" customHeight="1" x14ac:dyDescent="0.2">
      <c r="A907" s="567"/>
      <c r="B907" s="567" t="s">
        <v>1678</v>
      </c>
      <c r="C907" s="567"/>
      <c r="D907" s="567"/>
      <c r="E907" s="567"/>
      <c r="F907" s="567"/>
      <c r="G907" s="568" t="s">
        <v>3527</v>
      </c>
      <c r="H907" s="568" t="s">
        <v>1680</v>
      </c>
      <c r="I907" s="678"/>
      <c r="J907" s="294" t="str">
        <f>IF(ISBLANK(HLOOKUP(CaseName,CaseData,MATCH($G907,cases!$G$4:$G$2458,0),FALSE)),"",HLOOKUP(CaseName,CaseData,MATCH($G907,cases!$G$4:$G$2458,0),FALSE))</f>
        <v/>
      </c>
      <c r="K907" s="577">
        <v>74</v>
      </c>
      <c r="L907" s="298">
        <f t="shared" si="55"/>
        <v>74</v>
      </c>
      <c r="M907" s="568" t="s">
        <v>1680</v>
      </c>
      <c r="N907" s="567"/>
      <c r="O907" s="605" t="s">
        <v>1681</v>
      </c>
      <c r="P907" s="567" t="s">
        <v>1682</v>
      </c>
    </row>
    <row r="908" spans="1:16" customFormat="1" ht="12.75" customHeight="1" x14ac:dyDescent="0.2">
      <c r="A908" s="567"/>
      <c r="B908" s="567" t="s">
        <v>1683</v>
      </c>
      <c r="C908" s="567"/>
      <c r="D908" s="567"/>
      <c r="E908" s="567"/>
      <c r="F908" s="567"/>
      <c r="G908" s="568" t="s">
        <v>3528</v>
      </c>
      <c r="H908" s="568" t="s">
        <v>1680</v>
      </c>
      <c r="I908" s="678"/>
      <c r="J908" s="294" t="str">
        <f>IF(ISBLANK(HLOOKUP(CaseName,CaseData,MATCH($G908,cases!$G$4:$G$2458,0),FALSE)),"",HLOOKUP(CaseName,CaseData,MATCH($G908,cases!$G$4:$G$2458,0),FALSE))</f>
        <v/>
      </c>
      <c r="K908" s="577">
        <f>1/(L909*(L910+L911+L915))</f>
        <v>218.44771763615589</v>
      </c>
      <c r="L908" s="298">
        <f t="shared" si="55"/>
        <v>218.44771763615589</v>
      </c>
      <c r="M908" s="568" t="s">
        <v>1680</v>
      </c>
      <c r="N908" s="567"/>
      <c r="O908" s="605" t="s">
        <v>1685</v>
      </c>
      <c r="P908" s="567"/>
    </row>
    <row r="909" spans="1:16" customFormat="1" ht="12.75" customHeight="1" x14ac:dyDescent="0.2">
      <c r="A909" s="567"/>
      <c r="B909" s="567"/>
      <c r="C909" s="567" t="s">
        <v>1686</v>
      </c>
      <c r="D909" s="567"/>
      <c r="E909" s="567"/>
      <c r="F909" s="567"/>
      <c r="G909" s="568" t="s">
        <v>3529</v>
      </c>
      <c r="H909" s="568" t="s">
        <v>873</v>
      </c>
      <c r="I909" s="678"/>
      <c r="J909" s="294" t="str">
        <f>IF(ISBLANK(HLOOKUP(CaseName,CaseData,MATCH($G909,cases!$G$4:$G$2458,0),FALSE)),"",HLOOKUP(CaseName,CaseData,MATCH($G909,cases!$G$4:$G$2458,0),FALSE))</f>
        <v/>
      </c>
      <c r="K909" s="577">
        <v>0.19</v>
      </c>
      <c r="L909" s="298">
        <f t="shared" si="55"/>
        <v>0.19</v>
      </c>
      <c r="M909" s="568" t="s">
        <v>873</v>
      </c>
      <c r="N909" s="567"/>
      <c r="O909" s="605" t="s">
        <v>1688</v>
      </c>
      <c r="P909" s="567" t="s">
        <v>1689</v>
      </c>
    </row>
    <row r="910" spans="1:16" customFormat="1" ht="12.75" customHeight="1" x14ac:dyDescent="0.2">
      <c r="A910" s="567"/>
      <c r="B910" s="567"/>
      <c r="C910" s="567" t="s">
        <v>1648</v>
      </c>
      <c r="D910" s="567"/>
      <c r="E910" s="567"/>
      <c r="F910" s="567"/>
      <c r="G910" s="568" t="s">
        <v>3530</v>
      </c>
      <c r="H910" s="568" t="s">
        <v>296</v>
      </c>
      <c r="I910" s="678"/>
      <c r="J910" s="294" t="str">
        <f>IF(ISBLANK(HLOOKUP(CaseName,CaseData,MATCH($G910,cases!$G$4:$G$2458,0),FALSE)),"",HLOOKUP(CaseName,CaseData,MATCH($G910,cases!$G$4:$G$2458,0),FALSE))</f>
        <v/>
      </c>
      <c r="K910" s="577">
        <f>L888^(-2/3)</f>
        <v>2.4088037627323852E-2</v>
      </c>
      <c r="L910" s="298">
        <f t="shared" si="55"/>
        <v>2.4088037627323852E-2</v>
      </c>
      <c r="M910" s="568" t="s">
        <v>296</v>
      </c>
      <c r="N910" s="567"/>
      <c r="O910" s="605" t="s">
        <v>1685</v>
      </c>
      <c r="P910" s="567" t="s">
        <v>1691</v>
      </c>
    </row>
    <row r="911" spans="1:16" customFormat="1" ht="12.75" customHeight="1" x14ac:dyDescent="0.2">
      <c r="A911" s="567"/>
      <c r="B911" s="567"/>
      <c r="C911" s="567" t="s">
        <v>1650</v>
      </c>
      <c r="D911" s="567"/>
      <c r="E911" s="567"/>
      <c r="F911" s="567"/>
      <c r="G911" s="568" t="s">
        <v>3531</v>
      </c>
      <c r="H911" s="568" t="s">
        <v>296</v>
      </c>
      <c r="I911" s="678"/>
      <c r="J911" s="294" t="str">
        <f>IF(ISBLANK(HLOOKUP(CaseName,CaseData,MATCH($G911,cases!$G$4:$G$2458,0),FALSE)),"",HLOOKUP(CaseName,CaseData,MATCH($G911,cases!$G$4:$G$2458,0),FALSE))</f>
        <v/>
      </c>
      <c r="K911" s="577">
        <f>0.3*(L914*(RadS/(RadS+L912))+(1-L914)*(RadS/(RadS+L913)))</f>
        <v>4.4692206751095909E-6</v>
      </c>
      <c r="L911" s="298">
        <f t="shared" si="55"/>
        <v>4.4692206751095909E-6</v>
      </c>
      <c r="M911" s="568" t="s">
        <v>296</v>
      </c>
      <c r="N911" s="567"/>
      <c r="O911" s="605" t="s">
        <v>1685</v>
      </c>
      <c r="P911" s="567" t="s">
        <v>1691</v>
      </c>
    </row>
    <row r="912" spans="1:16" customFormat="1" ht="12.75" customHeight="1" x14ac:dyDescent="0.2">
      <c r="A912" s="567"/>
      <c r="B912" s="567"/>
      <c r="C912" s="567"/>
      <c r="D912" s="567" t="s">
        <v>1693</v>
      </c>
      <c r="E912" s="567"/>
      <c r="F912" s="567"/>
      <c r="G912" s="568" t="s">
        <v>3532</v>
      </c>
      <c r="H912" s="568" t="s">
        <v>820</v>
      </c>
      <c r="I912" s="678"/>
      <c r="J912" s="294" t="str">
        <f>IF(ISBLANK(HLOOKUP(CaseName,CaseData,MATCH($G912,cases!$G$4:$G$2458,0),FALSE)),"",HLOOKUP(CaseName,CaseData,MATCH($G912,cases!$G$4:$G$2458,0),FALSE))</f>
        <v/>
      </c>
      <c r="K912" s="577">
        <f>1*10^-5</f>
        <v>1.0000000000000001E-5</v>
      </c>
      <c r="L912" s="298">
        <f t="shared" si="55"/>
        <v>1.0000000000000001E-5</v>
      </c>
      <c r="M912" s="568" t="s">
        <v>820</v>
      </c>
      <c r="N912" s="567"/>
      <c r="O912" s="605" t="s">
        <v>1681</v>
      </c>
      <c r="P912" s="567" t="s">
        <v>1691</v>
      </c>
    </row>
    <row r="913" spans="1:16" customFormat="1" ht="12.75" customHeight="1" x14ac:dyDescent="0.2">
      <c r="A913" s="567"/>
      <c r="B913" s="567"/>
      <c r="C913" s="567"/>
      <c r="D913" s="567" t="s">
        <v>1695</v>
      </c>
      <c r="E913" s="567"/>
      <c r="F913" s="567"/>
      <c r="G913" s="568" t="s">
        <v>3533</v>
      </c>
      <c r="H913" s="568" t="s">
        <v>820</v>
      </c>
      <c r="I913" s="678"/>
      <c r="J913" s="294" t="str">
        <f>IF(ISBLANK(HLOOKUP(CaseName,CaseData,MATCH($G913,cases!$G$4:$G$2458,0),FALSE)),"",HLOOKUP(CaseName,CaseData,MATCH($G913,cases!$G$4:$G$2458,0),FALSE))</f>
        <v/>
      </c>
      <c r="K913" s="577">
        <f>0.0005</f>
        <v>5.0000000000000001E-4</v>
      </c>
      <c r="L913" s="298">
        <f t="shared" si="55"/>
        <v>5.0000000000000001E-4</v>
      </c>
      <c r="M913" s="568" t="s">
        <v>820</v>
      </c>
      <c r="N913" s="567"/>
      <c r="O913" s="605" t="s">
        <v>1681</v>
      </c>
      <c r="P913" s="567" t="s">
        <v>1691</v>
      </c>
    </row>
    <row r="914" spans="1:16" customFormat="1" ht="12.75" customHeight="1" x14ac:dyDescent="0.2">
      <c r="A914" s="567"/>
      <c r="B914" s="567"/>
      <c r="C914" s="567"/>
      <c r="D914" s="567" t="s">
        <v>1697</v>
      </c>
      <c r="E914" s="567"/>
      <c r="F914" s="567"/>
      <c r="G914" s="568" t="s">
        <v>3534</v>
      </c>
      <c r="H914" s="568" t="s">
        <v>296</v>
      </c>
      <c r="I914" s="678"/>
      <c r="J914" s="294" t="str">
        <f>IF(ISBLANK(HLOOKUP(CaseName,CaseData,MATCH($G914,cases!$G$4:$G$2458,0),FALSE)),"",HLOOKUP(CaseName,CaseData,MATCH($G914,cases!$G$4:$G$2458,0),FALSE))</f>
        <v/>
      </c>
      <c r="K914" s="577">
        <v>0.01</v>
      </c>
      <c r="L914" s="298">
        <f t="shared" si="55"/>
        <v>0.01</v>
      </c>
      <c r="M914" s="568" t="s">
        <v>296</v>
      </c>
      <c r="N914" s="567"/>
      <c r="O914" s="605" t="s">
        <v>1681</v>
      </c>
      <c r="P914" s="567" t="s">
        <v>1699</v>
      </c>
    </row>
    <row r="915" spans="1:16" customFormat="1" ht="12.75" customHeight="1" x14ac:dyDescent="0.2">
      <c r="A915" s="567"/>
      <c r="B915" s="567"/>
      <c r="C915" s="567" t="s">
        <v>1652</v>
      </c>
      <c r="D915" s="567"/>
      <c r="E915" s="567"/>
      <c r="F915" s="567"/>
      <c r="G915" s="568" t="s">
        <v>3535</v>
      </c>
      <c r="H915" s="568" t="s">
        <v>296</v>
      </c>
      <c r="I915" s="678"/>
      <c r="J915" s="294" t="str">
        <f>IF(ISBLANK(HLOOKUP(CaseName,CaseData,MATCH($G915,cases!$G$4:$G$2458,0),FALSE)),"",HLOOKUP(CaseName,CaseData,MATCH($G915,cases!$G$4:$G$2458,0),FALSE))</f>
        <v/>
      </c>
      <c r="K915" s="577">
        <f>(L886/(L886+0.8))^2</f>
        <v>9.3734858037962063E-7</v>
      </c>
      <c r="L915" s="298">
        <f t="shared" si="55"/>
        <v>9.3734858037962063E-7</v>
      </c>
      <c r="M915" s="568" t="s">
        <v>296</v>
      </c>
      <c r="N915" s="567"/>
      <c r="O915" s="605" t="s">
        <v>1685</v>
      </c>
      <c r="P915" s="567" t="s">
        <v>1691</v>
      </c>
    </row>
    <row r="916" spans="1:16" customFormat="1" ht="12.75" customHeight="1" x14ac:dyDescent="0.2">
      <c r="A916" s="567" t="s">
        <v>2881</v>
      </c>
      <c r="B916" s="567"/>
      <c r="C916" s="567"/>
      <c r="D916" s="567"/>
      <c r="E916" s="567"/>
      <c r="F916" s="567"/>
      <c r="G916" s="568" t="s">
        <v>3536</v>
      </c>
      <c r="H916" s="568" t="s">
        <v>340</v>
      </c>
      <c r="I916" s="678"/>
      <c r="J916" s="294" t="str">
        <f>IF(ISBLANK(HLOOKUP(CaseName,CaseData,MATCH($G916,cases!$G$4:$G$2458,0),FALSE)),"",HLOOKUP(CaseName,CaseData,MATCH($G916,cases!$G$4:$G$2458,0),FALSE))</f>
        <v/>
      </c>
      <c r="K916" s="577">
        <f>(L917*L664*L662)/(L656)</f>
        <v>8.5054245009915821E-8</v>
      </c>
      <c r="L916" s="298">
        <f t="shared" ref="L916:L947" si="56">IF(ISBLANK(I916),IF(ISNUMBER(J916)=FALSE,K916,J916),I916)</f>
        <v>8.5054245009915821E-8</v>
      </c>
      <c r="M916" s="568" t="s">
        <v>340</v>
      </c>
      <c r="N916" s="567"/>
      <c r="O916" s="605"/>
      <c r="P916" s="567"/>
    </row>
    <row r="917" spans="1:16" customFormat="1" ht="12.75" customHeight="1" x14ac:dyDescent="0.2">
      <c r="A917" s="567"/>
      <c r="B917" s="567" t="s">
        <v>1676</v>
      </c>
      <c r="C917" s="567"/>
      <c r="D917" s="567"/>
      <c r="E917" s="567"/>
      <c r="F917" s="567"/>
      <c r="G917" s="568" t="s">
        <v>3537</v>
      </c>
      <c r="H917" s="568" t="s">
        <v>873</v>
      </c>
      <c r="I917" s="678"/>
      <c r="J917" s="294" t="str">
        <f>IF(ISBLANK(HLOOKUP(CaseName,CaseData,MATCH($G917,cases!$G$4:$G$2458,0),FALSE)),"",HLOOKUP(CaseName,CaseData,MATCH($G917,cases!$G$4:$G$2458,0),FALSE))</f>
        <v/>
      </c>
      <c r="K917" s="577">
        <f>1/(L907+L918)+L898</f>
        <v>2.8351406497880772E-4</v>
      </c>
      <c r="L917" s="298">
        <f t="shared" si="56"/>
        <v>2.8351406497880772E-4</v>
      </c>
      <c r="M917" s="568" t="s">
        <v>873</v>
      </c>
      <c r="N917" s="567"/>
      <c r="O917" s="605"/>
      <c r="P917" s="567"/>
    </row>
    <row r="918" spans="1:16" customFormat="1" ht="12.75" customHeight="1" x14ac:dyDescent="0.2">
      <c r="A918" s="567"/>
      <c r="B918" s="567" t="s">
        <v>1683</v>
      </c>
      <c r="C918" s="567"/>
      <c r="D918" s="567"/>
      <c r="E918" s="567"/>
      <c r="F918" s="567"/>
      <c r="G918" s="568" t="s">
        <v>3538</v>
      </c>
      <c r="H918" s="568" t="s">
        <v>1680</v>
      </c>
      <c r="I918" s="678"/>
      <c r="J918" s="294" t="str">
        <f>IF(ISBLANK(HLOOKUP(CaseName,CaseData,MATCH($G918,cases!$G$4:$G$2458,0),FALSE)),"",HLOOKUP(CaseName,CaseData,MATCH($G918,cases!$G$4:$G$2458,0),FALSE))</f>
        <v/>
      </c>
      <c r="K918" s="577">
        <f>1/(L909*(L919+L920+L921))</f>
        <v>3472.1811464630064</v>
      </c>
      <c r="L918" s="298">
        <f t="shared" si="56"/>
        <v>3472.1811464630064</v>
      </c>
      <c r="M918" s="568" t="s">
        <v>1680</v>
      </c>
      <c r="N918" s="567"/>
      <c r="O918" s="605"/>
      <c r="P918" s="567"/>
    </row>
    <row r="919" spans="1:16" customFormat="1" ht="12.75" customHeight="1" x14ac:dyDescent="0.2">
      <c r="A919" s="567"/>
      <c r="B919" s="567"/>
      <c r="C919" s="567" t="s">
        <v>1648</v>
      </c>
      <c r="D919" s="567"/>
      <c r="E919" s="567"/>
      <c r="F919" s="567"/>
      <c r="G919" s="568" t="s">
        <v>3539</v>
      </c>
      <c r="H919" s="568" t="s">
        <v>296</v>
      </c>
      <c r="I919" s="678"/>
      <c r="J919" s="294" t="str">
        <f>IF(ISBLANK(HLOOKUP(CaseName,CaseData,MATCH($G919,cases!$G$4:$G$2458,0),FALSE)),"",HLOOKUP(CaseName,CaseData,MATCH($G919,cases!$G$4:$G$2458,0),FALSE))</f>
        <v/>
      </c>
      <c r="K919" s="577">
        <f>L899^(-2/3)</f>
        <v>1.4500312012130582E-3</v>
      </c>
      <c r="L919" s="298">
        <f t="shared" si="56"/>
        <v>1.4500312012130582E-3</v>
      </c>
      <c r="M919" s="568" t="s">
        <v>296</v>
      </c>
      <c r="N919" s="567"/>
      <c r="O919" s="605"/>
      <c r="P919" s="567" t="s">
        <v>1691</v>
      </c>
    </row>
    <row r="920" spans="1:16" customFormat="1" ht="12.75" customHeight="1" x14ac:dyDescent="0.2">
      <c r="A920" s="567"/>
      <c r="B920" s="567"/>
      <c r="C920" s="567" t="s">
        <v>1650</v>
      </c>
      <c r="D920" s="567"/>
      <c r="E920" s="567"/>
      <c r="F920" s="567"/>
      <c r="G920" s="568" t="s">
        <v>3540</v>
      </c>
      <c r="H920" s="568" t="s">
        <v>296</v>
      </c>
      <c r="I920" s="678"/>
      <c r="J920" s="294" t="str">
        <f>IF(ISBLANK(HLOOKUP(CaseName,CaseData,MATCH($G920,cases!$G$4:$G$2458,0),FALSE)),"",HLOOKUP(CaseName,CaseData,MATCH($G920,cases!$G$4:$G$2458,0),FALSE))</f>
        <v/>
      </c>
      <c r="K920" s="577">
        <f>0.3*(L914*(L879/(L879+L912))+(1-L914)*(L879/(L879+L913)))</f>
        <v>4.0499237605021189E-5</v>
      </c>
      <c r="L920" s="298">
        <f t="shared" si="56"/>
        <v>4.0499237605021189E-5</v>
      </c>
      <c r="M920" s="568" t="s">
        <v>296</v>
      </c>
      <c r="N920" s="567"/>
      <c r="O920" s="605"/>
      <c r="P920" s="567" t="s">
        <v>1691</v>
      </c>
    </row>
    <row r="921" spans="1:16" customFormat="1" ht="12.75" customHeight="1" x14ac:dyDescent="0.2">
      <c r="A921" s="567"/>
      <c r="B921" s="567"/>
      <c r="C921" s="567" t="s">
        <v>1652</v>
      </c>
      <c r="D921" s="567"/>
      <c r="E921" s="567"/>
      <c r="F921" s="567"/>
      <c r="G921" s="568" t="s">
        <v>3541</v>
      </c>
      <c r="H921" s="568" t="s">
        <v>296</v>
      </c>
      <c r="I921" s="678"/>
      <c r="J921" s="294" t="str">
        <f>IF(ISBLANK(HLOOKUP(CaseName,CaseData,MATCH($G921,cases!$G$4:$G$2458,0),FALSE)),"",HLOOKUP(CaseName,CaseData,MATCH($G921,cases!$G$4:$G$2458,0),FALSE))</f>
        <v/>
      </c>
      <c r="K921" s="577">
        <f>(L897/(L897+0.8))^2</f>
        <v>2.5276966592851793E-5</v>
      </c>
      <c r="L921" s="298">
        <f t="shared" si="56"/>
        <v>2.5276966592851793E-5</v>
      </c>
      <c r="M921" s="568" t="s">
        <v>296</v>
      </c>
      <c r="N921" s="567"/>
      <c r="O921" s="605"/>
      <c r="P921" s="567" t="s">
        <v>1691</v>
      </c>
    </row>
    <row r="922" spans="1:16" customFormat="1" ht="12.75" customHeight="1" x14ac:dyDescent="0.2">
      <c r="A922" s="567" t="s">
        <v>2888</v>
      </c>
      <c r="B922" s="567"/>
      <c r="C922" s="567"/>
      <c r="D922" s="567"/>
      <c r="E922" s="567"/>
      <c r="F922" s="567"/>
      <c r="G922" s="568" t="s">
        <v>3542</v>
      </c>
      <c r="H922" s="568" t="s">
        <v>340</v>
      </c>
      <c r="I922" s="678"/>
      <c r="J922" s="294" t="str">
        <f>IF(ISBLANK(HLOOKUP(CaseName,CaseData,MATCH($G922,cases!$G$4:$G$2458,0),FALSE)),"",HLOOKUP(CaseName,CaseData,MATCH($G922,cases!$G$4:$G$2458,0),FALSE))</f>
        <v/>
      </c>
      <c r="K922" s="577">
        <f>(L735*L664*L662)/(L656)</f>
        <v>3.0000009000002699E-7</v>
      </c>
      <c r="L922" s="298">
        <f t="shared" si="56"/>
        <v>3.0000009000002699E-7</v>
      </c>
      <c r="M922" s="568" t="s">
        <v>340</v>
      </c>
      <c r="N922" s="567" t="s">
        <v>2421</v>
      </c>
      <c r="O922" s="605"/>
      <c r="P922" s="567"/>
    </row>
    <row r="923" spans="1:16" customFormat="1" ht="12.75" customHeight="1" x14ac:dyDescent="0.2">
      <c r="A923" s="567" t="s">
        <v>2890</v>
      </c>
      <c r="B923" s="567"/>
      <c r="C923" s="567"/>
      <c r="D923" s="567"/>
      <c r="E923" s="567"/>
      <c r="F923" s="567"/>
      <c r="G923" s="568" t="s">
        <v>3543</v>
      </c>
      <c r="H923" s="568" t="s">
        <v>340</v>
      </c>
      <c r="I923" s="678"/>
      <c r="J923" s="294" t="str">
        <f>IF(ISBLANK(HLOOKUP(CaseName,CaseData,MATCH($G923,cases!$G$4:$G$2458,0),FALSE)),"",HLOOKUP(CaseName,CaseData,MATCH($G923,cases!$G$4:$G$2458,0),FALSE))</f>
        <v/>
      </c>
      <c r="K923" s="577">
        <f>(L924*L663*L662)/(L656)</f>
        <v>3.1664993981010153E-6</v>
      </c>
      <c r="L923" s="298">
        <f t="shared" si="56"/>
        <v>3.1664993981010153E-6</v>
      </c>
      <c r="M923" s="568" t="s">
        <v>340</v>
      </c>
      <c r="N923" s="567"/>
      <c r="O923" s="605"/>
      <c r="P923" s="567"/>
    </row>
    <row r="924" spans="1:16" customFormat="1" ht="12.75" customHeight="1" x14ac:dyDescent="0.2">
      <c r="A924" s="567"/>
      <c r="B924" s="567" t="s">
        <v>1676</v>
      </c>
      <c r="C924" s="567"/>
      <c r="D924" s="567"/>
      <c r="E924" s="567"/>
      <c r="F924" s="567"/>
      <c r="G924" s="568" t="s">
        <v>3544</v>
      </c>
      <c r="H924" s="568" t="s">
        <v>873</v>
      </c>
      <c r="I924" s="678"/>
      <c r="J924" s="294" t="str">
        <f>IF(ISBLANK(HLOOKUP(CaseName,CaseData,MATCH($G924,cases!$G$4:$G$2458,0),FALSE)),"",HLOOKUP(CaseName,CaseData,MATCH($G924,cases!$G$4:$G$2458,0),FALSE))</f>
        <v/>
      </c>
      <c r="K924" s="577">
        <f>1/(L925+L926)+L887</f>
        <v>4.5235692116445654E-3</v>
      </c>
      <c r="L924" s="298">
        <f t="shared" si="56"/>
        <v>4.5235692116445654E-3</v>
      </c>
      <c r="M924" s="568" t="s">
        <v>873</v>
      </c>
      <c r="N924" s="567"/>
      <c r="O924" s="605"/>
      <c r="P924" s="567"/>
    </row>
    <row r="925" spans="1:16" customFormat="1" ht="12.75" customHeight="1" x14ac:dyDescent="0.2">
      <c r="A925" s="567"/>
      <c r="B925" s="567"/>
      <c r="C925" s="567" t="s">
        <v>1772</v>
      </c>
      <c r="D925" s="567"/>
      <c r="E925" s="567"/>
      <c r="F925" s="567"/>
      <c r="G925" s="567" t="s">
        <v>3545</v>
      </c>
      <c r="H925" s="568" t="s">
        <v>1680</v>
      </c>
      <c r="I925" s="678"/>
      <c r="J925" s="294" t="str">
        <f>IF(ISBLANK(HLOOKUP(CaseName,CaseData,MATCH($G925,cases!$G$4:$G$2458,0),FALSE)),"",HLOOKUP(CaseName,CaseData,MATCH($G925,cases!$G$4:$G$2458,0),FALSE))</f>
        <v/>
      </c>
      <c r="K925" s="577">
        <v>135</v>
      </c>
      <c r="L925" s="298">
        <f t="shared" si="56"/>
        <v>135</v>
      </c>
      <c r="M925" s="568" t="s">
        <v>1680</v>
      </c>
      <c r="N925" s="567"/>
      <c r="O925" s="605"/>
      <c r="P925" s="567" t="s">
        <v>1682</v>
      </c>
    </row>
    <row r="926" spans="1:16" customFormat="1" ht="12.75" customHeight="1" x14ac:dyDescent="0.2">
      <c r="A926" s="567"/>
      <c r="B926" s="567"/>
      <c r="C926" s="567" t="s">
        <v>2894</v>
      </c>
      <c r="D926" s="567"/>
      <c r="E926" s="567"/>
      <c r="F926" s="567"/>
      <c r="G926" s="568" t="s">
        <v>3546</v>
      </c>
      <c r="H926" s="568" t="s">
        <v>1680</v>
      </c>
      <c r="I926" s="678"/>
      <c r="J926" s="294" t="str">
        <f>IF(ISBLANK(HLOOKUP(CaseName,CaseData,MATCH($G926,cases!$G$4:$G$2458,0),FALSE)),"",HLOOKUP(CaseName,CaseData,MATCH($G926,cases!$G$4:$G$2458,0),FALSE))</f>
        <v/>
      </c>
      <c r="K926" s="577">
        <f>1/(L927*(L928+L929))</f>
        <v>86.078627439773982</v>
      </c>
      <c r="L926" s="298">
        <f t="shared" si="56"/>
        <v>86.078627439773982</v>
      </c>
      <c r="M926" s="568" t="s">
        <v>1680</v>
      </c>
      <c r="N926" s="567"/>
      <c r="O926" s="605"/>
      <c r="P926" s="567"/>
    </row>
    <row r="927" spans="1:16" customFormat="1" ht="12.75" customHeight="1" x14ac:dyDescent="0.2">
      <c r="A927" s="567"/>
      <c r="B927" s="567"/>
      <c r="C927" s="567" t="s">
        <v>1760</v>
      </c>
      <c r="D927" s="567"/>
      <c r="E927" s="567"/>
      <c r="F927" s="567"/>
      <c r="G927" s="568" t="s">
        <v>3547</v>
      </c>
      <c r="H927" s="568" t="s">
        <v>873</v>
      </c>
      <c r="I927" s="678"/>
      <c r="J927" s="294" t="str">
        <f>IF(ISBLANK(HLOOKUP(CaseName,CaseData,MATCH($G927,cases!$G$4:$G$2458,0),FALSE)),"",HLOOKUP(CaseName,CaseData,MATCH($G927,cases!$G$4:$G$2458,0),FALSE))</f>
        <v/>
      </c>
      <c r="K927" s="577">
        <v>0.19</v>
      </c>
      <c r="L927" s="298">
        <f t="shared" si="56"/>
        <v>0.19</v>
      </c>
      <c r="M927" s="568" t="s">
        <v>873</v>
      </c>
      <c r="N927" s="567"/>
      <c r="O927" s="605" t="s">
        <v>1688</v>
      </c>
      <c r="P927" s="567" t="s">
        <v>1689</v>
      </c>
    </row>
    <row r="928" spans="1:16" customFormat="1" ht="12.75" customHeight="1" x14ac:dyDescent="0.2">
      <c r="A928" s="567"/>
      <c r="B928" s="567"/>
      <c r="C928" s="567"/>
      <c r="D928" s="567" t="s">
        <v>1648</v>
      </c>
      <c r="E928" s="567"/>
      <c r="F928" s="567"/>
      <c r="G928" s="568" t="s">
        <v>3548</v>
      </c>
      <c r="H928" s="568" t="s">
        <v>296</v>
      </c>
      <c r="I928" s="678"/>
      <c r="J928" s="294" t="str">
        <f>IF(ISBLANK(HLOOKUP(CaseName,CaseData,MATCH($G928,cases!$G$4:$G$2458,0),FALSE)),"",HLOOKUP(CaseName,CaseData,MATCH($G928,cases!$G$4:$G$2458,0),FALSE))</f>
        <v/>
      </c>
      <c r="K928" s="577">
        <f>L888^-(1/2)</f>
        <v>6.1143608480737896E-2</v>
      </c>
      <c r="L928" s="298">
        <f t="shared" si="56"/>
        <v>6.1143608480737896E-2</v>
      </c>
      <c r="M928" s="568" t="s">
        <v>296</v>
      </c>
      <c r="N928" s="567"/>
      <c r="O928" s="605"/>
      <c r="P928" s="567"/>
    </row>
    <row r="929" spans="1:18" customFormat="1" ht="12.75" customHeight="1" x14ac:dyDescent="0.2">
      <c r="A929" s="567"/>
      <c r="B929" s="567"/>
      <c r="C929" s="567"/>
      <c r="D929" s="567" t="s">
        <v>1652</v>
      </c>
      <c r="E929" s="567"/>
      <c r="F929" s="567"/>
      <c r="G929" s="568" t="s">
        <v>3549</v>
      </c>
      <c r="H929" s="568" t="s">
        <v>296</v>
      </c>
      <c r="I929" s="678"/>
      <c r="J929" s="294" t="str">
        <f>IF(ISBLANK(HLOOKUP(CaseName,CaseData,MATCH($G929,cases!$G$4:$G$2458,0),FALSE)),"",HLOOKUP(CaseName,CaseData,MATCH($G929,cases!$G$4:$G$2458,0),FALSE))</f>
        <v/>
      </c>
      <c r="K929" s="577">
        <f>10^(-3/L886)</f>
        <v>0</v>
      </c>
      <c r="L929" s="298">
        <f t="shared" si="56"/>
        <v>0</v>
      </c>
      <c r="M929" s="568" t="s">
        <v>296</v>
      </c>
      <c r="N929" s="567"/>
      <c r="O929" s="605"/>
      <c r="P929" s="567"/>
    </row>
    <row r="930" spans="1:18" customFormat="1" ht="12.75" customHeight="1" x14ac:dyDescent="0.2">
      <c r="A930" s="567" t="s">
        <v>2899</v>
      </c>
      <c r="B930" s="567"/>
      <c r="C930" s="567"/>
      <c r="D930" s="567"/>
      <c r="E930" s="567"/>
      <c r="F930" s="567"/>
      <c r="G930" s="567" t="s">
        <v>3550</v>
      </c>
      <c r="H930" s="568" t="s">
        <v>340</v>
      </c>
      <c r="I930" s="678"/>
      <c r="J930" s="294" t="str">
        <f>IF(ISBLANK(HLOOKUP(CaseName,CaseData,MATCH($G930,cases!$G$4:$G$2458,0),FALSE)),"",HLOOKUP(CaseName,CaseData,MATCH($G930,cases!$G$4:$G$2458,0),FALSE))</f>
        <v/>
      </c>
      <c r="K930" s="577">
        <f>L931*L663*L662/L656</f>
        <v>8.3114317201534345E-7</v>
      </c>
      <c r="L930" s="298">
        <f t="shared" si="56"/>
        <v>8.3114317201534345E-7</v>
      </c>
      <c r="M930" s="568" t="s">
        <v>340</v>
      </c>
      <c r="N930" s="567"/>
      <c r="O930" s="605"/>
      <c r="P930" s="567"/>
    </row>
    <row r="931" spans="1:18" customFormat="1" ht="12.75" customHeight="1" x14ac:dyDescent="0.2">
      <c r="A931" s="567"/>
      <c r="B931" s="567" t="s">
        <v>1676</v>
      </c>
      <c r="C931" s="567"/>
      <c r="D931" s="567"/>
      <c r="E931" s="567"/>
      <c r="F931" s="567"/>
      <c r="G931" s="568" t="s">
        <v>3551</v>
      </c>
      <c r="H931" s="568" t="s">
        <v>873</v>
      </c>
      <c r="I931" s="678"/>
      <c r="J931" s="294" t="str">
        <f>IF(ISBLANK(HLOOKUP(CaseName,CaseData,MATCH($G931,cases!$G$4:$G$2458,0),FALSE)),"",HLOOKUP(CaseName,CaseData,MATCH($G931,cases!$G$4:$G$2458,0),FALSE))</f>
        <v/>
      </c>
      <c r="K931" s="577">
        <f>1/(L925+L932)+L898</f>
        <v>1.1873470323891314E-3</v>
      </c>
      <c r="L931" s="298">
        <f t="shared" si="56"/>
        <v>1.1873470323891314E-3</v>
      </c>
      <c r="M931" s="568" t="s">
        <v>873</v>
      </c>
      <c r="N931" s="567"/>
      <c r="O931" s="605"/>
      <c r="P931" s="567"/>
    </row>
    <row r="932" spans="1:18" customFormat="1" ht="12.75" customHeight="1" x14ac:dyDescent="0.2">
      <c r="A932" s="567"/>
      <c r="B932" s="567"/>
      <c r="C932" s="567" t="s">
        <v>1758</v>
      </c>
      <c r="D932" s="567"/>
      <c r="E932" s="567"/>
      <c r="F932" s="567"/>
      <c r="G932" s="568" t="s">
        <v>3552</v>
      </c>
      <c r="H932" s="568" t="s">
        <v>1680</v>
      </c>
      <c r="I932" s="678"/>
      <c r="J932" s="294" t="str">
        <f>IF(ISBLANK(HLOOKUP(CaseName,CaseData,MATCH($G932,cases!$G$4:$G$2458,0),FALSE)),"",HLOOKUP(CaseName,CaseData,MATCH($G932,cases!$G$4:$G$2458,0),FALSE))</f>
        <v/>
      </c>
      <c r="K932" s="577">
        <f>1/(L927*(L933+L934))</f>
        <v>708.29371569949933</v>
      </c>
      <c r="L932" s="298">
        <f t="shared" si="56"/>
        <v>708.29371569949933</v>
      </c>
      <c r="M932" s="568" t="s">
        <v>1680</v>
      </c>
      <c r="N932" s="567"/>
      <c r="O932" s="567"/>
      <c r="P932" s="605"/>
    </row>
    <row r="933" spans="1:18" customFormat="1" ht="12.75" customHeight="1" x14ac:dyDescent="0.2">
      <c r="A933" s="567"/>
      <c r="B933" s="567"/>
      <c r="C933" s="567"/>
      <c r="D933" s="567" t="s">
        <v>1648</v>
      </c>
      <c r="E933" s="567"/>
      <c r="F933" s="567"/>
      <c r="G933" s="568" t="s">
        <v>3553</v>
      </c>
      <c r="H933" s="568" t="s">
        <v>296</v>
      </c>
      <c r="I933" s="678"/>
      <c r="J933" s="294" t="str">
        <f>IF(ISBLANK(HLOOKUP(CaseName,CaseData,MATCH($G933,cases!$G$4:$G$2458,0),FALSE)),"",HLOOKUP(CaseName,CaseData,MATCH($G933,cases!$G$4:$G$2458,0),FALSE))</f>
        <v/>
      </c>
      <c r="K933" s="577">
        <f>L899^-(1/2)</f>
        <v>7.4307561652428794E-3</v>
      </c>
      <c r="L933" s="298">
        <f t="shared" si="56"/>
        <v>7.4307561652428794E-3</v>
      </c>
      <c r="M933" s="568" t="s">
        <v>296</v>
      </c>
      <c r="N933" s="567"/>
      <c r="O933" s="567"/>
      <c r="P933" s="605"/>
    </row>
    <row r="934" spans="1:18" customFormat="1" ht="12.75" customHeight="1" x14ac:dyDescent="0.2">
      <c r="A934" s="567"/>
      <c r="B934" s="567"/>
      <c r="C934" s="567"/>
      <c r="D934" s="567" t="s">
        <v>1652</v>
      </c>
      <c r="E934" s="567"/>
      <c r="F934" s="567"/>
      <c r="G934" s="568" t="s">
        <v>3554</v>
      </c>
      <c r="H934" s="568" t="s">
        <v>296</v>
      </c>
      <c r="I934" s="678"/>
      <c r="J934" s="294" t="str">
        <f>IF(ISBLANK(HLOOKUP(CaseName,CaseData,MATCH($G934,cases!$G$4:$G$2458,0),FALSE)),"",HLOOKUP(CaseName,CaseData,MATCH($G934,cases!$G$4:$G$2458,0),FALSE))</f>
        <v/>
      </c>
      <c r="K934" s="577">
        <f>10^(-3/L897)</f>
        <v>0</v>
      </c>
      <c r="L934" s="298">
        <f t="shared" si="56"/>
        <v>0</v>
      </c>
      <c r="M934" s="568" t="s">
        <v>296</v>
      </c>
      <c r="N934" s="567"/>
      <c r="O934" s="567"/>
      <c r="P934" s="605"/>
    </row>
    <row r="935" spans="1:18" customFormat="1" ht="12.75" customHeight="1" x14ac:dyDescent="0.2">
      <c r="A935" s="567" t="s">
        <v>2905</v>
      </c>
      <c r="B935" s="567"/>
      <c r="C935" s="567"/>
      <c r="D935" s="567"/>
      <c r="E935" s="567"/>
      <c r="F935" s="567"/>
      <c r="G935" s="567" t="s">
        <v>3555</v>
      </c>
      <c r="H935" s="568" t="s">
        <v>340</v>
      </c>
      <c r="I935" s="678"/>
      <c r="J935" s="294" t="str">
        <f>IF(ISBLANK(HLOOKUP(CaseName,CaseData,MATCH($G935,cases!$G$4:$G$2458,0),FALSE)),"",HLOOKUP(CaseName,CaseData,MATCH($G935,cases!$G$4:$G$2458,0),FALSE))</f>
        <v/>
      </c>
      <c r="K935" s="577">
        <f>(L735*L663*L662)/L656</f>
        <v>7.0000021000006299E-7</v>
      </c>
      <c r="L935" s="298">
        <f t="shared" si="56"/>
        <v>7.0000021000006299E-7</v>
      </c>
      <c r="M935" s="568" t="s">
        <v>340</v>
      </c>
      <c r="N935" s="567"/>
      <c r="O935" s="605"/>
      <c r="P935" s="567"/>
    </row>
    <row r="936" spans="1:18" customFormat="1" ht="12.75" customHeight="1" x14ac:dyDescent="0.2">
      <c r="A936" s="567" t="s">
        <v>2907</v>
      </c>
      <c r="B936" s="567"/>
      <c r="C936" s="567"/>
      <c r="D936" s="567"/>
      <c r="E936" s="567"/>
      <c r="F936" s="567"/>
      <c r="G936" s="568" t="s">
        <v>3556</v>
      </c>
      <c r="H936" s="568" t="s">
        <v>340</v>
      </c>
      <c r="I936" s="678"/>
      <c r="J936" s="294" t="str">
        <f>IF(ISBLANK(HLOOKUP(CaseName,CaseData,MATCH($G936,cases!$G$4:$G$2458,0),FALSE)),"",HLOOKUP(CaseName,CaseData,MATCH($G936,cases!$G$4:$G$2458,0),FALSE))</f>
        <v/>
      </c>
      <c r="K936" s="577">
        <f>(L736*L664*L662)/(L657)</f>
        <v>4.1222741945716548E-5</v>
      </c>
      <c r="L936" s="298">
        <f t="shared" si="56"/>
        <v>4.1222741945716548E-5</v>
      </c>
      <c r="M936" s="568" t="s">
        <v>340</v>
      </c>
      <c r="N936" s="567"/>
      <c r="O936" s="605"/>
      <c r="P936" s="567"/>
    </row>
    <row r="937" spans="1:18" customFormat="1" ht="12.75" customHeight="1" x14ac:dyDescent="0.2">
      <c r="A937" s="567" t="s">
        <v>2909</v>
      </c>
      <c r="B937" s="567"/>
      <c r="C937" s="567"/>
      <c r="D937" s="567"/>
      <c r="E937" s="567"/>
      <c r="F937" s="567"/>
      <c r="G937" s="568" t="s">
        <v>3557</v>
      </c>
      <c r="H937" s="568" t="s">
        <v>340</v>
      </c>
      <c r="I937" s="678"/>
      <c r="J937" s="294" t="str">
        <f>IF(ISBLANK(HLOOKUP(CaseName,CaseData,MATCH($G937,cases!$G$4:$G$2458,0),FALSE)),"",HLOOKUP(CaseName,CaseData,MATCH($G937,cases!$G$4:$G$2458,0),FALSE))</f>
        <v/>
      </c>
      <c r="K937" s="577">
        <f>(L736*L664*L662)/(L657)</f>
        <v>4.1222741945716548E-5</v>
      </c>
      <c r="L937" s="298">
        <f t="shared" si="56"/>
        <v>4.1222741945716548E-5</v>
      </c>
      <c r="M937" s="568" t="s">
        <v>340</v>
      </c>
      <c r="N937" s="567"/>
      <c r="O937" s="605"/>
      <c r="P937" s="567"/>
    </row>
    <row r="938" spans="1:18" customFormat="1" ht="12.75" customHeight="1" x14ac:dyDescent="0.2">
      <c r="A938" s="567" t="s">
        <v>2911</v>
      </c>
      <c r="B938" s="567"/>
      <c r="C938" s="567"/>
      <c r="D938" s="567"/>
      <c r="E938" s="567"/>
      <c r="F938" s="567"/>
      <c r="G938" s="568" t="s">
        <v>3558</v>
      </c>
      <c r="H938" s="568" t="s">
        <v>340</v>
      </c>
      <c r="I938" s="678"/>
      <c r="J938" s="294" t="str">
        <f>IF(ISBLANK(HLOOKUP(CaseName,CaseData,MATCH($G938,cases!$G$4:$G$2458,0),FALSE)),"",HLOOKUP(CaseName,CaseData,MATCH($G938,cases!$G$4:$G$2458,0),FALSE))</f>
        <v/>
      </c>
      <c r="K938" s="577">
        <f>(L736*L664*L662)/(L657)</f>
        <v>4.1222741945716548E-5</v>
      </c>
      <c r="L938" s="298">
        <f t="shared" si="56"/>
        <v>4.1222741945716548E-5</v>
      </c>
      <c r="M938" s="568" t="s">
        <v>340</v>
      </c>
      <c r="N938" s="567"/>
      <c r="O938" s="605"/>
      <c r="P938" s="567"/>
    </row>
    <row r="939" spans="1:18" customFormat="1" ht="12.75" customHeight="1" x14ac:dyDescent="0.2">
      <c r="A939" s="567" t="s">
        <v>2913</v>
      </c>
      <c r="B939" s="567"/>
      <c r="C939" s="567"/>
      <c r="D939" s="567"/>
      <c r="E939" s="567"/>
      <c r="F939" s="567"/>
      <c r="G939" s="568" t="s">
        <v>3559</v>
      </c>
      <c r="H939" s="568" t="s">
        <v>340</v>
      </c>
      <c r="I939" s="678"/>
      <c r="J939" s="294" t="str">
        <f>IF(ISBLANK(HLOOKUP(CaseName,CaseData,MATCH($G939,cases!$G$4:$G$2458,0),FALSE)),"",HLOOKUP(CaseName,CaseData,MATCH($G939,cases!$G$4:$G$2458,0),FALSE))</f>
        <v/>
      </c>
      <c r="K939" s="577">
        <f>(L736*L663*L662)/(L657)</f>
        <v>9.6186397873338595E-5</v>
      </c>
      <c r="L939" s="298">
        <f t="shared" si="56"/>
        <v>9.6186397873338595E-5</v>
      </c>
      <c r="M939" s="568" t="s">
        <v>340</v>
      </c>
      <c r="N939" s="567"/>
      <c r="O939" s="605"/>
      <c r="P939" s="567"/>
    </row>
    <row r="940" spans="1:18" customFormat="1" ht="12.75" customHeight="1" x14ac:dyDescent="0.2">
      <c r="A940" s="567" t="s">
        <v>2915</v>
      </c>
      <c r="B940" s="567"/>
      <c r="C940" s="567"/>
      <c r="D940" s="567"/>
      <c r="E940" s="567"/>
      <c r="F940" s="567"/>
      <c r="G940" s="568" t="s">
        <v>3560</v>
      </c>
      <c r="H940" s="568" t="s">
        <v>340</v>
      </c>
      <c r="I940" s="678"/>
      <c r="J940" s="294" t="str">
        <f>IF(ISBLANK(HLOOKUP(CaseName,CaseData,MATCH($G940,cases!$G$4:$G$2458,0),FALSE)),"",HLOOKUP(CaseName,CaseData,MATCH($G940,cases!$G$4:$G$2458,0),FALSE))</f>
        <v/>
      </c>
      <c r="K940" s="577">
        <f>(L736*L663*L662)/(L657)</f>
        <v>9.6186397873338595E-5</v>
      </c>
      <c r="L940" s="298">
        <f t="shared" si="56"/>
        <v>9.6186397873338595E-5</v>
      </c>
      <c r="M940" s="568" t="s">
        <v>340</v>
      </c>
      <c r="N940" s="567"/>
      <c r="O940" s="605"/>
      <c r="P940" s="567"/>
    </row>
    <row r="941" spans="1:18" customFormat="1" ht="12.75" customHeight="1" x14ac:dyDescent="0.2">
      <c r="A941" s="567" t="s">
        <v>2917</v>
      </c>
      <c r="B941" s="567"/>
      <c r="C941" s="567"/>
      <c r="D941" s="567"/>
      <c r="E941" s="567"/>
      <c r="F941" s="567"/>
      <c r="G941" s="568" t="s">
        <v>3561</v>
      </c>
      <c r="H941" s="568" t="s">
        <v>340</v>
      </c>
      <c r="I941" s="678"/>
      <c r="J941" s="294" t="str">
        <f>IF(ISBLANK(HLOOKUP(CaseName,CaseData,MATCH($G941,cases!$G$4:$G$2458,0),FALSE)),"",HLOOKUP(CaseName,CaseData,MATCH($G941,cases!$G$4:$G$2458,0),FALSE))</f>
        <v/>
      </c>
      <c r="K941" s="577">
        <f>(L736*L663*L662)/(L657)</f>
        <v>9.6186397873338595E-5</v>
      </c>
      <c r="L941" s="298">
        <f t="shared" si="56"/>
        <v>9.6186397873338595E-5</v>
      </c>
      <c r="M941" s="568" t="s">
        <v>340</v>
      </c>
      <c r="N941" s="567"/>
      <c r="O941" s="605"/>
      <c r="P941" s="801"/>
      <c r="R941" s="650"/>
    </row>
    <row r="942" spans="1:18" customFormat="1" ht="12.75" customHeight="1" x14ac:dyDescent="0.2">
      <c r="A942" s="567" t="s">
        <v>2919</v>
      </c>
      <c r="B942" s="567"/>
      <c r="C942" s="567"/>
      <c r="D942" s="567"/>
      <c r="E942" s="567"/>
      <c r="F942" s="567"/>
      <c r="G942" s="568" t="s">
        <v>3562</v>
      </c>
      <c r="H942" s="568" t="s">
        <v>340</v>
      </c>
      <c r="I942" s="678"/>
      <c r="J942" s="294" t="str">
        <f>IF(ISBLANK(HLOOKUP(CaseName,CaseData,MATCH($G942,cases!$G$4:$G$2458,0),FALSE)),"",HLOOKUP(CaseName,CaseData,MATCH($G942,cases!$G$4:$G$2458,0),FALSE))</f>
        <v/>
      </c>
      <c r="K942" s="577">
        <f>IF((SetVelS.w*L663*L662)/(L658)&gt;0,(SetVelS.w*L663*L662)/(L658)+L685,L685)</f>
        <v>2.2724619105093776E-7</v>
      </c>
      <c r="L942" s="298">
        <f t="shared" si="56"/>
        <v>2.2724619105093776E-7</v>
      </c>
      <c r="M942" s="568" t="s">
        <v>340</v>
      </c>
      <c r="N942" s="567" t="s">
        <v>2921</v>
      </c>
      <c r="O942" s="605"/>
      <c r="P942" s="801"/>
      <c r="R942" s="650"/>
    </row>
    <row r="943" spans="1:18" customFormat="1" ht="12.75" customHeight="1" x14ac:dyDescent="0.2">
      <c r="A943" s="567" t="s">
        <v>2922</v>
      </c>
      <c r="B943" s="567"/>
      <c r="C943" s="567"/>
      <c r="D943" s="567"/>
      <c r="E943" s="567"/>
      <c r="F943" s="567"/>
      <c r="G943" s="568" t="s">
        <v>3563</v>
      </c>
      <c r="H943" s="568" t="s">
        <v>340</v>
      </c>
      <c r="I943" s="678"/>
      <c r="J943" s="294" t="str">
        <f>IF(ISBLANK(HLOOKUP(CaseName,CaseData,MATCH($G943,cases!$G$4:$G$2458,0),FALSE)),"",HLOOKUP(CaseName,CaseData,MATCH($G943,cases!$G$4:$G$2458,0),FALSE))</f>
        <v/>
      </c>
      <c r="K943" s="577">
        <f>IF((SetVelA.w*L663*L662)/(L658)&gt;0,(SetVelA.w*L663*L662)/(L658)+L685,L685)</f>
        <v>2.2773498566812833E-7</v>
      </c>
      <c r="L943" s="298">
        <f t="shared" si="56"/>
        <v>2.2773498566812833E-7</v>
      </c>
      <c r="M943" s="568" t="s">
        <v>340</v>
      </c>
      <c r="N943" s="567" t="s">
        <v>2921</v>
      </c>
      <c r="O943" s="605"/>
      <c r="P943" s="801"/>
      <c r="R943" s="650"/>
    </row>
    <row r="944" spans="1:18" customFormat="1" ht="12.75" customHeight="1" x14ac:dyDescent="0.2">
      <c r="A944" s="567" t="s">
        <v>2924</v>
      </c>
      <c r="B944" s="567"/>
      <c r="C944" s="567"/>
      <c r="D944" s="567"/>
      <c r="E944" s="567"/>
      <c r="F944" s="567"/>
      <c r="G944" s="568" t="s">
        <v>3564</v>
      </c>
      <c r="H944" s="568" t="s">
        <v>340</v>
      </c>
      <c r="I944" s="678"/>
      <c r="J944" s="294" t="str">
        <f>IF(ISBLANK(HLOOKUP(CaseName,CaseData,MATCH($G944,cases!$G$4:$G$2458,0),FALSE)),"",HLOOKUP(CaseName,CaseData,MATCH($G944,cases!$G$4:$G$2458,0),FALSE))</f>
        <v/>
      </c>
      <c r="K944" s="577">
        <f>IF((SetVelP.w*L663*L662)/L658&gt;0,(SetVelP.w*L663*L662)/L658+L685,L685)</f>
        <v>5.2134862721956162E-7</v>
      </c>
      <c r="L944" s="298">
        <f t="shared" si="56"/>
        <v>5.2134862721956162E-7</v>
      </c>
      <c r="M944" s="568" t="s">
        <v>340</v>
      </c>
      <c r="N944" s="567" t="s">
        <v>2921</v>
      </c>
      <c r="O944" s="605"/>
      <c r="P944" s="801"/>
      <c r="R944" s="650"/>
    </row>
    <row r="945" spans="1:20" customFormat="1" ht="12.75" customHeight="1" x14ac:dyDescent="0.2">
      <c r="A945" s="567" t="s">
        <v>2926</v>
      </c>
      <c r="B945" s="567"/>
      <c r="C945" s="567"/>
      <c r="D945" s="567"/>
      <c r="E945" s="567"/>
      <c r="F945" s="567"/>
      <c r="G945" s="568" t="s">
        <v>3565</v>
      </c>
      <c r="H945" s="568" t="s">
        <v>340</v>
      </c>
      <c r="I945" s="678"/>
      <c r="J945" s="294" t="str">
        <f>IF(ISBLANK(HLOOKUP(CaseName,CaseData,MATCH($G945,cases!$G$4:$G$2458,0),FALSE)),"",HLOOKUP(CaseName,CaseData,MATCH($G945,cases!$G$4:$G$2458,0),FALSE))</f>
        <v/>
      </c>
      <c r="K945" s="577">
        <f>IF((SetVelS.w*L663*L662)/(L659)&gt;0,(SetVelS.w*L663*L662)/(L659),0)</f>
        <v>5.8597471723220236E-14</v>
      </c>
      <c r="L945" s="298">
        <f t="shared" si="56"/>
        <v>5.8597471723220236E-14</v>
      </c>
      <c r="M945" s="568" t="s">
        <v>340</v>
      </c>
      <c r="N945" s="567"/>
      <c r="O945" s="605"/>
      <c r="P945" s="801"/>
      <c r="R945" s="650"/>
    </row>
    <row r="946" spans="1:20" customFormat="1" ht="12.75" customHeight="1" x14ac:dyDescent="0.2">
      <c r="A946" s="567" t="s">
        <v>2928</v>
      </c>
      <c r="B946" s="567"/>
      <c r="C946" s="567"/>
      <c r="D946" s="567"/>
      <c r="E946" s="567"/>
      <c r="F946" s="567"/>
      <c r="G946" s="568" t="s">
        <v>3566</v>
      </c>
      <c r="H946" s="568" t="s">
        <v>340</v>
      </c>
      <c r="I946" s="678"/>
      <c r="J946" s="294" t="str">
        <f>IF(ISBLANK(HLOOKUP(CaseName,CaseData,MATCH($G946,cases!$G$4:$G$2458,0),FALSE)),"",HLOOKUP(CaseName,CaseData,MATCH($G946,cases!$G$4:$G$2458,0),FALSE))</f>
        <v/>
      </c>
      <c r="K946" s="577">
        <f>IF((SetVelA.w*L663*L662)/(L659)&gt;0,(SetVelA.w*L663*L662)/(L659),0)</f>
        <v>1.6351751378075911E-11</v>
      </c>
      <c r="L946" s="298">
        <f t="shared" si="56"/>
        <v>1.6351751378075911E-11</v>
      </c>
      <c r="M946" s="568" t="s">
        <v>340</v>
      </c>
      <c r="N946" s="567"/>
      <c r="O946" s="605"/>
      <c r="P946" s="801"/>
      <c r="R946" s="650"/>
    </row>
    <row r="947" spans="1:20" customFormat="1" ht="12.75" customHeight="1" x14ac:dyDescent="0.2">
      <c r="A947" s="567" t="s">
        <v>2930</v>
      </c>
      <c r="B947" s="567"/>
      <c r="C947" s="567"/>
      <c r="D947" s="567"/>
      <c r="E947" s="567"/>
      <c r="F947" s="567"/>
      <c r="G947" s="568" t="s">
        <v>3567</v>
      </c>
      <c r="H947" s="568" t="s">
        <v>340</v>
      </c>
      <c r="I947" s="678"/>
      <c r="J947" s="294" t="str">
        <f>IF(ISBLANK(HLOOKUP(CaseName,CaseData,MATCH($G947,cases!$G$4:$G$2458,0),FALSE)),"",HLOOKUP(CaseName,CaseData,MATCH($G947,cases!$G$4:$G$2458,0),FALSE))</f>
        <v/>
      </c>
      <c r="K947" s="577">
        <f>IF((SetVelP.w*L663*L662)/L659&gt;0,(SetVelP.w*L663*L662)/L659,0)</f>
        <v>9.8034731364258533E-9</v>
      </c>
      <c r="L947" s="298">
        <f t="shared" si="56"/>
        <v>9.8034731364258533E-9</v>
      </c>
      <c r="M947" s="568" t="s">
        <v>340</v>
      </c>
      <c r="N947" s="567"/>
      <c r="O947" s="605"/>
      <c r="P947" s="801"/>
      <c r="R947" s="650"/>
    </row>
    <row r="948" spans="1:20" customFormat="1" ht="12.75" customHeight="1" x14ac:dyDescent="0.2">
      <c r="A948" s="567" t="s">
        <v>2932</v>
      </c>
      <c r="B948" s="567"/>
      <c r="C948" s="567"/>
      <c r="D948" s="567"/>
      <c r="E948" s="567"/>
      <c r="F948" s="567"/>
      <c r="G948" s="568" t="s">
        <v>3568</v>
      </c>
      <c r="H948" s="568" t="s">
        <v>340</v>
      </c>
      <c r="I948" s="678"/>
      <c r="J948" s="294" t="str">
        <f>IF(ISBLANK(HLOOKUP(CaseName,CaseData,MATCH($G948,cases!$G$4:$G$2458,0),FALSE)),"",HLOOKUP(CaseName,CaseData,MATCH($G948,cases!$G$4:$G$2458,0),FALSE))</f>
        <v/>
      </c>
      <c r="K948" s="577">
        <f>$L$752/$L$668</f>
        <v>9.6429477422628121E-9</v>
      </c>
      <c r="L948" s="298">
        <f t="shared" ref="L948:L953" si="57">IF(ISBLANK(I948),IF(ISNUMBER(J948)=FALSE,K948,J948),I948)</f>
        <v>9.6429477422628121E-9</v>
      </c>
      <c r="M948" s="568" t="s">
        <v>340</v>
      </c>
      <c r="N948" s="567" t="s">
        <v>1850</v>
      </c>
      <c r="O948" s="605"/>
      <c r="P948" s="567"/>
    </row>
    <row r="949" spans="1:20" customFormat="1" ht="12.75" customHeight="1" x14ac:dyDescent="0.2">
      <c r="A949" s="567" t="s">
        <v>2934</v>
      </c>
      <c r="B949" s="567"/>
      <c r="C949" s="567"/>
      <c r="D949" s="567"/>
      <c r="E949" s="567"/>
      <c r="F949" s="567"/>
      <c r="G949" s="568" t="s">
        <v>3569</v>
      </c>
      <c r="H949" s="568" t="s">
        <v>340</v>
      </c>
      <c r="I949" s="678"/>
      <c r="J949" s="294" t="str">
        <f>IF(ISBLANK(HLOOKUP(CaseName,CaseData,MATCH($G949,cases!$G$4:$G$2458,0),FALSE)),"",HLOOKUP(CaseName,CaseData,MATCH($G949,cases!$G$4:$G$2458,0),FALSE))</f>
        <v/>
      </c>
      <c r="K949" s="577">
        <f>$L$752/$L$668</f>
        <v>9.6429477422628121E-9</v>
      </c>
      <c r="L949" s="298">
        <f t="shared" si="57"/>
        <v>9.6429477422628121E-9</v>
      </c>
      <c r="M949" s="568" t="s">
        <v>340</v>
      </c>
      <c r="N949" s="567" t="s">
        <v>1850</v>
      </c>
      <c r="O949" s="605"/>
      <c r="P949" s="567"/>
    </row>
    <row r="950" spans="1:20" customFormat="1" ht="12.75" customHeight="1" x14ac:dyDescent="0.2">
      <c r="A950" s="567" t="s">
        <v>2936</v>
      </c>
      <c r="B950" s="567"/>
      <c r="C950" s="567"/>
      <c r="D950" s="567"/>
      <c r="E950" s="567"/>
      <c r="F950" s="567"/>
      <c r="G950" s="568" t="s">
        <v>3570</v>
      </c>
      <c r="H950" s="568" t="s">
        <v>340</v>
      </c>
      <c r="I950" s="678"/>
      <c r="J950" s="294" t="str">
        <f>IF(ISBLANK(HLOOKUP(CaseName,CaseData,MATCH($G950,cases!$G$4:$G$2458,0),FALSE)),"",HLOOKUP(CaseName,CaseData,MATCH($G950,cases!$G$4:$G$2458,0),FALSE))</f>
        <v/>
      </c>
      <c r="K950" s="577">
        <f>$L$752/$L$668</f>
        <v>9.6429477422628121E-9</v>
      </c>
      <c r="L950" s="298">
        <f t="shared" si="57"/>
        <v>9.6429477422628121E-9</v>
      </c>
      <c r="M950" s="568" t="s">
        <v>340</v>
      </c>
      <c r="N950" s="567" t="s">
        <v>1850</v>
      </c>
      <c r="O950" s="605"/>
      <c r="P950" s="567"/>
    </row>
    <row r="951" spans="1:20" customFormat="1" ht="12.75" customHeight="1" x14ac:dyDescent="0.2">
      <c r="A951" s="567" t="s">
        <v>1867</v>
      </c>
      <c r="B951" s="567"/>
      <c r="C951" s="567"/>
      <c r="D951" s="567"/>
      <c r="E951" s="567"/>
      <c r="F951" s="567"/>
      <c r="G951" s="568" t="s">
        <v>3571</v>
      </c>
      <c r="H951" s="568" t="s">
        <v>340</v>
      </c>
      <c r="I951" s="678"/>
      <c r="J951" s="294" t="str">
        <f>IF(ISBLANK(HLOOKUP(CaseName,CaseData,MATCH($G951,cases!$G$4:$G$2458,0),FALSE)),"",HLOOKUP(CaseName,CaseData,MATCH($G951,cases!$G$4:$G$2458,0),FALSE))</f>
        <v/>
      </c>
      <c r="K951" s="577">
        <f>((L764*L736*L765+L763)/L669)</f>
        <v>2.6193733410212437E-7</v>
      </c>
      <c r="L951" s="298">
        <f t="shared" si="57"/>
        <v>2.6193733410212437E-7</v>
      </c>
      <c r="M951" s="568" t="s">
        <v>340</v>
      </c>
      <c r="N951" s="567" t="s">
        <v>1869</v>
      </c>
      <c r="O951" s="680"/>
      <c r="P951" s="567"/>
    </row>
    <row r="952" spans="1:20" customFormat="1" ht="12.75" customHeight="1" x14ac:dyDescent="0.2">
      <c r="A952" s="567" t="s">
        <v>1874</v>
      </c>
      <c r="B952" s="567"/>
      <c r="C952" s="567"/>
      <c r="D952" s="567"/>
      <c r="E952" s="567"/>
      <c r="F952" s="567"/>
      <c r="G952" s="568" t="s">
        <v>3572</v>
      </c>
      <c r="H952" s="568" t="s">
        <v>340</v>
      </c>
      <c r="I952" s="678"/>
      <c r="J952" s="294" t="str">
        <f>IF(ISBLANK(HLOOKUP(CaseName,CaseData,MATCH($G952,cases!$G$4:$G$2458,0),FALSE)),"",HLOOKUP(CaseName,CaseData,MATCH($G952,cases!$G$4:$G$2458,0),FALSE))</f>
        <v/>
      </c>
      <c r="K952" s="577">
        <f>((L764*L736*L765+L763)/L669)</f>
        <v>2.6193733410212437E-7</v>
      </c>
      <c r="L952" s="298">
        <f t="shared" si="57"/>
        <v>2.6193733410212437E-7</v>
      </c>
      <c r="M952" s="568" t="s">
        <v>340</v>
      </c>
      <c r="N952" s="567" t="s">
        <v>1869</v>
      </c>
      <c r="O952" s="605"/>
      <c r="P952" s="567"/>
    </row>
    <row r="953" spans="1:20" customFormat="1" ht="12.75" customHeight="1" x14ac:dyDescent="0.2">
      <c r="A953" s="567" t="s">
        <v>1880</v>
      </c>
      <c r="B953" s="567"/>
      <c r="C953" s="567"/>
      <c r="D953" s="567"/>
      <c r="E953" s="567"/>
      <c r="F953" s="567"/>
      <c r="G953" s="568" t="s">
        <v>3573</v>
      </c>
      <c r="H953" s="568" t="s">
        <v>340</v>
      </c>
      <c r="I953" s="678"/>
      <c r="J953" s="294" t="str">
        <f>IF(ISBLANK(HLOOKUP(CaseName,CaseData,MATCH($G953,cases!$G$4:$G$2458,0),FALSE)),"",HLOOKUP(CaseName,CaseData,MATCH($G953,cases!$G$4:$G$2458,0),FALSE))</f>
        <v/>
      </c>
      <c r="K953" s="627">
        <f>(L763)/L669</f>
        <v>1.9025875190258751E-11</v>
      </c>
      <c r="L953" s="298">
        <f t="shared" si="57"/>
        <v>1.9025875190258751E-11</v>
      </c>
      <c r="M953" s="568" t="s">
        <v>340</v>
      </c>
      <c r="N953" s="567" t="s">
        <v>1882</v>
      </c>
      <c r="O953" s="605"/>
      <c r="P953" s="567"/>
    </row>
    <row r="954" spans="1:20" customFormat="1" ht="12.75" customHeight="1" x14ac:dyDescent="0.2">
      <c r="A954" s="172" t="s">
        <v>3574</v>
      </c>
      <c r="G954" s="172"/>
      <c r="H954" s="172"/>
      <c r="J954" s="418"/>
      <c r="K954" s="335"/>
      <c r="L954" s="185"/>
      <c r="N954" s="172"/>
      <c r="O954" s="176"/>
    </row>
    <row r="955" spans="1:20" customFormat="1" ht="12.75" customHeight="1" x14ac:dyDescent="0.2">
      <c r="A955" s="568" t="s">
        <v>1322</v>
      </c>
      <c r="B955" s="567"/>
      <c r="C955" s="567"/>
      <c r="D955" s="567"/>
      <c r="E955" s="567"/>
      <c r="F955" s="567"/>
      <c r="G955" s="568" t="s">
        <v>3575</v>
      </c>
      <c r="H955" s="568" t="s">
        <v>624</v>
      </c>
      <c r="I955" s="682"/>
      <c r="J955" s="294" t="str">
        <f>IF(ISBLANK(HLOOKUP(CaseName,CaseData,MATCH($G955,cases!$G$4:$G$2458,0),FALSE)),"",HLOOKUP(CaseName,CaseData,MATCH($G955,cases!$G$4:$G$2458,0),FALSE))</f>
        <v/>
      </c>
      <c r="K955" s="626">
        <f>L774+kdegS.a</f>
        <v>3.663258818281463E-10</v>
      </c>
      <c r="L955" s="298">
        <f t="shared" ref="L955:L971" si="58">IF(ISBLANK(I955),IF(ISNUMBER(J955)=FALSE,K955,J955),I955)</f>
        <v>3.663258818281463E-10</v>
      </c>
      <c r="M955" s="567" t="s">
        <v>1048</v>
      </c>
      <c r="N955" s="568"/>
      <c r="O955" s="605"/>
      <c r="P955" s="578"/>
      <c r="Q955" s="626"/>
      <c r="R955" s="386"/>
      <c r="S955" s="806"/>
      <c r="T955" s="386"/>
    </row>
    <row r="956" spans="1:20" customFormat="1" ht="12.75" customHeight="1" x14ac:dyDescent="0.2">
      <c r="A956" s="568" t="s">
        <v>1322</v>
      </c>
      <c r="B956" s="567"/>
      <c r="C956" s="567"/>
      <c r="D956" s="567"/>
      <c r="E956" s="567"/>
      <c r="F956" s="567"/>
      <c r="G956" s="568" t="s">
        <v>3576</v>
      </c>
      <c r="H956" s="568" t="s">
        <v>624</v>
      </c>
      <c r="I956" s="682"/>
      <c r="J956" s="294" t="str">
        <f>IF(ISBLANK(HLOOKUP(CaseName,CaseData,MATCH($G956,cases!$G$4:$G$2458,0),FALSE)),"",HLOOKUP(CaseName,CaseData,MATCH($G956,cases!$G$4:$G$2458,0),FALSE))</f>
        <v/>
      </c>
      <c r="K956" s="577">
        <f>L774+kdegA.a</f>
        <v>3.663258818281463E-10</v>
      </c>
      <c r="L956" s="298">
        <f t="shared" si="58"/>
        <v>3.663258818281463E-10</v>
      </c>
      <c r="M956" s="567" t="s">
        <v>1048</v>
      </c>
      <c r="N956" s="568"/>
      <c r="O956" s="605"/>
      <c r="P956" s="578"/>
      <c r="Q956" s="577"/>
      <c r="R956" s="386"/>
      <c r="S956" s="806"/>
      <c r="T956" s="386"/>
    </row>
    <row r="957" spans="1:20" customFormat="1" ht="12.75" customHeight="1" x14ac:dyDescent="0.2">
      <c r="A957" s="568" t="s">
        <v>1322</v>
      </c>
      <c r="B957" s="567"/>
      <c r="C957" s="567"/>
      <c r="D957" s="567"/>
      <c r="E957" s="567"/>
      <c r="F957" s="567"/>
      <c r="G957" s="568" t="s">
        <v>3577</v>
      </c>
      <c r="H957" s="568" t="s">
        <v>624</v>
      </c>
      <c r="I957" s="682"/>
      <c r="J957" s="294" t="str">
        <f>IF(ISBLANK(HLOOKUP(CaseName,CaseData,MATCH($G957,cases!$G$4:$G$2458,0),FALSE)),"",HLOOKUP(CaseName,CaseData,MATCH($G957,cases!$G$4:$G$2458,0),FALSE))</f>
        <v/>
      </c>
      <c r="K957" s="577">
        <f>L774+kdegP.a</f>
        <v>3.663258818281463E-10</v>
      </c>
      <c r="L957" s="298">
        <f t="shared" si="58"/>
        <v>3.663258818281463E-10</v>
      </c>
      <c r="M957" s="567" t="s">
        <v>1048</v>
      </c>
      <c r="N957" s="568"/>
      <c r="O957" s="605"/>
      <c r="P957" s="578"/>
      <c r="Q957" s="577"/>
      <c r="R957" s="386"/>
      <c r="S957" s="806"/>
      <c r="T957" s="386"/>
    </row>
    <row r="958" spans="1:20" customFormat="1" ht="12.75" customHeight="1" x14ac:dyDescent="0.2">
      <c r="A958" s="568" t="s">
        <v>1324</v>
      </c>
      <c r="B958" s="567"/>
      <c r="C958" s="567"/>
      <c r="D958" s="567"/>
      <c r="E958" s="567"/>
      <c r="F958" s="567"/>
      <c r="G958" s="568" t="s">
        <v>3578</v>
      </c>
      <c r="H958" s="568" t="s">
        <v>624</v>
      </c>
      <c r="I958" s="682"/>
      <c r="J958" s="294" t="str">
        <f>IF(ISBLANK(HLOOKUP(CaseName,CaseData,MATCH($G958,cases!$G$4:$G$2458,0),FALSE)),"",HLOOKUP(CaseName,CaseData,MATCH($G958,cases!$G$4:$G$2458,0),FALSE))</f>
        <v/>
      </c>
      <c r="K958" s="577">
        <f>kdegS.w2</f>
        <v>0</v>
      </c>
      <c r="L958" s="298">
        <f t="shared" si="58"/>
        <v>0</v>
      </c>
      <c r="M958" s="567" t="s">
        <v>1892</v>
      </c>
      <c r="N958" s="568"/>
      <c r="O958" s="605"/>
      <c r="P958" s="578"/>
      <c r="Q958" s="577"/>
      <c r="R958" s="386"/>
      <c r="S958" s="806"/>
      <c r="T958" s="386"/>
    </row>
    <row r="959" spans="1:20" customFormat="1" ht="12.75" customHeight="1" x14ac:dyDescent="0.2">
      <c r="A959" s="568" t="s">
        <v>1324</v>
      </c>
      <c r="B959" s="567"/>
      <c r="C959" s="567"/>
      <c r="D959" s="567"/>
      <c r="E959" s="567"/>
      <c r="F959" s="567"/>
      <c r="G959" s="568" t="s">
        <v>3579</v>
      </c>
      <c r="H959" s="568" t="s">
        <v>624</v>
      </c>
      <c r="I959" s="682"/>
      <c r="J959" s="294" t="str">
        <f>IF(ISBLANK(HLOOKUP(CaseName,CaseData,MATCH($G959,cases!$G$4:$G$2458,0),FALSE)),"",HLOOKUP(CaseName,CaseData,MATCH($G959,cases!$G$4:$G$2458,0),FALSE))</f>
        <v/>
      </c>
      <c r="K959" s="577">
        <f>kdegA.w2</f>
        <v>0</v>
      </c>
      <c r="L959" s="298">
        <f t="shared" si="58"/>
        <v>0</v>
      </c>
      <c r="M959" s="567" t="s">
        <v>1892</v>
      </c>
      <c r="N959" s="568"/>
      <c r="O959" s="605"/>
      <c r="P959" s="578"/>
      <c r="Q959" s="577"/>
      <c r="R959" s="386"/>
      <c r="S959" s="806"/>
      <c r="T959" s="386"/>
    </row>
    <row r="960" spans="1:20" customFormat="1" ht="12.75" customHeight="1" x14ac:dyDescent="0.2">
      <c r="A960" s="568" t="s">
        <v>1324</v>
      </c>
      <c r="B960" s="567"/>
      <c r="C960" s="567"/>
      <c r="D960" s="567"/>
      <c r="E960" s="567"/>
      <c r="F960" s="567"/>
      <c r="G960" s="568" t="s">
        <v>3580</v>
      </c>
      <c r="H960" s="568" t="s">
        <v>624</v>
      </c>
      <c r="I960" s="682"/>
      <c r="J960" s="294" t="str">
        <f>IF(ISBLANK(HLOOKUP(CaseName,CaseData,MATCH($G960,cases!$G$4:$G$2458,0),FALSE)),"",HLOOKUP(CaseName,CaseData,MATCH($G960,cases!$G$4:$G$2458,0),FALSE))</f>
        <v/>
      </c>
      <c r="K960" s="577">
        <f>kdegP.w2</f>
        <v>0</v>
      </c>
      <c r="L960" s="298">
        <f t="shared" si="58"/>
        <v>0</v>
      </c>
      <c r="M960" s="567" t="s">
        <v>1892</v>
      </c>
      <c r="N960" s="568"/>
      <c r="O960" s="605"/>
      <c r="P960" s="578"/>
      <c r="Q960" s="577"/>
      <c r="R960" s="386"/>
      <c r="S960" s="806"/>
      <c r="T960" s="386"/>
    </row>
    <row r="961" spans="1:20" customFormat="1" ht="12.75" customHeight="1" x14ac:dyDescent="0.2">
      <c r="A961" s="568" t="s">
        <v>1326</v>
      </c>
      <c r="B961" s="567"/>
      <c r="C961" s="567"/>
      <c r="D961" s="567"/>
      <c r="E961" s="567"/>
      <c r="F961" s="567"/>
      <c r="G961" s="568" t="s">
        <v>3581</v>
      </c>
      <c r="H961" s="568" t="s">
        <v>624</v>
      </c>
      <c r="I961" s="682"/>
      <c r="J961" s="294" t="str">
        <f>IF(ISBLANK(HLOOKUP(CaseName,CaseData,MATCH($G961,cases!$G$4:$G$2458,0),FALSE)),"",HLOOKUP(CaseName,CaseData,MATCH($G961,cases!$G$4:$G$2458,0),FALSE))</f>
        <v/>
      </c>
      <c r="K961" s="577">
        <f>kdegS.w3</f>
        <v>0</v>
      </c>
      <c r="L961" s="298">
        <f t="shared" si="58"/>
        <v>0</v>
      </c>
      <c r="M961" s="567" t="s">
        <v>1892</v>
      </c>
      <c r="N961" s="568"/>
      <c r="O961" s="605"/>
      <c r="P961" s="578"/>
      <c r="Q961" s="577"/>
      <c r="R961" s="386"/>
      <c r="S961" s="806"/>
      <c r="T961" s="386"/>
    </row>
    <row r="962" spans="1:20" customFormat="1" ht="12.75" customHeight="1" x14ac:dyDescent="0.2">
      <c r="A962" s="568" t="s">
        <v>1326</v>
      </c>
      <c r="B962" s="567"/>
      <c r="C962" s="567"/>
      <c r="D962" s="567"/>
      <c r="E962" s="567"/>
      <c r="F962" s="567"/>
      <c r="G962" s="568" t="s">
        <v>3582</v>
      </c>
      <c r="H962" s="568" t="s">
        <v>624</v>
      </c>
      <c r="I962" s="682"/>
      <c r="J962" s="294" t="str">
        <f>IF(ISBLANK(HLOOKUP(CaseName,CaseData,MATCH($G962,cases!$G$4:$G$2458,0),FALSE)),"",HLOOKUP(CaseName,CaseData,MATCH($G962,cases!$G$4:$G$2458,0),FALSE))</f>
        <v/>
      </c>
      <c r="K962" s="577">
        <f>kdegA.w3</f>
        <v>0</v>
      </c>
      <c r="L962" s="298">
        <f t="shared" si="58"/>
        <v>0</v>
      </c>
      <c r="M962" s="567" t="s">
        <v>1892</v>
      </c>
      <c r="N962" s="568"/>
      <c r="O962" s="605"/>
      <c r="P962" s="578"/>
      <c r="Q962" s="577"/>
      <c r="R962" s="386"/>
      <c r="S962" s="806"/>
      <c r="T962" s="386"/>
    </row>
    <row r="963" spans="1:20" customFormat="1" ht="12.75" customHeight="1" x14ac:dyDescent="0.2">
      <c r="A963" s="568" t="s">
        <v>1326</v>
      </c>
      <c r="B963" s="567"/>
      <c r="C963" s="567"/>
      <c r="D963" s="567"/>
      <c r="E963" s="567"/>
      <c r="F963" s="567"/>
      <c r="G963" s="568" t="s">
        <v>3583</v>
      </c>
      <c r="H963" s="568" t="s">
        <v>624</v>
      </c>
      <c r="I963" s="682"/>
      <c r="J963" s="294" t="str">
        <f>IF(ISBLANK(HLOOKUP(CaseName,CaseData,MATCH($G963,cases!$G$4:$G$2458,0),FALSE)),"",HLOOKUP(CaseName,CaseData,MATCH($G963,cases!$G$4:$G$2458,0),FALSE))</f>
        <v/>
      </c>
      <c r="K963" s="577">
        <f>kdegP.w3</f>
        <v>0</v>
      </c>
      <c r="L963" s="298">
        <f t="shared" si="58"/>
        <v>0</v>
      </c>
      <c r="M963" s="567" t="s">
        <v>1892</v>
      </c>
      <c r="N963" s="568"/>
      <c r="O963" s="605"/>
      <c r="P963" s="578"/>
      <c r="Q963" s="577"/>
      <c r="R963" s="386"/>
      <c r="S963" s="806"/>
      <c r="T963" s="386"/>
    </row>
    <row r="964" spans="1:20" customFormat="1" ht="12.75" customHeight="1" x14ac:dyDescent="0.2">
      <c r="A964" s="568" t="s">
        <v>1330</v>
      </c>
      <c r="B964" s="567"/>
      <c r="C964" s="567"/>
      <c r="D964" s="567"/>
      <c r="E964" s="567"/>
      <c r="F964" s="567"/>
      <c r="G964" s="568" t="s">
        <v>3584</v>
      </c>
      <c r="H964" s="568" t="s">
        <v>624</v>
      </c>
      <c r="I964" s="682"/>
      <c r="J964" s="294" t="str">
        <f>IF(ISBLANK(HLOOKUP(CaseName,CaseData,MATCH($G964,cases!$G$4:$G$2458,0),FALSE)),"",HLOOKUP(CaseName,CaseData,MATCH($G964,cases!$G$4:$G$2458,0),FALSE))</f>
        <v/>
      </c>
      <c r="K964" s="577">
        <f>L971+kdegS.sd2</f>
        <v>1.2683916793505895E-12</v>
      </c>
      <c r="L964" s="298">
        <f t="shared" si="58"/>
        <v>1.2683916793505895E-12</v>
      </c>
      <c r="M964" s="567" t="s">
        <v>1892</v>
      </c>
      <c r="N964" s="568"/>
      <c r="O964" s="605"/>
      <c r="P964" s="806"/>
      <c r="Q964" s="577"/>
      <c r="R964" s="386"/>
      <c r="S964" s="806"/>
      <c r="T964" s="386"/>
    </row>
    <row r="965" spans="1:20" customFormat="1" ht="12.75" customHeight="1" x14ac:dyDescent="0.2">
      <c r="A965" s="568" t="s">
        <v>1330</v>
      </c>
      <c r="B965" s="567"/>
      <c r="C965" s="567"/>
      <c r="D965" s="567"/>
      <c r="E965" s="567"/>
      <c r="F965" s="567"/>
      <c r="G965" s="568" t="s">
        <v>3585</v>
      </c>
      <c r="H965" s="568" t="s">
        <v>624</v>
      </c>
      <c r="I965" s="682"/>
      <c r="J965" s="294" t="str">
        <f>IF(ISBLANK(HLOOKUP(CaseName,CaseData,MATCH($G965,cases!$G$4:$G$2458,0),FALSE)),"",HLOOKUP(CaseName,CaseData,MATCH($G965,cases!$G$4:$G$2458,0),FALSE))</f>
        <v/>
      </c>
      <c r="K965" s="577">
        <f>L971+kdegA.sd2</f>
        <v>1.2683916793505895E-12</v>
      </c>
      <c r="L965" s="298">
        <f t="shared" si="58"/>
        <v>1.2683916793505895E-12</v>
      </c>
      <c r="M965" s="567" t="s">
        <v>1892</v>
      </c>
      <c r="N965" s="568"/>
      <c r="O965" s="605"/>
      <c r="P965" s="806"/>
      <c r="Q965" s="577"/>
      <c r="R965" s="386"/>
      <c r="S965" s="806"/>
      <c r="T965" s="386"/>
    </row>
    <row r="966" spans="1:20" customFormat="1" ht="12.75" customHeight="1" x14ac:dyDescent="0.2">
      <c r="A966" s="568" t="s">
        <v>1330</v>
      </c>
      <c r="B966" s="567"/>
      <c r="C966" s="567"/>
      <c r="D966" s="567"/>
      <c r="E966" s="567"/>
      <c r="F966" s="567"/>
      <c r="G966" s="568" t="s">
        <v>3586</v>
      </c>
      <c r="H966" s="568" t="s">
        <v>624</v>
      </c>
      <c r="I966" s="682"/>
      <c r="J966" s="294" t="str">
        <f>IF(ISBLANK(HLOOKUP(CaseName,CaseData,MATCH($G966,cases!$G$4:$G$2458,0),FALSE)),"",HLOOKUP(CaseName,CaseData,MATCH($G966,cases!$G$4:$G$2458,0),FALSE))</f>
        <v/>
      </c>
      <c r="K966" s="577">
        <f>L971+kdegP.sd2</f>
        <v>1.2683916793505895E-12</v>
      </c>
      <c r="L966" s="298">
        <f t="shared" si="58"/>
        <v>1.2683916793505895E-12</v>
      </c>
      <c r="M966" s="567" t="s">
        <v>1892</v>
      </c>
      <c r="N966" s="568"/>
      <c r="O966" s="605"/>
      <c r="P966" s="806"/>
      <c r="Q966" s="577"/>
      <c r="R966" s="386"/>
      <c r="S966" s="806"/>
      <c r="T966" s="386"/>
    </row>
    <row r="967" spans="1:20" customFormat="1" ht="12.75" customHeight="1" x14ac:dyDescent="0.2">
      <c r="A967" s="568" t="s">
        <v>1336</v>
      </c>
      <c r="B967" s="567"/>
      <c r="C967" s="567"/>
      <c r="D967" s="567"/>
      <c r="E967" s="567"/>
      <c r="F967" s="567"/>
      <c r="G967" s="568" t="s">
        <v>3587</v>
      </c>
      <c r="H967" s="568" t="s">
        <v>624</v>
      </c>
      <c r="I967" s="682"/>
      <c r="J967" s="294" t="str">
        <f>IF(ISBLANK(HLOOKUP(CaseName,CaseData,MATCH($G967,cases!$G$4:$G$2458,0),FALSE)),"",HLOOKUP(CaseName,CaseData,MATCH($G967,cases!$G$4:$G$2458,0),FALSE))</f>
        <v/>
      </c>
      <c r="K967" s="577">
        <f>L970+kdegS.s1</f>
        <v>1.7647916789232132E-9</v>
      </c>
      <c r="L967" s="298">
        <f t="shared" si="58"/>
        <v>1.7647916789232132E-9</v>
      </c>
      <c r="M967" s="567" t="s">
        <v>1892</v>
      </c>
      <c r="N967" s="568"/>
      <c r="O967" s="605"/>
      <c r="P967" s="806"/>
      <c r="Q967" s="577"/>
      <c r="R967" s="386"/>
      <c r="S967" s="806"/>
      <c r="T967" s="386"/>
    </row>
    <row r="968" spans="1:20" customFormat="1" ht="12.75" customHeight="1" x14ac:dyDescent="0.2">
      <c r="A968" s="568" t="s">
        <v>1336</v>
      </c>
      <c r="B968" s="567"/>
      <c r="C968" s="567"/>
      <c r="D968" s="567"/>
      <c r="E968" s="567"/>
      <c r="F968" s="567"/>
      <c r="G968" s="568" t="s">
        <v>3588</v>
      </c>
      <c r="H968" s="568" t="s">
        <v>624</v>
      </c>
      <c r="I968" s="682"/>
      <c r="J968" s="294" t="str">
        <f>IF(ISBLANK(HLOOKUP(CaseName,CaseData,MATCH($G968,cases!$G$4:$G$2458,0),FALSE)),"",HLOOKUP(CaseName,CaseData,MATCH($G968,cases!$G$4:$G$2458,0),FALSE))</f>
        <v/>
      </c>
      <c r="K968" s="577">
        <f>L970+kdegA.s1</f>
        <v>1.7647916789232132E-9</v>
      </c>
      <c r="L968" s="298">
        <f t="shared" si="58"/>
        <v>1.7647916789232132E-9</v>
      </c>
      <c r="M968" s="567" t="s">
        <v>1892</v>
      </c>
      <c r="N968" s="568"/>
      <c r="O968" s="605"/>
      <c r="P968" s="806"/>
      <c r="Q968" s="577"/>
      <c r="R968" s="386"/>
      <c r="S968" s="806"/>
      <c r="T968" s="386"/>
    </row>
    <row r="969" spans="1:20" customFormat="1" ht="12.75" customHeight="1" x14ac:dyDescent="0.2">
      <c r="A969" s="568" t="s">
        <v>1336</v>
      </c>
      <c r="B969" s="567"/>
      <c r="C969" s="567"/>
      <c r="D969" s="567"/>
      <c r="E969" s="567"/>
      <c r="F969" s="567"/>
      <c r="G969" s="568" t="s">
        <v>3589</v>
      </c>
      <c r="H969" s="568" t="s">
        <v>624</v>
      </c>
      <c r="I969" s="682"/>
      <c r="J969" s="294" t="str">
        <f>IF(ISBLANK(HLOOKUP(CaseName,CaseData,MATCH($G969,cases!$G$4:$G$2458,0),FALSE)),"",HLOOKUP(CaseName,CaseData,MATCH($G969,cases!$G$4:$G$2458,0),FALSE))</f>
        <v/>
      </c>
      <c r="K969" s="577">
        <f>kdegP.s1</f>
        <v>0</v>
      </c>
      <c r="L969" s="298">
        <f t="shared" si="58"/>
        <v>0</v>
      </c>
      <c r="M969" s="567" t="s">
        <v>1892</v>
      </c>
      <c r="N969" s="568"/>
      <c r="O969" s="605"/>
      <c r="P969" s="578"/>
      <c r="Q969" s="577"/>
      <c r="R969" s="386"/>
      <c r="S969" s="806"/>
      <c r="T969" s="386"/>
    </row>
    <row r="970" spans="1:20" customFormat="1" ht="12.75" customHeight="1" x14ac:dyDescent="0.2">
      <c r="A970" s="567"/>
      <c r="B970" s="567" t="s">
        <v>1919</v>
      </c>
      <c r="C970" s="567"/>
      <c r="D970" s="567"/>
      <c r="E970" s="567"/>
      <c r="F970" s="567"/>
      <c r="G970" s="568" t="s">
        <v>3590</v>
      </c>
      <c r="H970" s="568" t="s">
        <v>340</v>
      </c>
      <c r="I970" s="678"/>
      <c r="J970" s="294" t="str">
        <f>IF(ISBLANK(HLOOKUP(CaseName,CaseData,MATCH($G970,cases!$G$4:$G$2458,0),FALSE)),"",HLOOKUP(CaseName,CaseData,MATCH($G970,cases!$G$4:$G$2458,0),FALSE))</f>
        <v/>
      </c>
      <c r="K970" s="577">
        <f>(L785*L736*L786)/L669</f>
        <v>1.7647916789232132E-9</v>
      </c>
      <c r="L970" s="298">
        <f t="shared" si="58"/>
        <v>1.7647916789232132E-9</v>
      </c>
      <c r="M970" s="567" t="s">
        <v>1892</v>
      </c>
      <c r="N970" s="567" t="s">
        <v>1921</v>
      </c>
      <c r="O970" s="605"/>
      <c r="P970" s="567"/>
    </row>
    <row r="971" spans="1:20" s="487" customFormat="1" ht="12.75" customHeight="1" x14ac:dyDescent="0.2">
      <c r="A971" s="599"/>
      <c r="B971" s="599" t="s">
        <v>1926</v>
      </c>
      <c r="C971" s="599"/>
      <c r="D971" s="599"/>
      <c r="E971" s="599"/>
      <c r="F971" s="599"/>
      <c r="G971" s="602" t="s">
        <v>3591</v>
      </c>
      <c r="H971" s="602" t="s">
        <v>340</v>
      </c>
      <c r="I971" s="683"/>
      <c r="J971" s="802" t="str">
        <f>IF(ISBLANK(HLOOKUP(CaseName,CaseData,MATCH($G971,cases!$G$4:$G$2458,0),FALSE)),"",HLOOKUP(CaseName,CaseData,MATCH($G971,cases!$G$4:$G$2458,0),FALSE))</f>
        <v/>
      </c>
      <c r="K971" s="627">
        <f>L755/L669</f>
        <v>1.2683916793505895E-12</v>
      </c>
      <c r="L971" s="681">
        <f t="shared" si="58"/>
        <v>1.2683916793505895E-12</v>
      </c>
      <c r="M971" s="599" t="s">
        <v>1892</v>
      </c>
      <c r="N971" s="599" t="s">
        <v>1928</v>
      </c>
      <c r="O971" s="677"/>
      <c r="P971" s="599"/>
    </row>
    <row r="972" spans="1:20" ht="12.75" customHeight="1" x14ac:dyDescent="0.2">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82" priority="32" operator="equal">
      <formula>0</formula>
    </cfRule>
  </conditionalFormatting>
  <conditionalFormatting sqref="K98:K102 K88:K93 K78:K83">
    <cfRule type="cellIs" dxfId="81" priority="31" operator="equal">
      <formula>0</formula>
    </cfRule>
  </conditionalFormatting>
  <conditionalFormatting sqref="K103">
    <cfRule type="cellIs" dxfId="80" priority="30" operator="equal">
      <formula>0</formula>
    </cfRule>
  </conditionalFormatting>
  <conditionalFormatting sqref="K78:K81">
    <cfRule type="cellIs" dxfId="79" priority="29" operator="equal">
      <formula>0</formula>
    </cfRule>
  </conditionalFormatting>
  <conditionalFormatting sqref="K78:K81">
    <cfRule type="cellIs" dxfId="78" priority="28" operator="equal">
      <formula>0</formula>
    </cfRule>
  </conditionalFormatting>
  <conditionalFormatting sqref="K84:K85">
    <cfRule type="cellIs" dxfId="77" priority="27" operator="equal">
      <formula>0</formula>
    </cfRule>
  </conditionalFormatting>
  <conditionalFormatting sqref="K94:K97">
    <cfRule type="cellIs" dxfId="76" priority="26" operator="equal">
      <formula>0</formula>
    </cfRule>
  </conditionalFormatting>
  <conditionalFormatting sqref="K410:K415 K405 K420:K424">
    <cfRule type="cellIs" dxfId="75" priority="20" operator="equal">
      <formula>0</formula>
    </cfRule>
  </conditionalFormatting>
  <conditionalFormatting sqref="K425">
    <cfRule type="cellIs" dxfId="74" priority="19" operator="equal">
      <formula>0</formula>
    </cfRule>
  </conditionalFormatting>
  <conditionalFormatting sqref="K416:K419 K406:K407 K400:K404">
    <cfRule type="cellIs" dxfId="73" priority="18" operator="equal">
      <formula>0</formula>
    </cfRule>
  </conditionalFormatting>
  <conditionalFormatting sqref="K430:K438">
    <cfRule type="cellIs" dxfId="72" priority="17" operator="equal">
      <formula>0</formula>
    </cfRule>
  </conditionalFormatting>
  <conditionalFormatting sqref="K427:K428">
    <cfRule type="cellIs" dxfId="71" priority="16" operator="equal">
      <formula>0</formula>
    </cfRule>
  </conditionalFormatting>
  <conditionalFormatting sqref="K429">
    <cfRule type="cellIs" dxfId="70" priority="15" operator="equal">
      <formula>0</formula>
    </cfRule>
  </conditionalFormatting>
  <conditionalFormatting sqref="K447:K463">
    <cfRule type="cellIs" dxfId="69" priority="14" operator="equal">
      <formula>0</formula>
    </cfRule>
  </conditionalFormatting>
  <conditionalFormatting sqref="K464">
    <cfRule type="cellIs" dxfId="68"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DS9" transitionEvaluation="1" transitionEntry="1" codeName="Sheet7"/>
  <dimension ref="B1:IV346"/>
  <sheetViews>
    <sheetView zoomScaleNormal="100" workbookViewId="0">
      <pane xSplit="2" ySplit="8" topLeftCell="DS9" activePane="bottomRight" state="frozen"/>
      <selection pane="topRight" activeCell="C1" sqref="C1"/>
      <selection pane="bottomLeft" activeCell="A9" sqref="A9"/>
      <selection pane="bottomRight" activeCell="DY153" sqref="DY153"/>
    </sheetView>
  </sheetViews>
  <sheetFormatPr defaultColWidth="9.140625" defaultRowHeight="12.75" customHeight="1" x14ac:dyDescent="0.2"/>
  <cols>
    <col min="1" max="1" width="2.140625" customWidth="1" collapsed="1"/>
    <col min="2" max="2" width="23.140625" customWidth="1" collapsed="1"/>
    <col min="3" max="10" width="9.140625" customWidth="1" collapsed="1"/>
    <col min="11" max="14" width="9.140625" style="176" customWidth="1" collapsed="1"/>
    <col min="15" max="53" width="9.140625" customWidth="1" collapsed="1"/>
    <col min="54" max="57" width="9.140625" style="176" customWidth="1" collapsed="1"/>
    <col min="58" max="158" width="9.140625" customWidth="1" collapsed="1"/>
    <col min="159" max="159" width="9.140625" collapsed="1"/>
    <col min="160" max="160" width="9.28515625" bestFit="1" customWidth="1" collapsed="1"/>
    <col min="161" max="251" width="9.140625" collapsed="1"/>
    <col min="257" max="16384" width="9.140625" collapsed="1"/>
  </cols>
  <sheetData>
    <row r="1" spans="2:160" ht="12.75" customHeight="1" x14ac:dyDescent="0.2">
      <c r="B1" s="100" t="s">
        <v>3592</v>
      </c>
    </row>
    <row r="2" spans="2:160" ht="12.75" customHeight="1" x14ac:dyDescent="0.2">
      <c r="B2" s="100"/>
    </row>
    <row r="3" spans="2:160" ht="12.75" customHeight="1" x14ac:dyDescent="0.2">
      <c r="B3" s="177"/>
      <c r="C3" s="178"/>
      <c r="D3" s="187" t="s">
        <v>3593</v>
      </c>
      <c r="E3" s="187" t="s">
        <v>3594</v>
      </c>
      <c r="F3" s="187" t="s">
        <v>3595</v>
      </c>
      <c r="G3" s="187" t="s">
        <v>3596</v>
      </c>
      <c r="H3" s="187" t="s">
        <v>3597</v>
      </c>
      <c r="I3" s="187" t="s">
        <v>3598</v>
      </c>
      <c r="J3" s="187" t="s">
        <v>3599</v>
      </c>
      <c r="K3" s="187" t="s">
        <v>3600</v>
      </c>
      <c r="L3" s="187" t="s">
        <v>3601</v>
      </c>
      <c r="M3" s="187" t="s">
        <v>3602</v>
      </c>
      <c r="N3" s="187" t="s">
        <v>3603</v>
      </c>
      <c r="O3" s="187" t="s">
        <v>3604</v>
      </c>
      <c r="P3" s="187" t="s">
        <v>3605</v>
      </c>
      <c r="Q3" s="187" t="s">
        <v>3606</v>
      </c>
      <c r="R3" s="187" t="s">
        <v>3607</v>
      </c>
      <c r="S3" s="187" t="s">
        <v>3608</v>
      </c>
      <c r="T3" s="187" t="s">
        <v>3609</v>
      </c>
      <c r="U3" s="187" t="s">
        <v>3610</v>
      </c>
      <c r="V3" s="187" t="s">
        <v>3611</v>
      </c>
      <c r="W3" s="187" t="s">
        <v>3612</v>
      </c>
      <c r="X3" s="187" t="s">
        <v>3613</v>
      </c>
      <c r="Y3" s="187" t="s">
        <v>3614</v>
      </c>
      <c r="Z3" s="187" t="s">
        <v>3615</v>
      </c>
      <c r="AA3" s="187" t="s">
        <v>3616</v>
      </c>
      <c r="AB3" s="187" t="s">
        <v>3617</v>
      </c>
      <c r="AC3" s="187" t="s">
        <v>3618</v>
      </c>
      <c r="AD3" s="187" t="s">
        <v>3619</v>
      </c>
      <c r="AE3" s="187" t="s">
        <v>3620</v>
      </c>
      <c r="AF3" s="187" t="s">
        <v>3621</v>
      </c>
      <c r="AG3" s="187" t="s">
        <v>3622</v>
      </c>
      <c r="AH3" s="187" t="s">
        <v>3623</v>
      </c>
      <c r="AI3" s="187" t="s">
        <v>3624</v>
      </c>
      <c r="AJ3" s="187" t="s">
        <v>3625</v>
      </c>
      <c r="AK3" s="187" t="s">
        <v>3626</v>
      </c>
      <c r="AL3" s="187" t="s">
        <v>3627</v>
      </c>
      <c r="AM3" s="187" t="s">
        <v>3628</v>
      </c>
      <c r="AN3" s="187" t="s">
        <v>3629</v>
      </c>
      <c r="AO3" s="187" t="s">
        <v>3630</v>
      </c>
      <c r="AP3" s="187" t="s">
        <v>3631</v>
      </c>
      <c r="AQ3" s="187" t="s">
        <v>3632</v>
      </c>
      <c r="AR3" s="187" t="s">
        <v>3633</v>
      </c>
      <c r="AS3" s="187" t="s">
        <v>3634</v>
      </c>
      <c r="AT3" s="187" t="s">
        <v>3635</v>
      </c>
      <c r="AU3" s="187" t="s">
        <v>3636</v>
      </c>
      <c r="AV3" s="187" t="s">
        <v>3637</v>
      </c>
      <c r="AW3" s="187" t="s">
        <v>3638</v>
      </c>
      <c r="AX3" s="187" t="s">
        <v>3639</v>
      </c>
      <c r="AY3" s="187" t="s">
        <v>3640</v>
      </c>
      <c r="AZ3" s="187" t="s">
        <v>3641</v>
      </c>
      <c r="BA3" s="187" t="s">
        <v>3642</v>
      </c>
      <c r="BB3" s="187" t="s">
        <v>3643</v>
      </c>
      <c r="BC3" s="187" t="s">
        <v>3644</v>
      </c>
      <c r="BD3" s="187" t="s">
        <v>3645</v>
      </c>
      <c r="BE3" s="187" t="s">
        <v>3646</v>
      </c>
      <c r="BF3" s="187" t="s">
        <v>3647</v>
      </c>
      <c r="BG3" s="187" t="s">
        <v>3648</v>
      </c>
      <c r="BH3" s="187" t="s">
        <v>3649</v>
      </c>
      <c r="BI3" s="187" t="s">
        <v>3650</v>
      </c>
      <c r="BJ3" s="187" t="s">
        <v>3651</v>
      </c>
      <c r="BK3" s="187" t="s">
        <v>3652</v>
      </c>
      <c r="BL3" s="187" t="s">
        <v>3653</v>
      </c>
      <c r="BM3" s="187" t="s">
        <v>3654</v>
      </c>
      <c r="BN3" s="187" t="s">
        <v>3655</v>
      </c>
      <c r="BO3" s="187" t="s">
        <v>3656</v>
      </c>
      <c r="BP3" s="187" t="s">
        <v>3657</v>
      </c>
      <c r="BQ3" s="187" t="s">
        <v>3658</v>
      </c>
      <c r="BR3" s="187" t="s">
        <v>3659</v>
      </c>
      <c r="BS3" s="187" t="s">
        <v>3660</v>
      </c>
      <c r="BT3" s="187" t="s">
        <v>3661</v>
      </c>
      <c r="BU3" s="187" t="s">
        <v>3662</v>
      </c>
      <c r="BV3" s="187" t="s">
        <v>3663</v>
      </c>
      <c r="BW3" s="187" t="s">
        <v>3664</v>
      </c>
      <c r="BX3" s="187" t="s">
        <v>3665</v>
      </c>
      <c r="BY3" s="187" t="s">
        <v>3666</v>
      </c>
      <c r="BZ3" s="187" t="s">
        <v>3667</v>
      </c>
      <c r="CA3" s="187" t="s">
        <v>3668</v>
      </c>
      <c r="CB3" s="187" t="s">
        <v>3669</v>
      </c>
      <c r="CC3" s="187" t="s">
        <v>3670</v>
      </c>
      <c r="CD3" s="187" t="s">
        <v>3671</v>
      </c>
      <c r="CE3" s="187" t="s">
        <v>3672</v>
      </c>
      <c r="CF3" s="187" t="s">
        <v>3673</v>
      </c>
      <c r="CG3" s="187" t="s">
        <v>3674</v>
      </c>
      <c r="CH3" s="187" t="s">
        <v>3675</v>
      </c>
      <c r="CI3" s="187" t="s">
        <v>3676</v>
      </c>
      <c r="CJ3" s="187" t="s">
        <v>3677</v>
      </c>
      <c r="CK3" s="187" t="s">
        <v>3678</v>
      </c>
      <c r="CL3" s="187" t="s">
        <v>3679</v>
      </c>
      <c r="CM3" s="187" t="s">
        <v>3680</v>
      </c>
      <c r="CN3" s="187" t="s">
        <v>3681</v>
      </c>
      <c r="CO3" s="187" t="s">
        <v>3682</v>
      </c>
      <c r="CP3" s="187" t="s">
        <v>3683</v>
      </c>
      <c r="CQ3" s="187" t="s">
        <v>3684</v>
      </c>
      <c r="CR3" s="187" t="s">
        <v>3685</v>
      </c>
      <c r="CS3" s="187" t="s">
        <v>3686</v>
      </c>
      <c r="CT3" s="187" t="s">
        <v>3687</v>
      </c>
      <c r="CU3" s="187" t="s">
        <v>3688</v>
      </c>
      <c r="CV3" s="187" t="s">
        <v>3689</v>
      </c>
      <c r="CW3" s="187" t="s">
        <v>3690</v>
      </c>
      <c r="CX3" s="187" t="s">
        <v>3691</v>
      </c>
      <c r="CY3" s="187" t="s">
        <v>3692</v>
      </c>
      <c r="CZ3" s="187" t="s">
        <v>3693</v>
      </c>
      <c r="DA3" s="187" t="s">
        <v>3694</v>
      </c>
      <c r="DB3" s="187" t="s">
        <v>3695</v>
      </c>
      <c r="DC3" s="187" t="s">
        <v>3696</v>
      </c>
      <c r="DD3" s="187" t="s">
        <v>3697</v>
      </c>
      <c r="DE3" s="187" t="s">
        <v>3698</v>
      </c>
      <c r="DF3" s="187" t="s">
        <v>3699</v>
      </c>
      <c r="DG3" s="187" t="s">
        <v>3700</v>
      </c>
      <c r="DH3" s="187" t="s">
        <v>3701</v>
      </c>
      <c r="DI3" s="187" t="s">
        <v>3702</v>
      </c>
      <c r="DJ3" s="187" t="s">
        <v>3703</v>
      </c>
      <c r="DK3" s="187" t="s">
        <v>3704</v>
      </c>
      <c r="DL3" s="187" t="s">
        <v>3705</v>
      </c>
      <c r="DM3" s="187" t="s">
        <v>3706</v>
      </c>
      <c r="DN3" s="187" t="s">
        <v>3707</v>
      </c>
      <c r="DO3" s="187" t="s">
        <v>3708</v>
      </c>
      <c r="DP3" s="187" t="s">
        <v>3709</v>
      </c>
      <c r="DQ3" s="187" t="s">
        <v>3710</v>
      </c>
      <c r="DR3" s="187" t="s">
        <v>3711</v>
      </c>
      <c r="DS3" s="187" t="s">
        <v>3712</v>
      </c>
      <c r="DT3" s="187" t="s">
        <v>3713</v>
      </c>
      <c r="DU3" s="187" t="s">
        <v>3714</v>
      </c>
      <c r="DV3" s="187" t="s">
        <v>3715</v>
      </c>
      <c r="DW3" s="187" t="s">
        <v>3716</v>
      </c>
      <c r="DX3" s="187" t="s">
        <v>3717</v>
      </c>
      <c r="DY3" s="187" t="s">
        <v>3718</v>
      </c>
      <c r="DZ3" s="187" t="s">
        <v>3719</v>
      </c>
      <c r="EA3" s="187" t="s">
        <v>3720</v>
      </c>
      <c r="EB3" s="187" t="s">
        <v>3721</v>
      </c>
      <c r="EC3" s="187" t="s">
        <v>3722</v>
      </c>
      <c r="ED3" s="187" t="s">
        <v>3723</v>
      </c>
      <c r="EE3" s="187" t="s">
        <v>3724</v>
      </c>
      <c r="EF3" s="187" t="s">
        <v>3725</v>
      </c>
      <c r="EG3" s="187" t="s">
        <v>3726</v>
      </c>
      <c r="EH3" s="187" t="s">
        <v>3727</v>
      </c>
      <c r="EI3" s="187" t="s">
        <v>3728</v>
      </c>
      <c r="EJ3" s="187" t="s">
        <v>3729</v>
      </c>
      <c r="EK3" s="187" t="s">
        <v>3730</v>
      </c>
      <c r="EL3" s="187" t="s">
        <v>3731</v>
      </c>
      <c r="EM3" s="187" t="s">
        <v>3732</v>
      </c>
      <c r="EN3" s="187" t="s">
        <v>3733</v>
      </c>
      <c r="EO3" s="187" t="s">
        <v>3734</v>
      </c>
      <c r="EP3" s="187" t="s">
        <v>3735</v>
      </c>
      <c r="EQ3" s="187" t="s">
        <v>3736</v>
      </c>
      <c r="ER3" s="187" t="s">
        <v>3737</v>
      </c>
      <c r="ES3" s="187" t="s">
        <v>3738</v>
      </c>
      <c r="ET3" s="187" t="s">
        <v>3739</v>
      </c>
      <c r="EU3" s="187" t="s">
        <v>3740</v>
      </c>
      <c r="EV3" s="187" t="s">
        <v>3741</v>
      </c>
      <c r="EW3" s="187" t="s">
        <v>3742</v>
      </c>
      <c r="EX3" s="187" t="s">
        <v>3743</v>
      </c>
      <c r="EY3" s="187" t="s">
        <v>3744</v>
      </c>
      <c r="EZ3" s="187" t="s">
        <v>3745</v>
      </c>
      <c r="FA3" s="187" t="s">
        <v>3746</v>
      </c>
      <c r="FB3" s="194" t="s">
        <v>3747</v>
      </c>
    </row>
    <row r="4" spans="2:160" ht="12.75" customHeight="1" x14ac:dyDescent="0.2">
      <c r="B4" s="179" t="s">
        <v>3748</v>
      </c>
      <c r="C4" s="109" t="s">
        <v>3749</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2">
      <c r="B5" s="181" t="s">
        <v>3750</v>
      </c>
      <c r="C5" s="110" t="s">
        <v>3751</v>
      </c>
      <c r="D5" s="182">
        <f>E.aRG</f>
        <v>6.6944902535023516</v>
      </c>
      <c r="E5" s="182">
        <f>E.aRS</f>
        <v>6.6944902535023516</v>
      </c>
      <c r="F5" s="355">
        <v>0</v>
      </c>
      <c r="G5" s="355">
        <v>0</v>
      </c>
      <c r="H5" s="355">
        <v>0</v>
      </c>
      <c r="I5" s="355">
        <v>0</v>
      </c>
      <c r="J5" s="355">
        <v>0</v>
      </c>
      <c r="K5" s="182">
        <f>E.w0RD</f>
        <v>0</v>
      </c>
      <c r="L5" s="182">
        <f>E.w0RS</f>
        <v>0</v>
      </c>
      <c r="M5" s="355">
        <v>0</v>
      </c>
      <c r="N5" s="355">
        <v>0</v>
      </c>
      <c r="O5" s="182">
        <f>E.w1RD</f>
        <v>6.6944902535023516</v>
      </c>
      <c r="P5" s="182">
        <f>E.w1RS</f>
        <v>6.6944902535023516</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6.6944902535023516</v>
      </c>
      <c r="AN5" s="182">
        <f>E.s2RS</f>
        <v>6.6944902535023516</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2">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2">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2">
      <c r="B8" s="186" t="s">
        <v>3752</v>
      </c>
      <c r="C8" s="390" t="s">
        <v>593</v>
      </c>
      <c r="D8" s="391" t="s">
        <v>3753</v>
      </c>
      <c r="E8" s="391" t="s">
        <v>3754</v>
      </c>
      <c r="F8" s="391" t="s">
        <v>3755</v>
      </c>
      <c r="G8" s="391" t="s">
        <v>3756</v>
      </c>
      <c r="H8" s="391" t="s">
        <v>3757</v>
      </c>
      <c r="I8" s="391" t="s">
        <v>3758</v>
      </c>
      <c r="J8" s="391" t="s">
        <v>3759</v>
      </c>
      <c r="K8" s="391" t="s">
        <v>3760</v>
      </c>
      <c r="L8" s="391" t="s">
        <v>3761</v>
      </c>
      <c r="M8" s="391" t="s">
        <v>3762</v>
      </c>
      <c r="N8" s="391" t="s">
        <v>3763</v>
      </c>
      <c r="O8" s="391" t="s">
        <v>3764</v>
      </c>
      <c r="P8" s="391" t="s">
        <v>3765</v>
      </c>
      <c r="Q8" s="391" t="s">
        <v>3766</v>
      </c>
      <c r="R8" s="391" t="s">
        <v>3767</v>
      </c>
      <c r="S8" s="391" t="s">
        <v>3768</v>
      </c>
      <c r="T8" s="391" t="s">
        <v>3769</v>
      </c>
      <c r="U8" s="391" t="s">
        <v>3770</v>
      </c>
      <c r="V8" s="391" t="s">
        <v>3771</v>
      </c>
      <c r="W8" s="391" t="s">
        <v>3772</v>
      </c>
      <c r="X8" s="391" t="s">
        <v>3773</v>
      </c>
      <c r="Y8" s="391" t="s">
        <v>3774</v>
      </c>
      <c r="Z8" s="391" t="s">
        <v>3775</v>
      </c>
      <c r="AA8" s="391" t="s">
        <v>3776</v>
      </c>
      <c r="AB8" s="391" t="s">
        <v>3777</v>
      </c>
      <c r="AC8" s="391" t="s">
        <v>3778</v>
      </c>
      <c r="AD8" s="391" t="s">
        <v>3779</v>
      </c>
      <c r="AE8" s="391" t="s">
        <v>3780</v>
      </c>
      <c r="AF8" s="391" t="s">
        <v>3781</v>
      </c>
      <c r="AG8" s="391" t="s">
        <v>3782</v>
      </c>
      <c r="AH8" s="391" t="s">
        <v>3783</v>
      </c>
      <c r="AI8" s="391" t="s">
        <v>3784</v>
      </c>
      <c r="AJ8" s="391" t="s">
        <v>3785</v>
      </c>
      <c r="AK8" s="391" t="s">
        <v>3786</v>
      </c>
      <c r="AL8" s="391" t="s">
        <v>3787</v>
      </c>
      <c r="AM8" s="391" t="s">
        <v>3788</v>
      </c>
      <c r="AN8" s="391" t="s">
        <v>3789</v>
      </c>
      <c r="AO8" s="391" t="s">
        <v>3790</v>
      </c>
      <c r="AP8" s="391" t="s">
        <v>3791</v>
      </c>
      <c r="AQ8" s="391" t="s">
        <v>3792</v>
      </c>
      <c r="AR8" s="391" t="s">
        <v>3793</v>
      </c>
      <c r="AS8" s="391" t="s">
        <v>3794</v>
      </c>
      <c r="AT8" s="391" t="s">
        <v>3795</v>
      </c>
      <c r="AU8" s="391" t="s">
        <v>3796</v>
      </c>
      <c r="AV8" s="391" t="s">
        <v>3797</v>
      </c>
      <c r="AW8" s="391" t="s">
        <v>3798</v>
      </c>
      <c r="AX8" s="391" t="s">
        <v>3799</v>
      </c>
      <c r="AY8" s="391" t="s">
        <v>3800</v>
      </c>
      <c r="AZ8" s="391" t="s">
        <v>3801</v>
      </c>
      <c r="BA8" s="391" t="s">
        <v>3802</v>
      </c>
      <c r="BB8" s="391" t="s">
        <v>3803</v>
      </c>
      <c r="BC8" s="391" t="s">
        <v>3804</v>
      </c>
      <c r="BD8" s="391" t="s">
        <v>3805</v>
      </c>
      <c r="BE8" s="391" t="s">
        <v>3806</v>
      </c>
      <c r="BF8" s="391" t="s">
        <v>3807</v>
      </c>
      <c r="BG8" s="391" t="s">
        <v>3808</v>
      </c>
      <c r="BH8" s="391" t="s">
        <v>3809</v>
      </c>
      <c r="BI8" s="391" t="s">
        <v>3810</v>
      </c>
      <c r="BJ8" s="391" t="s">
        <v>3811</v>
      </c>
      <c r="BK8" s="391" t="s">
        <v>3812</v>
      </c>
      <c r="BL8" s="391" t="s">
        <v>3813</v>
      </c>
      <c r="BM8" s="391" t="s">
        <v>3814</v>
      </c>
      <c r="BN8" s="391" t="s">
        <v>3815</v>
      </c>
      <c r="BO8" s="391" t="s">
        <v>3816</v>
      </c>
      <c r="BP8" s="391" t="s">
        <v>3817</v>
      </c>
      <c r="BQ8" s="391" t="s">
        <v>3818</v>
      </c>
      <c r="BR8" s="391" t="s">
        <v>3819</v>
      </c>
      <c r="BS8" s="391" t="s">
        <v>3820</v>
      </c>
      <c r="BT8" s="391" t="s">
        <v>3821</v>
      </c>
      <c r="BU8" s="391" t="s">
        <v>3822</v>
      </c>
      <c r="BV8" s="391" t="s">
        <v>3823</v>
      </c>
      <c r="BW8" s="391" t="s">
        <v>3824</v>
      </c>
      <c r="BX8" s="391" t="s">
        <v>3825</v>
      </c>
      <c r="BY8" s="391" t="s">
        <v>3826</v>
      </c>
      <c r="BZ8" s="391" t="s">
        <v>3827</v>
      </c>
      <c r="CA8" s="391" t="s">
        <v>3828</v>
      </c>
      <c r="CB8" s="391" t="s">
        <v>3829</v>
      </c>
      <c r="CC8" s="391" t="s">
        <v>3830</v>
      </c>
      <c r="CD8" s="391" t="s">
        <v>3831</v>
      </c>
      <c r="CE8" s="391" t="s">
        <v>3832</v>
      </c>
      <c r="CF8" s="391" t="s">
        <v>3833</v>
      </c>
      <c r="CG8" s="391" t="s">
        <v>3834</v>
      </c>
      <c r="CH8" s="391" t="s">
        <v>3835</v>
      </c>
      <c r="CI8" s="391" t="s">
        <v>3836</v>
      </c>
      <c r="CJ8" s="391" t="s">
        <v>3837</v>
      </c>
      <c r="CK8" s="391" t="s">
        <v>3838</v>
      </c>
      <c r="CL8" s="391" t="s">
        <v>3839</v>
      </c>
      <c r="CM8" s="391" t="s">
        <v>3840</v>
      </c>
      <c r="CN8" s="391" t="s">
        <v>3841</v>
      </c>
      <c r="CO8" s="391" t="s">
        <v>3842</v>
      </c>
      <c r="CP8" s="391" t="s">
        <v>3843</v>
      </c>
      <c r="CQ8" s="391" t="s">
        <v>3844</v>
      </c>
      <c r="CR8" s="391" t="s">
        <v>3845</v>
      </c>
      <c r="CS8" s="391" t="s">
        <v>3846</v>
      </c>
      <c r="CT8" s="391" t="s">
        <v>3847</v>
      </c>
      <c r="CU8" s="391" t="s">
        <v>3848</v>
      </c>
      <c r="CV8" s="391" t="s">
        <v>3849</v>
      </c>
      <c r="CW8" s="391" t="s">
        <v>3850</v>
      </c>
      <c r="CX8" s="391" t="s">
        <v>3851</v>
      </c>
      <c r="CY8" s="391" t="s">
        <v>3852</v>
      </c>
      <c r="CZ8" s="391" t="s">
        <v>3853</v>
      </c>
      <c r="DA8" s="391" t="s">
        <v>3854</v>
      </c>
      <c r="DB8" s="391" t="s">
        <v>3855</v>
      </c>
      <c r="DC8" s="391" t="s">
        <v>3856</v>
      </c>
      <c r="DD8" s="391" t="s">
        <v>3857</v>
      </c>
      <c r="DE8" s="391" t="s">
        <v>3858</v>
      </c>
      <c r="DF8" s="391" t="s">
        <v>3859</v>
      </c>
      <c r="DG8" s="391" t="s">
        <v>3860</v>
      </c>
      <c r="DH8" s="391" t="s">
        <v>3861</v>
      </c>
      <c r="DI8" s="391" t="s">
        <v>3862</v>
      </c>
      <c r="DJ8" s="391" t="s">
        <v>3863</v>
      </c>
      <c r="DK8" s="391" t="s">
        <v>3864</v>
      </c>
      <c r="DL8" s="391" t="s">
        <v>3865</v>
      </c>
      <c r="DM8" s="391" t="s">
        <v>3866</v>
      </c>
      <c r="DN8" s="391" t="s">
        <v>3867</v>
      </c>
      <c r="DO8" s="391" t="s">
        <v>3868</v>
      </c>
      <c r="DP8" s="391" t="s">
        <v>3869</v>
      </c>
      <c r="DQ8" s="391" t="s">
        <v>3870</v>
      </c>
      <c r="DR8" s="391" t="s">
        <v>3871</v>
      </c>
      <c r="DS8" s="391" t="s">
        <v>3872</v>
      </c>
      <c r="DT8" s="391" t="s">
        <v>3873</v>
      </c>
      <c r="DU8" s="391" t="s">
        <v>3874</v>
      </c>
      <c r="DV8" s="391" t="s">
        <v>3875</v>
      </c>
      <c r="DW8" s="391" t="s">
        <v>3876</v>
      </c>
      <c r="DX8" s="391" t="s">
        <v>3877</v>
      </c>
      <c r="DY8" s="391" t="s">
        <v>3878</v>
      </c>
      <c r="DZ8" s="391" t="s">
        <v>3879</v>
      </c>
      <c r="EA8" s="391" t="s">
        <v>3880</v>
      </c>
      <c r="EB8" s="391" t="s">
        <v>3881</v>
      </c>
      <c r="EC8" s="391" t="s">
        <v>3882</v>
      </c>
      <c r="ED8" s="391" t="s">
        <v>3883</v>
      </c>
      <c r="EE8" s="391" t="s">
        <v>3884</v>
      </c>
      <c r="EF8" s="391" t="s">
        <v>3885</v>
      </c>
      <c r="EG8" s="391" t="s">
        <v>3886</v>
      </c>
      <c r="EH8" s="391" t="s">
        <v>3887</v>
      </c>
      <c r="EI8" s="391" t="s">
        <v>3888</v>
      </c>
      <c r="EJ8" s="391" t="s">
        <v>3889</v>
      </c>
      <c r="EK8" s="391" t="s">
        <v>3890</v>
      </c>
      <c r="EL8" s="391" t="s">
        <v>3891</v>
      </c>
      <c r="EM8" s="391" t="s">
        <v>3892</v>
      </c>
      <c r="EN8" s="391" t="s">
        <v>3893</v>
      </c>
      <c r="EO8" s="391" t="s">
        <v>3894</v>
      </c>
      <c r="EP8" s="391" t="s">
        <v>3895</v>
      </c>
      <c r="EQ8" s="391" t="s">
        <v>3896</v>
      </c>
      <c r="ER8" s="391" t="s">
        <v>3897</v>
      </c>
      <c r="ES8" s="391" t="s">
        <v>3898</v>
      </c>
      <c r="ET8" s="391" t="s">
        <v>3899</v>
      </c>
      <c r="EU8" s="391" t="s">
        <v>3900</v>
      </c>
      <c r="EV8" s="391" t="s">
        <v>3901</v>
      </c>
      <c r="EW8" s="391" t="s">
        <v>3902</v>
      </c>
      <c r="EX8" s="391" t="s">
        <v>3903</v>
      </c>
      <c r="EY8" s="391" t="s">
        <v>3904</v>
      </c>
      <c r="EZ8" s="391" t="s">
        <v>3905</v>
      </c>
      <c r="FA8" s="391" t="s">
        <v>3906</v>
      </c>
      <c r="FB8" s="194" t="s">
        <v>3907</v>
      </c>
    </row>
    <row r="9" spans="2:160" ht="12.75" customHeight="1" x14ac:dyDescent="0.2">
      <c r="B9" s="188" t="s">
        <v>3908</v>
      </c>
      <c r="C9" s="392"/>
      <c r="D9" s="359">
        <f>-k.aRG-SUM(D10:D163)</f>
        <v>-1.6286326217721011E-5</v>
      </c>
      <c r="E9" s="358">
        <v>0</v>
      </c>
      <c r="F9" s="358">
        <v>0</v>
      </c>
      <c r="G9" s="363">
        <v>0</v>
      </c>
      <c r="H9" s="358">
        <v>0</v>
      </c>
      <c r="I9" s="358">
        <v>0</v>
      </c>
      <c r="J9" s="358">
        <v>0</v>
      </c>
      <c r="K9" s="180">
        <f>k.w0RD.aRG</f>
        <v>7.3594070844008963E-28</v>
      </c>
      <c r="L9" s="180">
        <v>0</v>
      </c>
      <c r="M9" s="180">
        <v>0</v>
      </c>
      <c r="N9" s="180">
        <v>0</v>
      </c>
      <c r="O9" s="393">
        <f>k.w1RD.aRG</f>
        <v>2.4495847556581632E-26</v>
      </c>
      <c r="P9" s="393">
        <v>0</v>
      </c>
      <c r="Q9" s="393">
        <v>0</v>
      </c>
      <c r="R9" s="393">
        <v>0</v>
      </c>
      <c r="S9" s="180">
        <f>k.w2RD.aRG</f>
        <v>7.3560977339452445E-27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9.9730623667322376E-27</v>
      </c>
      <c r="AJ9" s="180">
        <v>0</v>
      </c>
      <c r="AK9" s="180">
        <v>0</v>
      </c>
      <c r="AL9" s="180">
        <v>0</v>
      </c>
      <c r="AM9" s="180">
        <f>k.s2RD.aRG</f>
        <v>4.5382842551637416E-27</v>
      </c>
      <c r="AN9" s="180">
        <v>0</v>
      </c>
      <c r="AO9" s="180">
        <v>0</v>
      </c>
      <c r="AP9" s="180">
        <v>0</v>
      </c>
      <c r="AQ9" s="180">
        <f>k.s3RD.aRG</f>
        <v>9.9730623667322376E-27</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2">
      <c r="B10" s="188" t="s">
        <v>3909</v>
      </c>
      <c r="C10" s="397"/>
      <c r="D10" s="185">
        <v>0</v>
      </c>
      <c r="E10" s="189">
        <f>-SUM(E9,E11:E163)-k.aRS</f>
        <v>-6.6241653145426244E-5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2">
      <c r="B11" s="188" t="s">
        <v>3910</v>
      </c>
      <c r="C11" s="397"/>
      <c r="D11" s="185">
        <v>0</v>
      </c>
      <c r="E11" s="185">
        <f>k.aRS.aRA</f>
        <v>5.2255041078331695E-5</v>
      </c>
      <c r="F11" s="189">
        <f>-SUM(F$9:F10,F12:F$163)-k.aRA</f>
        <v>-9.901901000857943E-6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2">
      <c r="B12" s="188" t="s">
        <v>3911</v>
      </c>
      <c r="C12" s="397"/>
      <c r="D12" s="361">
        <v>0</v>
      </c>
      <c r="E12" s="362">
        <f>k.aRS.aRP</f>
        <v>1.6244683507574773E-7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2">
      <c r="B13" s="188" t="s">
        <v>3912</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2">
      <c r="B14" s="188" t="s">
        <v>3913</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2">
      <c r="B15" s="188" t="s">
        <v>3914</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2">
      <c r="B16" s="188" t="s">
        <v>3915</v>
      </c>
      <c r="C16" s="336"/>
      <c r="D16" s="185">
        <f>k.aRG.w0RD</f>
        <v>1.7089774649089481E-8</v>
      </c>
      <c r="E16" s="185">
        <v>0</v>
      </c>
      <c r="F16" s="185">
        <v>0</v>
      </c>
      <c r="G16" s="184">
        <v>0</v>
      </c>
      <c r="H16" s="185">
        <v>0</v>
      </c>
      <c r="I16" s="185">
        <v>0</v>
      </c>
      <c r="J16" s="185">
        <v>0</v>
      </c>
      <c r="K16" s="368">
        <f>-k.w0RD-SUM(K9:K15,K17:K163)</f>
        <v>-2.4051989437058395E-8</v>
      </c>
      <c r="L16" s="369">
        <f>kdis.w0S.w0D</f>
        <v>1E-13</v>
      </c>
      <c r="M16" s="369">
        <f>kdis.w0A.w0D</f>
        <v>1E-13</v>
      </c>
      <c r="N16" s="365">
        <f>kdis.w0P.w0D</f>
        <v>1E-13</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190">
        <v>0</v>
      </c>
      <c r="AJ16" s="190">
        <v>0</v>
      </c>
      <c r="AK16" s="190">
        <v>0</v>
      </c>
      <c r="AL16" s="190">
        <v>0</v>
      </c>
      <c r="AM16" s="190">
        <v>0</v>
      </c>
      <c r="AN16" s="190">
        <v>0</v>
      </c>
      <c r="AO16" s="190">
        <v>0</v>
      </c>
      <c r="AP16" s="190">
        <v>0</v>
      </c>
      <c r="AQ16" s="190">
        <v>0</v>
      </c>
      <c r="AR16" s="190">
        <v>0</v>
      </c>
      <c r="AS16" s="190">
        <v>0</v>
      </c>
      <c r="AT16" s="190">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2">
      <c r="B17" s="188" t="s">
        <v>3916</v>
      </c>
      <c r="C17" s="336"/>
      <c r="D17" s="185">
        <v>0</v>
      </c>
      <c r="E17" s="185">
        <f>k.aRS.w0RS</f>
        <v>1.5363717163615614E-8</v>
      </c>
      <c r="F17" s="185">
        <v>0</v>
      </c>
      <c r="G17" s="184">
        <v>0</v>
      </c>
      <c r="H17" s="185">
        <f>k.cwRS.w0RS</f>
        <v>1.8416810158380553E-7</v>
      </c>
      <c r="I17" s="185">
        <v>0</v>
      </c>
      <c r="J17" s="185">
        <v>0</v>
      </c>
      <c r="K17" s="370">
        <v>0</v>
      </c>
      <c r="L17" s="189">
        <f>-SUM(L$9:L16,L18:L$163)-k.w0RS</f>
        <v>-5.9437677068141983E-5</v>
      </c>
      <c r="M17" s="184">
        <v>0</v>
      </c>
      <c r="N17" s="364">
        <v>0</v>
      </c>
      <c r="O17" s="337">
        <v>0</v>
      </c>
      <c r="P17" s="337">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190">
        <v>0</v>
      </c>
      <c r="AJ17" s="190">
        <v>0</v>
      </c>
      <c r="AK17" s="190">
        <v>0</v>
      </c>
      <c r="AL17" s="190">
        <v>0</v>
      </c>
      <c r="AM17" s="190">
        <v>0</v>
      </c>
      <c r="AN17" s="190">
        <v>0</v>
      </c>
      <c r="AO17" s="190">
        <v>0</v>
      </c>
      <c r="AP17" s="190">
        <v>0</v>
      </c>
      <c r="AQ17" s="190">
        <v>0</v>
      </c>
      <c r="AR17" s="190">
        <v>0</v>
      </c>
      <c r="AS17" s="190">
        <v>0</v>
      </c>
      <c r="AT17" s="190">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2">
      <c r="B18" s="188" t="s">
        <v>3917</v>
      </c>
      <c r="C18" s="336"/>
      <c r="D18" s="185">
        <v>0</v>
      </c>
      <c r="E18" s="185">
        <v>0</v>
      </c>
      <c r="F18" s="185">
        <f>k.aRA.w0RA</f>
        <v>3.1190868658211615E-9</v>
      </c>
      <c r="G18" s="184">
        <v>0</v>
      </c>
      <c r="H18" s="185">
        <v>0</v>
      </c>
      <c r="I18" s="185">
        <f>k.cwRA.w0RA</f>
        <v>1.8416810158380553E-7</v>
      </c>
      <c r="J18" s="185">
        <v>0</v>
      </c>
      <c r="K18" s="370">
        <v>0</v>
      </c>
      <c r="L18" s="184">
        <f>k.w0RS.w0RA</f>
        <v>5.9327173676198873E-5</v>
      </c>
      <c r="M18" s="189">
        <f>-SUM(M$9:M17,M19:M$163)-k.w0RA</f>
        <v>-2.4463255281068306E-8</v>
      </c>
      <c r="N18" s="364">
        <v>0</v>
      </c>
      <c r="O18" s="337">
        <v>0</v>
      </c>
      <c r="P18" s="337">
        <v>0</v>
      </c>
      <c r="Q18" s="337">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2">
      <c r="B19" s="188" t="s">
        <v>3918</v>
      </c>
      <c r="C19" s="336"/>
      <c r="D19" s="185">
        <v>0</v>
      </c>
      <c r="E19" s="185">
        <v>0</v>
      </c>
      <c r="F19" s="185">
        <v>0</v>
      </c>
      <c r="G19" s="184">
        <f>k.aRP.w0RP</f>
        <v>2.4891108220915248E-9</v>
      </c>
      <c r="H19" s="185">
        <v>0</v>
      </c>
      <c r="I19" s="185">
        <v>0</v>
      </c>
      <c r="J19" s="185">
        <f>k.cwRP.w0RP</f>
        <v>1.8416810158380553E-7</v>
      </c>
      <c r="K19" s="366">
        <v>0</v>
      </c>
      <c r="L19" s="367">
        <f>k.w0RS.w0RP</f>
        <v>8.6528931279242802E-8</v>
      </c>
      <c r="M19" s="367">
        <v>0</v>
      </c>
      <c r="N19" s="189">
        <f>-SUM(N$9:N18,N20:N$163)-k.w0RP</f>
        <v>-3.1807689683250158E-7</v>
      </c>
      <c r="O19" s="337">
        <v>0</v>
      </c>
      <c r="P19" s="337">
        <v>0</v>
      </c>
      <c r="Q19" s="337">
        <v>0</v>
      </c>
      <c r="R19" s="337">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2">
      <c r="B20" s="188" t="s">
        <v>3919</v>
      </c>
      <c r="C20" s="336"/>
      <c r="D20" s="337">
        <f>k.aRG.w1RD</f>
        <v>1.8798752113998428E-7</v>
      </c>
      <c r="E20" s="185">
        <v>0</v>
      </c>
      <c r="F20" s="185">
        <v>0</v>
      </c>
      <c r="G20" s="184">
        <v>0</v>
      </c>
      <c r="H20" s="337">
        <v>0</v>
      </c>
      <c r="I20" s="337">
        <v>0</v>
      </c>
      <c r="J20" s="337">
        <v>0</v>
      </c>
      <c r="K20" s="337">
        <f>k.w0R.w1R</f>
        <v>2.397260273972603E-8</v>
      </c>
      <c r="L20" s="337">
        <v>0</v>
      </c>
      <c r="M20" s="337">
        <v>0</v>
      </c>
      <c r="N20" s="337">
        <v>0</v>
      </c>
      <c r="O20" s="371">
        <f>-k.w1RD-SUM(O9:O19,O21:O163)</f>
        <v>-9.8629845986977862E-8</v>
      </c>
      <c r="P20" s="372">
        <f>kdis.w1S.w1D</f>
        <v>1E-13</v>
      </c>
      <c r="Q20" s="372">
        <f>kdis.w1A.w1D</f>
        <v>1E-13</v>
      </c>
      <c r="R20" s="373">
        <f>kdis.w1P.w1D</f>
        <v>1E-13</v>
      </c>
      <c r="S20" s="338">
        <v>0</v>
      </c>
      <c r="T20" s="338">
        <v>0</v>
      </c>
      <c r="U20" s="338">
        <v>0</v>
      </c>
      <c r="V20" s="338">
        <v>0</v>
      </c>
      <c r="W20" s="338">
        <v>0</v>
      </c>
      <c r="X20" s="338">
        <v>0</v>
      </c>
      <c r="Y20" s="338">
        <v>0</v>
      </c>
      <c r="Z20" s="338">
        <v>0</v>
      </c>
      <c r="AA20" s="337">
        <f>k.sd1RD.w1RD</f>
        <v>6.2051162656002384E-8</v>
      </c>
      <c r="AB20" s="337">
        <v>0</v>
      </c>
      <c r="AC20" s="337">
        <v>0</v>
      </c>
      <c r="AD20" s="337">
        <v>0</v>
      </c>
      <c r="AE20" s="338">
        <v>0</v>
      </c>
      <c r="AF20" s="338">
        <v>0</v>
      </c>
      <c r="AG20" s="338">
        <v>0</v>
      </c>
      <c r="AH20" s="338">
        <v>0</v>
      </c>
      <c r="AI20" s="337">
        <f>k.s1RD.w1RD</f>
        <v>4.6941418162982244E-9</v>
      </c>
      <c r="AJ20" s="337">
        <v>0</v>
      </c>
      <c r="AK20" s="337">
        <v>0</v>
      </c>
      <c r="AL20" s="337">
        <v>0</v>
      </c>
      <c r="AM20" s="337">
        <f>k.s2RD.w1RD</f>
        <v>2.1360891081434388E-9</v>
      </c>
      <c r="AN20" s="337">
        <v>0</v>
      </c>
      <c r="AO20" s="337">
        <v>0</v>
      </c>
      <c r="AP20" s="337">
        <v>0</v>
      </c>
      <c r="AQ20" s="337">
        <f>k.s3RD.w1RD</f>
        <v>4.6941418162982244E-9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2">
      <c r="B21" s="188" t="s">
        <v>3920</v>
      </c>
      <c r="C21" s="336"/>
      <c r="D21" s="337">
        <v>0</v>
      </c>
      <c r="E21" s="185">
        <f>k.aRS.w1RS</f>
        <v>1.6900088879977177E-7</v>
      </c>
      <c r="F21" s="185">
        <v>0</v>
      </c>
      <c r="G21" s="184">
        <v>0</v>
      </c>
      <c r="H21" s="337">
        <f>k.cwRS.w1RS</f>
        <v>2.0258491174218609E-6</v>
      </c>
      <c r="I21" s="337">
        <v>0</v>
      </c>
      <c r="J21" s="337">
        <v>0</v>
      </c>
      <c r="K21" s="337">
        <v>0</v>
      </c>
      <c r="L21" s="337">
        <f>k.w0R.w1R</f>
        <v>2.397260273972603E-8</v>
      </c>
      <c r="M21" s="337">
        <v>0</v>
      </c>
      <c r="N21" s="337">
        <v>0</v>
      </c>
      <c r="O21" s="374">
        <v>0</v>
      </c>
      <c r="P21" s="189">
        <f>-k.w1RS-SUM(P$9:P20,P22:P$163)</f>
        <v>-6.6143906708103882E-5</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1.4105196107430861E-7</v>
      </c>
      <c r="AK21" s="185">
        <v>0</v>
      </c>
      <c r="AL21" s="184">
        <v>0</v>
      </c>
      <c r="AM21" s="337">
        <v>0</v>
      </c>
      <c r="AN21" s="185">
        <f>k.s2RS.w1RS</f>
        <v>6.4182390753802476E-8</v>
      </c>
      <c r="AO21" s="185">
        <v>0</v>
      </c>
      <c r="AP21" s="184">
        <v>0</v>
      </c>
      <c r="AQ21" s="337">
        <v>0</v>
      </c>
      <c r="AR21" s="185">
        <f>k.s3RS.w1RS</f>
        <v>1.4105196107430861E-7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2">
      <c r="B22" s="188" t="s">
        <v>3921</v>
      </c>
      <c r="C22" s="336"/>
      <c r="D22" s="337">
        <v>0</v>
      </c>
      <c r="E22" s="185">
        <v>0</v>
      </c>
      <c r="F22" s="185">
        <f>k.aRA.w1RA</f>
        <v>3.4309955524032778E-8</v>
      </c>
      <c r="G22" s="184">
        <v>0</v>
      </c>
      <c r="H22" s="337">
        <v>0</v>
      </c>
      <c r="I22" s="337">
        <f>k.cwRA.w1RA</f>
        <v>2.0258491174218609E-6</v>
      </c>
      <c r="J22" s="337">
        <v>0</v>
      </c>
      <c r="K22" s="337">
        <v>0</v>
      </c>
      <c r="L22" s="337">
        <v>0</v>
      </c>
      <c r="M22" s="337">
        <f>k.w0R.w1R</f>
        <v>2.397260273972603E-8</v>
      </c>
      <c r="N22" s="337">
        <v>0</v>
      </c>
      <c r="O22" s="374">
        <v>0</v>
      </c>
      <c r="P22" s="338">
        <f>k.w1RS.w1RA</f>
        <v>5.967487523623992E-5</v>
      </c>
      <c r="Q22" s="189">
        <f>-k.w1RA-SUM(Q$9:Q21,Q23:Q$163)</f>
        <v>-8.8996102104518411E-8</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1.4105196107430861E-7</v>
      </c>
      <c r="AL22" s="184">
        <v>0</v>
      </c>
      <c r="AM22" s="337">
        <v>0</v>
      </c>
      <c r="AN22" s="185">
        <v>0</v>
      </c>
      <c r="AO22" s="185">
        <f>k.s2RA.w1RA</f>
        <v>6.4182390753802476E-8</v>
      </c>
      <c r="AP22" s="184">
        <v>0</v>
      </c>
      <c r="AQ22" s="337">
        <v>0</v>
      </c>
      <c r="AR22" s="185">
        <v>0</v>
      </c>
      <c r="AS22" s="185">
        <f>k.s3RA.w1RA</f>
        <v>1.4105196107430861E-7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53">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2">
      <c r="B23" s="188" t="s">
        <v>3922</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2.397260273972603E-8</v>
      </c>
      <c r="O23" s="376">
        <v>0</v>
      </c>
      <c r="P23" s="377">
        <f>k.w1RS.w1RP</f>
        <v>6.3963285236658089E-6</v>
      </c>
      <c r="Q23" s="377">
        <v>0</v>
      </c>
      <c r="R23" s="189">
        <f>-k.w1RP-SUM(R$9:R22,R24:R$163)</f>
        <v>-9.8761174871522938E-6</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1.9025875190258751E-11</v>
      </c>
      <c r="AM23" s="337">
        <v>0</v>
      </c>
      <c r="AN23" s="185">
        <v>0</v>
      </c>
      <c r="AO23" s="185">
        <v>0</v>
      </c>
      <c r="AP23" s="184">
        <f>k.s2RP.w1RP</f>
        <v>4.7564687975646877E-12</v>
      </c>
      <c r="AQ23" s="337">
        <v>0</v>
      </c>
      <c r="AR23" s="185">
        <v>0</v>
      </c>
      <c r="AS23" s="185">
        <v>0</v>
      </c>
      <c r="AT23" s="184">
        <f>k.s3RP.w1RP</f>
        <v>1.9025875190258751E-11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53">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2">
      <c r="B24" s="188" t="s">
        <v>3923</v>
      </c>
      <c r="C24" s="336"/>
      <c r="D24" s="185">
        <f>k.aRG.w2RD</f>
        <v>2.99072925564851E-8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-1.3747189948131567E-6</v>
      </c>
      <c r="T24" s="369">
        <f>kdis.w2S.w2D</f>
        <v>1E-13</v>
      </c>
      <c r="U24" s="369">
        <f>kdis.w2A.w2D</f>
        <v>1E-13</v>
      </c>
      <c r="V24" s="365">
        <f>kdis.w2P.w2D</f>
        <v>1E-13</v>
      </c>
      <c r="W24" s="184">
        <v>0</v>
      </c>
      <c r="X24" s="184">
        <v>0</v>
      </c>
      <c r="Y24" s="184">
        <v>0</v>
      </c>
      <c r="Z24" s="184">
        <v>0</v>
      </c>
      <c r="AA24" s="190">
        <v>0</v>
      </c>
      <c r="AB24" s="190">
        <v>0</v>
      </c>
      <c r="AC24" s="190">
        <v>0</v>
      </c>
      <c r="AD24" s="190">
        <v>0</v>
      </c>
      <c r="AE24" s="185">
        <f>k.sd2RD.w2RD</f>
        <v>4.4425291563015679E-8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2">
      <c r="B25" s="188" t="s">
        <v>3924</v>
      </c>
      <c r="C25" s="336"/>
      <c r="D25" s="185">
        <v>0</v>
      </c>
      <c r="E25" s="185">
        <f>k.aRS.w2RS</f>
        <v>1.9533027402937933E-8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-3.018331756831485E-3</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2">
      <c r="B26" s="188" t="s">
        <v>3925</v>
      </c>
      <c r="C26" s="336"/>
      <c r="D26" s="185">
        <v>0</v>
      </c>
      <c r="E26" s="185">
        <v>0</v>
      </c>
      <c r="F26" s="185">
        <f>k.aRA.w2RA</f>
        <v>5.0710555599854488E-9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2.967939145446494E-3</v>
      </c>
      <c r="U26" s="440">
        <f>-k.w2RA-SUM(U$9:U25,U27:U$163)</f>
        <v>-1.3747600774682155E-6</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2">
      <c r="B27" s="188" t="s">
        <v>3926</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4.9022739253694927E-5</v>
      </c>
      <c r="U27" s="367">
        <v>0</v>
      </c>
      <c r="V27" s="440">
        <f>-k.w2RP-SUM(V$9:V26,V28:V$163)</f>
        <v>-4.3108964929825481E-6</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2">
      <c r="B28" s="188" t="s">
        <v>3927</v>
      </c>
      <c r="C28" s="336"/>
      <c r="D28" s="185">
        <v>0</v>
      </c>
      <c r="E28" s="185">
        <v>0</v>
      </c>
      <c r="F28" s="185">
        <v>0</v>
      </c>
      <c r="G28" s="185">
        <v>0</v>
      </c>
      <c r="H28" s="185">
        <v>0</v>
      </c>
      <c r="I28" s="185">
        <v>0</v>
      </c>
      <c r="J28" s="185">
        <v>0</v>
      </c>
      <c r="K28" s="185">
        <f>k.w0RD.sd0RD</f>
        <v>7.9386697328305655E-11</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1E-13</v>
      </c>
      <c r="Y28" s="369">
        <f>kdis.sd0A.sd0D</f>
        <v>1E-13</v>
      </c>
      <c r="Z28" s="365">
        <f>kdis.sd0P.sd0D</f>
        <v>1E-13</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2">
      <c r="B29" s="188" t="s">
        <v>3928</v>
      </c>
      <c r="C29" s="336"/>
      <c r="D29" s="185">
        <v>0</v>
      </c>
      <c r="E29" s="185">
        <v>0</v>
      </c>
      <c r="F29" s="185">
        <v>0</v>
      </c>
      <c r="G29" s="185">
        <v>0</v>
      </c>
      <c r="H29" s="185">
        <v>0</v>
      </c>
      <c r="I29" s="185">
        <v>0</v>
      </c>
      <c r="J29" s="185">
        <v>0</v>
      </c>
      <c r="K29" s="185">
        <v>0</v>
      </c>
      <c r="L29" s="185">
        <f>k.w0RS.sd0RS</f>
        <v>1.7579241516966072E-12</v>
      </c>
      <c r="M29" s="185">
        <v>0</v>
      </c>
      <c r="N29" s="185">
        <v>0</v>
      </c>
      <c r="O29" s="337">
        <v>0</v>
      </c>
      <c r="P29" s="337">
        <v>0</v>
      </c>
      <c r="Q29" s="337">
        <v>0</v>
      </c>
      <c r="R29" s="337">
        <v>0</v>
      </c>
      <c r="S29" s="184">
        <v>0</v>
      </c>
      <c r="T29" s="184">
        <v>0</v>
      </c>
      <c r="U29" s="184">
        <v>0</v>
      </c>
      <c r="V29" s="184">
        <v>0</v>
      </c>
      <c r="W29" s="370">
        <v>0</v>
      </c>
      <c r="X29" s="189">
        <f>-k.sd0RS-SUM(X$9:X28,X30:X$163)</f>
        <v>-1.9680649467148869E-4</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2">
      <c r="B30" s="188" t="s">
        <v>3929</v>
      </c>
      <c r="C30" s="336"/>
      <c r="D30" s="185">
        <v>0</v>
      </c>
      <c r="E30" s="185">
        <v>0</v>
      </c>
      <c r="F30" s="185">
        <v>0</v>
      </c>
      <c r="G30" s="185">
        <v>0</v>
      </c>
      <c r="H30" s="185">
        <v>0</v>
      </c>
      <c r="I30" s="185">
        <v>0</v>
      </c>
      <c r="J30" s="185">
        <v>0</v>
      </c>
      <c r="K30" s="185">
        <v>0</v>
      </c>
      <c r="L30" s="185">
        <v>0</v>
      </c>
      <c r="M30" s="185">
        <f>k.w0RA.sd0RA</f>
        <v>4.9055254134227732E-10</v>
      </c>
      <c r="N30" s="185">
        <v>0</v>
      </c>
      <c r="O30" s="337">
        <v>0</v>
      </c>
      <c r="P30" s="337">
        <v>0</v>
      </c>
      <c r="Q30" s="337">
        <v>0</v>
      </c>
      <c r="R30" s="337">
        <v>0</v>
      </c>
      <c r="S30" s="184">
        <v>0</v>
      </c>
      <c r="T30" s="184">
        <v>0</v>
      </c>
      <c r="U30" s="184">
        <v>0</v>
      </c>
      <c r="V30" s="184">
        <v>0</v>
      </c>
      <c r="W30" s="370">
        <v>0</v>
      </c>
      <c r="X30" s="184">
        <f>k.sd0RS.sd0RA</f>
        <v>1.1864732307845752E-4</v>
      </c>
      <c r="Y30" s="189">
        <f>-k.sd0RA-SUM(Y$9:Y29,Y31:Y$163)</f>
        <v>-2.8954682563842399E-9</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2">
      <c r="B31" s="188" t="s">
        <v>3930</v>
      </c>
      <c r="C31" s="336"/>
      <c r="D31" s="185">
        <v>0</v>
      </c>
      <c r="E31" s="185">
        <v>0</v>
      </c>
      <c r="F31" s="185">
        <v>0</v>
      </c>
      <c r="G31" s="185">
        <v>0</v>
      </c>
      <c r="H31" s="185">
        <v>0</v>
      </c>
      <c r="I31" s="185">
        <v>0</v>
      </c>
      <c r="J31" s="185">
        <v>0</v>
      </c>
      <c r="K31" s="185">
        <v>0</v>
      </c>
      <c r="L31" s="185">
        <v>0</v>
      </c>
      <c r="M31" s="185">
        <v>0</v>
      </c>
      <c r="N31" s="185">
        <f>k.w0RP.sd0RP</f>
        <v>2.9410419409277556E-7</v>
      </c>
      <c r="O31" s="337">
        <v>0</v>
      </c>
      <c r="P31" s="337">
        <v>0</v>
      </c>
      <c r="Q31" s="337">
        <v>0</v>
      </c>
      <c r="R31" s="337">
        <v>0</v>
      </c>
      <c r="S31" s="184">
        <v>0</v>
      </c>
      <c r="T31" s="184">
        <v>0</v>
      </c>
      <c r="U31" s="184">
        <v>0</v>
      </c>
      <c r="V31" s="184">
        <v>0</v>
      </c>
      <c r="W31" s="366">
        <v>0</v>
      </c>
      <c r="X31" s="367">
        <f>k.sd0RS.sd0RP</f>
        <v>7.8156276124774807E-5</v>
      </c>
      <c r="Y31" s="367">
        <v>0</v>
      </c>
      <c r="Z31" s="189">
        <f>-k.sd0RP-SUM(Z$9:Z30,Z32:Z$163)</f>
        <v>-2.8954682563842399E-9</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2">
      <c r="B32" s="188" t="s">
        <v>3931</v>
      </c>
      <c r="C32" s="336"/>
      <c r="D32" s="190">
        <v>0</v>
      </c>
      <c r="E32" s="190">
        <v>0</v>
      </c>
      <c r="F32" s="190">
        <v>0</v>
      </c>
      <c r="G32" s="190">
        <v>0</v>
      </c>
      <c r="H32" s="190">
        <v>0</v>
      </c>
      <c r="I32" s="190">
        <v>0</v>
      </c>
      <c r="J32" s="190">
        <v>0</v>
      </c>
      <c r="K32" s="176">
        <v>0</v>
      </c>
      <c r="L32" s="176">
        <v>0</v>
      </c>
      <c r="M32" s="176">
        <v>0</v>
      </c>
      <c r="N32" s="176">
        <v>0</v>
      </c>
      <c r="O32" s="337">
        <f>k.w1RD.sd1RD</f>
        <v>2.5985595260531316E-8</v>
      </c>
      <c r="P32" s="337">
        <v>0</v>
      </c>
      <c r="Q32" s="337">
        <v>0</v>
      </c>
      <c r="R32" s="337">
        <v>0</v>
      </c>
      <c r="S32" s="190">
        <v>0</v>
      </c>
      <c r="T32" s="190">
        <v>0</v>
      </c>
      <c r="U32" s="190">
        <v>0</v>
      </c>
      <c r="V32" s="190">
        <v>0</v>
      </c>
      <c r="W32" s="190">
        <v>0</v>
      </c>
      <c r="X32" s="190">
        <v>0</v>
      </c>
      <c r="Y32" s="190">
        <v>0</v>
      </c>
      <c r="Z32" s="190">
        <v>0</v>
      </c>
      <c r="AA32" s="368">
        <f>-k.sd1RD-SUM(AA9:AA31,AA$33:AA163)</f>
        <v>-6.4946530912390679E-8</v>
      </c>
      <c r="AB32" s="369">
        <f>kdis.sd1S.sd1D</f>
        <v>1E-13</v>
      </c>
      <c r="AC32" s="369">
        <f>kdis.sd1A.sd1D</f>
        <v>1E-13</v>
      </c>
      <c r="AD32" s="365">
        <f>kdis.sd1P.sd1D</f>
        <v>1E-13</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2">
      <c r="B33" s="188" t="s">
        <v>3932</v>
      </c>
      <c r="C33" s="336"/>
      <c r="D33" s="190">
        <v>0</v>
      </c>
      <c r="E33" s="190">
        <v>0</v>
      </c>
      <c r="F33" s="190">
        <v>0</v>
      </c>
      <c r="G33" s="190">
        <v>0</v>
      </c>
      <c r="H33" s="190">
        <v>0</v>
      </c>
      <c r="I33" s="190">
        <v>0</v>
      </c>
      <c r="J33" s="190">
        <v>0</v>
      </c>
      <c r="K33" s="176">
        <v>0</v>
      </c>
      <c r="L33" s="176">
        <v>0</v>
      </c>
      <c r="M33" s="176">
        <v>0</v>
      </c>
      <c r="N33" s="176">
        <v>0</v>
      </c>
      <c r="O33" s="337">
        <v>0</v>
      </c>
      <c r="P33" s="185">
        <f>k.w1RS.sd1RS</f>
        <v>5.8597471723220234E-11</v>
      </c>
      <c r="Q33" s="185">
        <v>0</v>
      </c>
      <c r="R33" s="184">
        <v>0</v>
      </c>
      <c r="S33" s="190">
        <v>0</v>
      </c>
      <c r="T33" s="190">
        <v>0</v>
      </c>
      <c r="U33" s="190">
        <v>0</v>
      </c>
      <c r="V33" s="190">
        <v>0</v>
      </c>
      <c r="W33" s="190">
        <v>0</v>
      </c>
      <c r="X33" s="190">
        <v>0</v>
      </c>
      <c r="Y33" s="190">
        <v>0</v>
      </c>
      <c r="Z33" s="190">
        <v>0</v>
      </c>
      <c r="AA33" s="370">
        <v>0</v>
      </c>
      <c r="AB33" s="189">
        <f>-k.sd1RS-SUM(AB$9:AB32,AB34:AB$163)</f>
        <v>-1.96833009722394E-4</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2">
      <c r="B34" s="188" t="s">
        <v>3933</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1.6351751378075909E-8</v>
      </c>
      <c r="R34" s="184">
        <v>0</v>
      </c>
      <c r="S34" s="190">
        <v>0</v>
      </c>
      <c r="T34" s="190">
        <v>0</v>
      </c>
      <c r="U34" s="190">
        <v>0</v>
      </c>
      <c r="V34" s="190">
        <v>0</v>
      </c>
      <c r="W34" s="190">
        <v>0</v>
      </c>
      <c r="X34" s="190">
        <v>0</v>
      </c>
      <c r="Y34" s="190">
        <v>0</v>
      </c>
      <c r="Z34" s="190">
        <v>0</v>
      </c>
      <c r="AA34" s="370">
        <v>0</v>
      </c>
      <c r="AB34" s="184">
        <f>k.sd1RS.sd1RA</f>
        <v>1.1864732307845752E-4</v>
      </c>
      <c r="AC34" s="189">
        <f>-k.sd1RA-SUM(AC$9:AC33,AC35:AC$163)</f>
        <v>-2.9410519161676659E-8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2">
      <c r="B35" s="188" t="s">
        <v>3934</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9.8034731364258519E-6</v>
      </c>
      <c r="S35" s="190">
        <v>0</v>
      </c>
      <c r="T35" s="190">
        <v>0</v>
      </c>
      <c r="U35" s="190">
        <v>0</v>
      </c>
      <c r="V35" s="190">
        <v>0</v>
      </c>
      <c r="W35" s="190">
        <v>0</v>
      </c>
      <c r="X35" s="190">
        <v>0</v>
      </c>
      <c r="Y35" s="190">
        <v>0</v>
      </c>
      <c r="Z35" s="190">
        <v>0</v>
      </c>
      <c r="AA35" s="366">
        <v>0</v>
      </c>
      <c r="AB35" s="367">
        <f>k.sd1RS.sd1RP</f>
        <v>7.8156276124774807E-5</v>
      </c>
      <c r="AC35" s="367">
        <v>0</v>
      </c>
      <c r="AD35" s="189">
        <f>-k.sd1RP-SUM(AD$9:AD34,AD36:AD$163)</f>
        <v>-2.9410519161676659E-8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2">
      <c r="B36" s="188" t="s">
        <v>3935</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4.8645427583599371E-9</v>
      </c>
      <c r="T36" s="185">
        <v>0</v>
      </c>
      <c r="U36" s="185">
        <v>0</v>
      </c>
      <c r="V36" s="185">
        <v>0</v>
      </c>
      <c r="W36" s="185">
        <v>0</v>
      </c>
      <c r="X36" s="185">
        <v>0</v>
      </c>
      <c r="Y36" s="185">
        <v>0</v>
      </c>
      <c r="Z36" s="185">
        <v>0</v>
      </c>
      <c r="AA36" s="190">
        <v>0</v>
      </c>
      <c r="AB36" s="190">
        <v>0</v>
      </c>
      <c r="AC36" s="190">
        <v>0</v>
      </c>
      <c r="AD36" s="190">
        <v>0</v>
      </c>
      <c r="AE36" s="368">
        <f>-k.sd2RD-SUM(AE9:AE35,AE37:AE163)</f>
        <v>-4.5339584804606246E-8</v>
      </c>
      <c r="AF36" s="369">
        <f>kdis.sd2S.sd2D</f>
        <v>1E-13</v>
      </c>
      <c r="AG36" s="369">
        <f>kdis.sd2A.sd2D</f>
        <v>1E-13</v>
      </c>
      <c r="AH36" s="365">
        <f>kdis.sd2P.sd2D</f>
        <v>1E-13</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2">
      <c r="B37" s="188" t="s">
        <v>3936</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1.7579241516966073E-11</v>
      </c>
      <c r="U37" s="185">
        <v>0</v>
      </c>
      <c r="V37" s="184">
        <v>0</v>
      </c>
      <c r="W37" s="185">
        <v>0</v>
      </c>
      <c r="X37" s="185">
        <v>0</v>
      </c>
      <c r="Y37" s="185">
        <v>0</v>
      </c>
      <c r="Z37" s="185">
        <v>0</v>
      </c>
      <c r="AA37" s="190">
        <v>0</v>
      </c>
      <c r="AB37" s="190">
        <v>0</v>
      </c>
      <c r="AC37" s="190">
        <v>0</v>
      </c>
      <c r="AD37" s="190">
        <v>0</v>
      </c>
      <c r="AE37" s="370">
        <v>0</v>
      </c>
      <c r="AF37" s="189">
        <f>-k.sd2RS-SUM(AF$9:AF36,AF38:AF$163)</f>
        <v>-9.8401897637346719E-3</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2">
      <c r="B38" s="188" t="s">
        <v>3937</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4.9055254134227726E-9</v>
      </c>
      <c r="V38" s="184">
        <v>0</v>
      </c>
      <c r="W38" s="185">
        <v>0</v>
      </c>
      <c r="X38" s="185">
        <v>0</v>
      </c>
      <c r="Y38" s="185">
        <v>0</v>
      </c>
      <c r="Z38" s="185">
        <v>0</v>
      </c>
      <c r="AA38" s="190">
        <v>0</v>
      </c>
      <c r="AB38" s="190">
        <v>0</v>
      </c>
      <c r="AC38" s="190">
        <v>0</v>
      </c>
      <c r="AD38" s="190">
        <v>0</v>
      </c>
      <c r="AE38" s="370">
        <v>0</v>
      </c>
      <c r="AF38" s="184">
        <f>k.sd2RS.sd2RA</f>
        <v>5.9323661539228767E-3</v>
      </c>
      <c r="AG38" s="189">
        <f>-k.sd2RA-SUM(AG$9:AG37,AG39:AG$163)</f>
        <v>-9.8035730538922206E-9</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2">
      <c r="B39" s="188" t="s">
        <v>3938</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2.9410419409277556E-6</v>
      </c>
      <c r="W39" s="185">
        <v>0</v>
      </c>
      <c r="X39" s="185">
        <v>0</v>
      </c>
      <c r="Y39" s="185">
        <v>0</v>
      </c>
      <c r="Z39" s="185">
        <v>0</v>
      </c>
      <c r="AA39" s="190">
        <v>0</v>
      </c>
      <c r="AB39" s="190">
        <v>0</v>
      </c>
      <c r="AC39" s="190">
        <v>0</v>
      </c>
      <c r="AD39" s="190">
        <v>0</v>
      </c>
      <c r="AE39" s="366">
        <v>0</v>
      </c>
      <c r="AF39" s="367">
        <f>k.sd2RS.sd2RP</f>
        <v>3.9078138062387403E-3</v>
      </c>
      <c r="AG39" s="367">
        <v>0</v>
      </c>
      <c r="AH39" s="189">
        <f>-k.sd2RP-SUM(AH$9:AH38,AH40:AH$163)</f>
        <v>-9.8035730538922206E-9</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2">
      <c r="B40" s="188" t="s">
        <v>3939</v>
      </c>
      <c r="C40" s="336"/>
      <c r="D40" s="185">
        <f>k.aRG.s1RD</f>
        <v>1.8456956621010431E-6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-4.7256077912194086E-9</v>
      </c>
      <c r="AJ40" s="369">
        <f>kdis.s1S.s1D</f>
        <v>1E-13</v>
      </c>
      <c r="AK40" s="369">
        <f>kdis.s1A.s1D</f>
        <v>1E-13</v>
      </c>
      <c r="AL40" s="365">
        <f>kdis.s1P.s1D</f>
        <v>1E-13</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2">
      <c r="B41" s="188" t="s">
        <v>3940</v>
      </c>
      <c r="C41" s="336"/>
      <c r="D41" s="185">
        <v>0</v>
      </c>
      <c r="E41" s="185">
        <f>k.aRS.s1RS</f>
        <v>8.9902911146974618E-7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-0.12818893388987199</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2">
      <c r="B42" s="188" t="s">
        <v>3941</v>
      </c>
      <c r="C42" s="336"/>
      <c r="D42" s="185">
        <v>0</v>
      </c>
      <c r="E42" s="185">
        <v>0</v>
      </c>
      <c r="F42" s="185">
        <f>k.aRA.s1RA</f>
        <v>7.3498691768682326E-8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9.9663751385904359E-2</v>
      </c>
      <c r="AK42" s="189">
        <f>-k.s1RA-SUM(AK$9:AK41,AK43:AK$163)</f>
        <v>-1.4200233351680571E-7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2">
      <c r="B43" s="188" t="s">
        <v>3942</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2.8525040501634097E-2</v>
      </c>
      <c r="AK43" s="367">
        <v>0</v>
      </c>
      <c r="AL43" s="189">
        <f>-k.s1RP-SUM(AL$9:AL42,AL44:AL$163)</f>
        <v>-1.9125875190258752E-11</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2">
      <c r="B44" s="188" t="s">
        <v>3943</v>
      </c>
      <c r="C44" s="336"/>
      <c r="D44" s="185">
        <f>k.aRG.s2RD</f>
        <v>4.1015459157800947E-6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-2.1504078332580645E-9</v>
      </c>
      <c r="AN44" s="369">
        <f>kdis.s2S.s2D</f>
        <v>1E-13</v>
      </c>
      <c r="AO44" s="369">
        <f>kdis.s2A.s2D</f>
        <v>1E-13</v>
      </c>
      <c r="AP44" s="369">
        <f>kdis.s2P.s2D</f>
        <v>1E-13</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2">
      <c r="B45" s="188" t="s">
        <v>3944</v>
      </c>
      <c r="C45" s="336"/>
      <c r="D45" s="185">
        <v>0</v>
      </c>
      <c r="E45" s="185">
        <f>k.aRS.s2RS</f>
        <v>1.9978424699327687E-6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-0.12818885650245473</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2">
      <c r="B46" s="188" t="s">
        <v>3945</v>
      </c>
      <c r="C46" s="336"/>
      <c r="D46" s="185">
        <v>0</v>
      </c>
      <c r="E46" s="185">
        <v>0</v>
      </c>
      <c r="F46" s="185">
        <f>k.aRA.s2RA</f>
        <v>1.6333042615262735E-7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9.9663751385904359E-2</v>
      </c>
      <c r="AO46" s="189">
        <f>-k.s2RA-SUM(AO$9:AO45,AO47:AO$163)</f>
        <v>-6.4614916252141538E-8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2">
      <c r="B47" s="188" t="s">
        <v>3946</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2.8525040501634097E-2</v>
      </c>
      <c r="AO47" s="367">
        <v>0</v>
      </c>
      <c r="AP47" s="189">
        <f>-k.s2RP-SUM(AP$9:AP46,AP48:AP$163)</f>
        <v>-4.8564687975646877E-12</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2">
      <c r="B48" s="188" t="s">
        <v>3947</v>
      </c>
      <c r="C48" s="336"/>
      <c r="D48" s="185">
        <f>k.aRG.s3RD</f>
        <v>6.8359098596334912E-7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-4.7256077912194086E-9</v>
      </c>
      <c r="AR48" s="369">
        <f>kdis.s3S.s3D</f>
        <v>1E-13</v>
      </c>
      <c r="AS48" s="369">
        <f>kdis.s3A.s3D</f>
        <v>1E-13</v>
      </c>
      <c r="AT48" s="369">
        <f>kdis.s3P.s3D</f>
        <v>1E-13</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2">
      <c r="B49" s="188" t="s">
        <v>3948</v>
      </c>
      <c r="C49" s="336"/>
      <c r="D49" s="185">
        <v>0</v>
      </c>
      <c r="E49" s="185">
        <f>k.aRS.s3RS</f>
        <v>3.3297374498879489E-7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-0.12818893388987199</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2">
      <c r="B50" s="188" t="s">
        <v>3949</v>
      </c>
      <c r="C50" s="336"/>
      <c r="D50" s="185">
        <v>0</v>
      </c>
      <c r="E50" s="185">
        <v>0</v>
      </c>
      <c r="F50" s="185">
        <f>k.aRA.s3RA</f>
        <v>2.7221737692104566E-8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9.9663751385904359E-2</v>
      </c>
      <c r="AS50" s="189">
        <f>-k.s3RA-SUM(AS$9:AS49,AS51:AS$163)</f>
        <v>-1.4200233351680571E-7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2">
      <c r="B51" s="188" t="s">
        <v>3950</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2.8525040501634097E-2</v>
      </c>
      <c r="AS51" s="367">
        <v>0</v>
      </c>
      <c r="AT51" s="189">
        <f>-k.s3RP-SUM(AT$9:AT50,AT52:AT$163)</f>
        <v>-1.9125875190258752E-11</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2">
      <c r="B52" s="207" t="s">
        <v>3951</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-9.4796640568496868E-6</v>
      </c>
      <c r="AV52" s="369">
        <v>0</v>
      </c>
      <c r="AW52" s="369">
        <v>0</v>
      </c>
      <c r="AX52" s="365">
        <v>0</v>
      </c>
      <c r="AY52" s="184">
        <v>0</v>
      </c>
      <c r="AZ52" s="184">
        <v>0</v>
      </c>
      <c r="BA52" s="184">
        <v>0</v>
      </c>
      <c r="BB52" s="185">
        <f>k.w0C.aC</f>
        <v>7.3594070844008963E-28</v>
      </c>
      <c r="BC52" s="185">
        <v>0</v>
      </c>
      <c r="BD52" s="185">
        <v>0</v>
      </c>
      <c r="BE52" s="185">
        <v>0</v>
      </c>
      <c r="BF52" s="185">
        <f>k.w1C.aC</f>
        <v>2.4495847556581632E-26</v>
      </c>
      <c r="BG52" s="185">
        <v>0</v>
      </c>
      <c r="BH52" s="185">
        <v>0</v>
      </c>
      <c r="BI52" s="185">
        <v>0</v>
      </c>
      <c r="BJ52" s="185">
        <f>k.w2C.aC</f>
        <v>3.6780488669726225E-28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9.9730623667322376E-27</v>
      </c>
      <c r="CA52" s="185">
        <v>0</v>
      </c>
      <c r="CB52" s="185">
        <v>0</v>
      </c>
      <c r="CC52" s="185">
        <v>0</v>
      </c>
      <c r="CD52" s="185">
        <f>k.s2C.aC</f>
        <v>4.5382842551637416E-27</v>
      </c>
      <c r="CE52" s="185">
        <v>0</v>
      </c>
      <c r="CF52" s="185">
        <v>0</v>
      </c>
      <c r="CG52" s="185">
        <v>0</v>
      </c>
      <c r="CH52" s="185">
        <f>k.s3C.aC</f>
        <v>9.9730623667322376E-27</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2">
      <c r="B53" s="207" t="s">
        <v>3952</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-5.9043290746068446E-5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2">
      <c r="B54" s="207" t="s">
        <v>3953</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5.2255041078331695E-5</v>
      </c>
      <c r="AW54" s="189">
        <f>-k.aCA-SUM(AW$9:AW53,AW55:AW$163)</f>
        <v>-2.6056182041397448E-6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2">
      <c r="B55" s="207" t="s">
        <v>3954</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1.6244683507574773E-7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2">
      <c r="B56" s="207" t="s">
        <v>3955</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2">
      <c r="B57" s="207" t="s">
        <v>3956</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2">
      <c r="B58" s="207" t="s">
        <v>3957</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2">
      <c r="B59" s="207" t="s">
        <v>3958</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9.4383161237186709E-9</v>
      </c>
      <c r="AV59" s="185">
        <v>0</v>
      </c>
      <c r="AW59" s="185">
        <v>0</v>
      </c>
      <c r="AX59" s="185">
        <v>0</v>
      </c>
      <c r="AY59" s="185">
        <v>0</v>
      </c>
      <c r="AZ59" s="185">
        <v>0</v>
      </c>
      <c r="BA59" s="185">
        <v>0</v>
      </c>
      <c r="BB59" s="378">
        <f>-k.w0C-SUM(BB9:BB55,BB60:BB163)</f>
        <v>-2.4753641859204948E-9</v>
      </c>
      <c r="BC59" s="379">
        <f>kdis.w0S.w0D</f>
        <v>1E-13</v>
      </c>
      <c r="BD59" s="379">
        <f>kdis.w0A.w0D</f>
        <v>1E-13</v>
      </c>
      <c r="BE59" s="380">
        <f>kdis.w0P.w0D</f>
        <v>1E-13</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90">
        <v>0</v>
      </c>
      <c r="CA59" s="190">
        <v>0</v>
      </c>
      <c r="CB59" s="190">
        <v>0</v>
      </c>
      <c r="CC59" s="190">
        <v>0</v>
      </c>
      <c r="CD59" s="190">
        <v>0</v>
      </c>
      <c r="CE59" s="190">
        <v>0</v>
      </c>
      <c r="CF59" s="190">
        <v>0</v>
      </c>
      <c r="CG59" s="190">
        <v>0</v>
      </c>
      <c r="CH59" s="190">
        <v>0</v>
      </c>
      <c r="CI59" s="190">
        <v>0</v>
      </c>
      <c r="CJ59" s="190">
        <v>0</v>
      </c>
      <c r="CK59" s="190">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2">
      <c r="B60" s="207" t="s">
        <v>3959</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7.4715791837793808E-9</v>
      </c>
      <c r="AW60" s="185">
        <v>0</v>
      </c>
      <c r="AX60" s="184">
        <v>0</v>
      </c>
      <c r="AY60" s="185">
        <f>k.cwCS.w0CS</f>
        <v>8.9563387522417847E-8</v>
      </c>
      <c r="AZ60" s="185">
        <v>0</v>
      </c>
      <c r="BA60" s="184">
        <v>0</v>
      </c>
      <c r="BB60" s="370">
        <v>0</v>
      </c>
      <c r="BC60" s="419">
        <f>-k.w0CS-SUM(BC$9:BC59,BC61:BC$163)</f>
        <v>-5.9416101725676231E-5</v>
      </c>
      <c r="BD60" s="185">
        <v>0</v>
      </c>
      <c r="BE60" s="360">
        <v>0</v>
      </c>
      <c r="BF60" s="185">
        <v>0</v>
      </c>
      <c r="BG60" s="185">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90">
        <v>0</v>
      </c>
      <c r="CA60" s="190">
        <v>0</v>
      </c>
      <c r="CB60" s="190">
        <v>0</v>
      </c>
      <c r="CC60" s="190">
        <v>0</v>
      </c>
      <c r="CD60" s="190">
        <v>0</v>
      </c>
      <c r="CE60" s="190">
        <v>0</v>
      </c>
      <c r="CF60" s="190">
        <v>0</v>
      </c>
      <c r="CG60" s="190">
        <v>0</v>
      </c>
      <c r="CH60" s="190">
        <v>0</v>
      </c>
      <c r="CI60" s="190">
        <v>0</v>
      </c>
      <c r="CJ60" s="190">
        <v>0</v>
      </c>
      <c r="CK60" s="190">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2">
      <c r="B61" s="207" t="s">
        <v>3960</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1.5182337394261403E-9</v>
      </c>
      <c r="AX61" s="184">
        <v>0</v>
      </c>
      <c r="AY61" s="185">
        <v>0</v>
      </c>
      <c r="AZ61" s="185">
        <f>k.cwCA.w0CA</f>
        <v>8.9563387522417847E-8</v>
      </c>
      <c r="BA61" s="184">
        <v>0</v>
      </c>
      <c r="BB61" s="370">
        <v>0</v>
      </c>
      <c r="BC61" s="185">
        <f>k.w0CS.w0CA</f>
        <v>5.9327173676198873E-5</v>
      </c>
      <c r="BD61" s="419">
        <f>-k.w0CA-SUM(BD$9:BD60,BD62:BD$163)</f>
        <v>-2.8879128153148804E-9</v>
      </c>
      <c r="BE61" s="360">
        <v>0</v>
      </c>
      <c r="BF61" s="185">
        <v>0</v>
      </c>
      <c r="BG61" s="185">
        <v>0</v>
      </c>
      <c r="BH61" s="185">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90">
        <v>0</v>
      </c>
      <c r="CA61" s="190">
        <v>0</v>
      </c>
      <c r="CB61" s="190">
        <v>0</v>
      </c>
      <c r="CC61" s="190">
        <v>0</v>
      </c>
      <c r="CD61" s="190">
        <v>0</v>
      </c>
      <c r="CE61" s="190">
        <v>0</v>
      </c>
      <c r="CF61" s="190">
        <v>0</v>
      </c>
      <c r="CG61" s="190">
        <v>0</v>
      </c>
      <c r="CH61" s="190">
        <v>0</v>
      </c>
      <c r="CI61" s="190">
        <v>0</v>
      </c>
      <c r="CJ61" s="190">
        <v>0</v>
      </c>
      <c r="CK61" s="190">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2">
      <c r="B62" s="207" t="s">
        <v>3961</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8.6528931279242802E-8</v>
      </c>
      <c r="BD62" s="362">
        <v>0</v>
      </c>
      <c r="BE62" s="419">
        <f>-k.w0CP-SUM(BE$9:BE61,BE63:BE$163)</f>
        <v>-2.9650155436674823E-7</v>
      </c>
      <c r="BF62" s="185">
        <v>0</v>
      </c>
      <c r="BG62" s="185">
        <v>0</v>
      </c>
      <c r="BH62" s="185">
        <v>0</v>
      </c>
      <c r="BI62" s="185">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90">
        <v>0</v>
      </c>
      <c r="CA62" s="190">
        <v>0</v>
      </c>
      <c r="CB62" s="190">
        <v>0</v>
      </c>
      <c r="CC62" s="190">
        <v>0</v>
      </c>
      <c r="CD62" s="190">
        <v>0</v>
      </c>
      <c r="CE62" s="190">
        <v>0</v>
      </c>
      <c r="CF62" s="190">
        <v>0</v>
      </c>
      <c r="CG62" s="190">
        <v>0</v>
      </c>
      <c r="CH62" s="190">
        <v>0</v>
      </c>
      <c r="CI62" s="190">
        <v>0</v>
      </c>
      <c r="CJ62" s="190">
        <v>0</v>
      </c>
      <c r="CK62" s="190">
        <v>0</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2">
      <c r="B63" s="207" t="s">
        <v>3962</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1.0382147736090536E-7</v>
      </c>
      <c r="AV63" s="185">
        <v>0</v>
      </c>
      <c r="AW63" s="185">
        <v>0</v>
      </c>
      <c r="AX63" s="185">
        <v>0</v>
      </c>
      <c r="AY63" s="185">
        <v>0</v>
      </c>
      <c r="AZ63" s="185">
        <v>0</v>
      </c>
      <c r="BA63" s="185">
        <v>0</v>
      </c>
      <c r="BB63" s="185">
        <f>k.w0C.w1C</f>
        <v>2.3972602739726029E-9</v>
      </c>
      <c r="BC63" s="185">
        <v>0</v>
      </c>
      <c r="BD63" s="185">
        <v>0</v>
      </c>
      <c r="BE63" s="185">
        <v>0</v>
      </c>
      <c r="BF63" s="368">
        <f>-k.w1C-SUM(BF9:BF62,BF64:BF163)</f>
        <v>-9.8357846346504354E-8</v>
      </c>
      <c r="BG63" s="379">
        <f>kdis.w1S.w1D</f>
        <v>1E-13</v>
      </c>
      <c r="BH63" s="379">
        <f>kdis.w1A.w1D</f>
        <v>1E-13</v>
      </c>
      <c r="BI63" s="380">
        <f>kdis.w1P.w1D</f>
        <v>1E-13</v>
      </c>
      <c r="BJ63" s="190">
        <v>0</v>
      </c>
      <c r="BK63" s="190">
        <v>0</v>
      </c>
      <c r="BL63" s="190">
        <v>0</v>
      </c>
      <c r="BM63" s="190">
        <v>0</v>
      </c>
      <c r="BN63" s="190">
        <v>0</v>
      </c>
      <c r="BO63" s="190">
        <v>0</v>
      </c>
      <c r="BP63" s="190">
        <v>0</v>
      </c>
      <c r="BQ63" s="190">
        <v>0</v>
      </c>
      <c r="BR63" s="185">
        <f>k.sd1C.w1C</f>
        <v>6.1597068540741586E-8</v>
      </c>
      <c r="BS63" s="185">
        <v>0</v>
      </c>
      <c r="BT63" s="185">
        <v>0</v>
      </c>
      <c r="BU63" s="185">
        <v>0</v>
      </c>
      <c r="BV63" s="184">
        <v>0</v>
      </c>
      <c r="BW63" s="184">
        <v>0</v>
      </c>
      <c r="BX63" s="184">
        <v>0</v>
      </c>
      <c r="BY63" s="184">
        <v>0</v>
      </c>
      <c r="BZ63" s="185">
        <f>k.s1C.w1C</f>
        <v>4.6941418162982244E-9</v>
      </c>
      <c r="CA63" s="185">
        <v>0</v>
      </c>
      <c r="CB63" s="185">
        <v>0</v>
      </c>
      <c r="CC63" s="185">
        <v>0</v>
      </c>
      <c r="CD63" s="185">
        <f>k.s2C.w1C</f>
        <v>2.1360891081434388E-9</v>
      </c>
      <c r="CE63" s="185">
        <v>0</v>
      </c>
      <c r="CF63" s="185">
        <v>0</v>
      </c>
      <c r="CG63" s="185">
        <v>0</v>
      </c>
      <c r="CH63" s="185">
        <f>k.s3C.w1C</f>
        <v>4.6941418162982244E-9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2">
      <c r="B64" s="207" t="s">
        <v>3963</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8.2187371021573177E-8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-6.6143906708103882E-5</v>
      </c>
      <c r="BH64" s="185">
        <v>0</v>
      </c>
      <c r="BI64" s="360">
        <v>0</v>
      </c>
      <c r="BJ64" s="190">
        <v>0</v>
      </c>
      <c r="BK64" s="190">
        <v>0</v>
      </c>
      <c r="BL64" s="190">
        <v>0</v>
      </c>
      <c r="BM64" s="190">
        <v>0</v>
      </c>
      <c r="BN64" s="190">
        <v>0</v>
      </c>
      <c r="BO64" s="190">
        <v>0</v>
      </c>
      <c r="BP64" s="190">
        <v>0</v>
      </c>
      <c r="BQ64" s="190">
        <v>0</v>
      </c>
      <c r="BR64" s="185">
        <v>0</v>
      </c>
      <c r="BS64" s="185">
        <f>k.sd1CS.w1CS</f>
        <v>2.6060956790031634E-8</v>
      </c>
      <c r="BT64" s="185">
        <v>0</v>
      </c>
      <c r="BU64" s="185">
        <v>0</v>
      </c>
      <c r="BV64" s="184">
        <v>0</v>
      </c>
      <c r="BW64" s="184">
        <v>0</v>
      </c>
      <c r="BX64" s="184">
        <v>0</v>
      </c>
      <c r="BY64" s="184">
        <v>0</v>
      </c>
      <c r="BZ64" s="185">
        <v>0</v>
      </c>
      <c r="CA64" s="185">
        <f>k.s1CS.w1CS</f>
        <v>1.4105196107430861E-7</v>
      </c>
      <c r="CB64" s="185">
        <v>0</v>
      </c>
      <c r="CC64" s="185">
        <v>0</v>
      </c>
      <c r="CD64" s="185">
        <v>0</v>
      </c>
      <c r="CE64" s="185">
        <f>k.s2CA.w1CA</f>
        <v>6.4182390753802476E-8</v>
      </c>
      <c r="CF64" s="185">
        <v>0</v>
      </c>
      <c r="CG64" s="184">
        <v>0</v>
      </c>
      <c r="CH64" s="185">
        <v>0</v>
      </c>
      <c r="CI64" s="185">
        <f>k.s3CS.w1CS</f>
        <v>1.4105196107430861E-7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2">
      <c r="B65" s="207" t="s">
        <v>3964</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1.6700571133687542E-8</v>
      </c>
      <c r="AX65" s="184">
        <v>0</v>
      </c>
      <c r="AY65" s="185">
        <v>0</v>
      </c>
      <c r="AZ65" s="185">
        <f>k.cwCA.w1CA</f>
        <v>9.8519726274659594E-7</v>
      </c>
      <c r="BA65" s="184">
        <v>0</v>
      </c>
      <c r="BB65" s="185">
        <v>0</v>
      </c>
      <c r="BC65" s="185">
        <v>0</v>
      </c>
      <c r="BD65" s="185">
        <f>k.w0C.w1C</f>
        <v>2.3972602739726029E-9</v>
      </c>
      <c r="BE65" s="185">
        <v>0</v>
      </c>
      <c r="BF65" s="370">
        <v>0</v>
      </c>
      <c r="BG65" s="185">
        <f>k.w1CS.w1CA</f>
        <v>5.967487523623992E-5</v>
      </c>
      <c r="BH65" s="189">
        <f>-k.w1CA-SUM(BH$9:BH64,BH66:BH$163)</f>
        <v>-8.8996102104518424E-8</v>
      </c>
      <c r="BI65" s="360">
        <v>0</v>
      </c>
      <c r="BJ65" s="185">
        <v>0</v>
      </c>
      <c r="BK65" s="190">
        <v>0</v>
      </c>
      <c r="BL65" s="190">
        <v>0</v>
      </c>
      <c r="BM65" s="190">
        <v>0</v>
      </c>
      <c r="BN65" s="190">
        <v>0</v>
      </c>
      <c r="BO65" s="190">
        <v>0</v>
      </c>
      <c r="BP65" s="190">
        <v>0</v>
      </c>
      <c r="BQ65" s="190">
        <v>0</v>
      </c>
      <c r="BR65" s="185">
        <v>0</v>
      </c>
      <c r="BS65" s="185">
        <v>0</v>
      </c>
      <c r="BT65" s="185">
        <f>k.sd1CA.w1CA</f>
        <v>2.6060956790031634E-8</v>
      </c>
      <c r="BU65" s="185">
        <v>0</v>
      </c>
      <c r="BV65" s="184">
        <v>0</v>
      </c>
      <c r="BW65" s="184">
        <v>0</v>
      </c>
      <c r="BX65" s="184">
        <v>0</v>
      </c>
      <c r="BY65" s="184">
        <v>0</v>
      </c>
      <c r="BZ65" s="185">
        <v>0</v>
      </c>
      <c r="CA65" s="185">
        <v>0</v>
      </c>
      <c r="CB65" s="185">
        <f>k.s1CA.w1CA</f>
        <v>1.4105196107430861E-7</v>
      </c>
      <c r="CC65" s="185">
        <v>0</v>
      </c>
      <c r="CD65" s="185">
        <v>0</v>
      </c>
      <c r="CE65" s="185">
        <v>0</v>
      </c>
      <c r="CF65" s="185">
        <f>k.s2CA.w1CA</f>
        <v>6.4182390753802476E-8</v>
      </c>
      <c r="CG65" s="184">
        <v>0</v>
      </c>
      <c r="CH65" s="185">
        <v>0</v>
      </c>
      <c r="CI65" s="185">
        <v>0</v>
      </c>
      <c r="CJ65" s="185">
        <f>k.s3CA.w1CA</f>
        <v>1.4105196107430861E-7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2">
      <c r="B66" s="207" t="s">
        <v>3965</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6.3963285236658089E-6</v>
      </c>
      <c r="BH66" s="362">
        <v>0</v>
      </c>
      <c r="BI66" s="189">
        <f>-k.w1CP-SUM(BI$9:BI65,BI67:BI$163)</f>
        <v>-9.8761174871522938E-6</v>
      </c>
      <c r="BJ66" s="185">
        <v>0</v>
      </c>
      <c r="BK66" s="185">
        <v>0</v>
      </c>
      <c r="BL66" s="190">
        <v>0</v>
      </c>
      <c r="BM66" s="190">
        <v>0</v>
      </c>
      <c r="BN66" s="190">
        <v>0</v>
      </c>
      <c r="BO66" s="190">
        <v>0</v>
      </c>
      <c r="BP66" s="190">
        <v>0</v>
      </c>
      <c r="BQ66" s="190">
        <v>0</v>
      </c>
      <c r="BR66" s="185">
        <v>0</v>
      </c>
      <c r="BS66" s="185">
        <v>0</v>
      </c>
      <c r="BT66" s="185">
        <v>0</v>
      </c>
      <c r="BU66" s="185">
        <f>k.sd1CP.w1CP</f>
        <v>2.6060956790031634E-8</v>
      </c>
      <c r="BV66" s="184">
        <v>0</v>
      </c>
      <c r="BW66" s="184">
        <v>0</v>
      </c>
      <c r="BX66" s="184">
        <v>0</v>
      </c>
      <c r="BY66" s="184">
        <v>0</v>
      </c>
      <c r="BZ66" s="185">
        <v>0</v>
      </c>
      <c r="CA66" s="185">
        <v>0</v>
      </c>
      <c r="CB66" s="185">
        <v>0</v>
      </c>
      <c r="CC66" s="185">
        <f>k.s1CP.w1CP</f>
        <v>1.9025875190258751E-11</v>
      </c>
      <c r="CD66" s="185">
        <v>0</v>
      </c>
      <c r="CE66" s="185">
        <v>0</v>
      </c>
      <c r="CF66" s="185">
        <v>0</v>
      </c>
      <c r="CG66" s="184">
        <f>k.s2CP.w1CP</f>
        <v>4.7564687975646877E-12</v>
      </c>
      <c r="CH66" s="185">
        <v>0</v>
      </c>
      <c r="CI66" s="185">
        <v>0</v>
      </c>
      <c r="CJ66" s="185">
        <v>0</v>
      </c>
      <c r="CK66" s="184">
        <f>k.s3CP.w1CP</f>
        <v>1.9025875190258751E-11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2">
      <c r="B67" s="207" t="s">
        <v>3966</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4.0217953178548807E-6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-3.1949465040582966E-8</v>
      </c>
      <c r="BK67" s="379">
        <f>kdis.w2S.w2D</f>
        <v>1E-13</v>
      </c>
      <c r="BL67" s="379">
        <f>kdis.w2A.w2D</f>
        <v>1E-13</v>
      </c>
      <c r="BM67" s="380">
        <f>kdis.w2P.w2D</f>
        <v>1E-13</v>
      </c>
      <c r="BN67" s="185">
        <v>0</v>
      </c>
      <c r="BO67" s="185">
        <v>0</v>
      </c>
      <c r="BP67" s="185">
        <v>0</v>
      </c>
      <c r="BQ67" s="185">
        <v>0</v>
      </c>
      <c r="BR67" s="190">
        <v>0</v>
      </c>
      <c r="BS67" s="190">
        <v>0</v>
      </c>
      <c r="BT67" s="190">
        <v>0</v>
      </c>
      <c r="BU67" s="190">
        <v>0</v>
      </c>
      <c r="BV67" s="185">
        <f>k.sd2C.w2C</f>
        <v>4.4267840145771689E-8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2">
      <c r="B68" s="207" t="s">
        <v>3967</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2.3129718174011259E-6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-3.0169935936266656E-3</v>
      </c>
      <c r="BL68" s="185">
        <v>0</v>
      </c>
      <c r="BM68" s="360">
        <v>0</v>
      </c>
      <c r="BN68" s="185">
        <v>0</v>
      </c>
      <c r="BO68" s="185">
        <v>0</v>
      </c>
      <c r="BP68" s="185">
        <v>0</v>
      </c>
      <c r="BQ68" s="185">
        <v>0</v>
      </c>
      <c r="BR68" s="190">
        <v>0</v>
      </c>
      <c r="BS68" s="190">
        <v>0</v>
      </c>
      <c r="BT68" s="190">
        <v>0</v>
      </c>
      <c r="BU68" s="190">
        <v>0</v>
      </c>
      <c r="BV68" s="185">
        <v>0</v>
      </c>
      <c r="BW68" s="185">
        <f>k.sd2CS.w2CS</f>
        <v>8.7317283950617312E-9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2">
      <c r="B69" s="207" t="s">
        <v>3968</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6.0106907466361124E-7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2.967939145446494E-3</v>
      </c>
      <c r="BL69" s="189">
        <f>-k.w2CA-SUM(BL$9:BL68,BL70:BL$163)</f>
        <v>-3.1953323784727217E-8</v>
      </c>
      <c r="BM69" s="360">
        <v>0</v>
      </c>
      <c r="BN69" s="185">
        <v>0</v>
      </c>
      <c r="BO69" s="185">
        <v>0</v>
      </c>
      <c r="BP69" s="185">
        <v>0</v>
      </c>
      <c r="BQ69" s="185">
        <v>0</v>
      </c>
      <c r="BR69" s="185">
        <v>0</v>
      </c>
      <c r="BS69" s="190">
        <v>0</v>
      </c>
      <c r="BT69" s="190">
        <v>0</v>
      </c>
      <c r="BU69" s="190">
        <v>0</v>
      </c>
      <c r="BV69" s="185">
        <v>0</v>
      </c>
      <c r="BW69" s="185">
        <v>0</v>
      </c>
      <c r="BX69" s="185">
        <f>k.sd2CA.w2CA</f>
        <v>8.7317283950617312E-9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2">
      <c r="B70" s="207" t="s">
        <v>3969</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4.9022739253694927E-5</v>
      </c>
      <c r="BL70" s="362">
        <v>0</v>
      </c>
      <c r="BM70" s="189">
        <f>-k.w2CP-SUM(BM$9:BM69,BM71:BM$163)</f>
        <v>-1.7876014456044386E-7</v>
      </c>
      <c r="BN70" s="184">
        <v>0</v>
      </c>
      <c r="BO70" s="184">
        <v>0</v>
      </c>
      <c r="BP70" s="184">
        <v>0</v>
      </c>
      <c r="BQ70" s="184">
        <v>0</v>
      </c>
      <c r="BR70" s="185">
        <v>0</v>
      </c>
      <c r="BS70" s="185">
        <v>0</v>
      </c>
      <c r="BT70" s="190">
        <v>0</v>
      </c>
      <c r="BU70" s="190">
        <v>0</v>
      </c>
      <c r="BV70" s="185">
        <v>0</v>
      </c>
      <c r="BW70" s="185">
        <v>0</v>
      </c>
      <c r="BX70" s="185">
        <v>0</v>
      </c>
      <c r="BY70" s="184">
        <f>k.sd2CP.w2CP</f>
        <v>8.7317283950617312E-9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2">
      <c r="B71" s="207" t="s">
        <v>3970</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7.810391194383157E-11</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1E-13</v>
      </c>
      <c r="BP71" s="379">
        <f>kdis.sd0A.sd0D</f>
        <v>1E-13</v>
      </c>
      <c r="BQ71" s="380">
        <f>kdis.sd0P.sd0D</f>
        <v>1E-13</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2">
      <c r="B72" s="207" t="s">
        <v>3971</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1.7579241516966074E-12</v>
      </c>
      <c r="BD72" s="185">
        <v>0</v>
      </c>
      <c r="BE72" s="185">
        <v>0</v>
      </c>
      <c r="BF72" s="185">
        <v>0</v>
      </c>
      <c r="BG72" s="185">
        <v>0</v>
      </c>
      <c r="BH72" s="185">
        <v>0</v>
      </c>
      <c r="BI72" s="185">
        <v>0</v>
      </c>
      <c r="BJ72" s="185">
        <v>0</v>
      </c>
      <c r="BK72" s="185">
        <v>0</v>
      </c>
      <c r="BL72" s="185">
        <v>0</v>
      </c>
      <c r="BM72" s="184">
        <v>0</v>
      </c>
      <c r="BN72" s="370">
        <v>0</v>
      </c>
      <c r="BO72" s="189">
        <f>-k.sd0CS-SUM(BO$9:BO71,BO73:BO$163)</f>
        <v>-4.3938632187338672E-4</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2">
      <c r="B73" s="207" t="s">
        <v>3972</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4.9055254134227732E-10</v>
      </c>
      <c r="BE73" s="185">
        <v>0</v>
      </c>
      <c r="BF73" s="185">
        <v>0</v>
      </c>
      <c r="BG73" s="185">
        <v>0</v>
      </c>
      <c r="BH73" s="185">
        <v>0</v>
      </c>
      <c r="BI73" s="185">
        <v>0</v>
      </c>
      <c r="BJ73" s="185">
        <v>0</v>
      </c>
      <c r="BK73" s="185">
        <v>0</v>
      </c>
      <c r="BL73" s="185">
        <v>0</v>
      </c>
      <c r="BM73" s="184">
        <v>0</v>
      </c>
      <c r="BN73" s="370">
        <v>0</v>
      </c>
      <c r="BO73" s="185">
        <f>k.sd0CS.sd0CA</f>
        <v>1.1864732307845752E-4</v>
      </c>
      <c r="BP73" s="189">
        <f>-k.sd0CA-SUM(BP$9:BP72,BP74:BP$163)</f>
        <v>-2.8743283951535594E-9</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2">
      <c r="B74" s="207" t="s">
        <v>3973</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2.9410419409277561E-7</v>
      </c>
      <c r="BF74" s="185">
        <v>0</v>
      </c>
      <c r="BG74" s="185">
        <v>0</v>
      </c>
      <c r="BH74" s="185">
        <v>0</v>
      </c>
      <c r="BI74" s="185">
        <v>0</v>
      </c>
      <c r="BJ74" s="185">
        <v>0</v>
      </c>
      <c r="BK74" s="185">
        <v>0</v>
      </c>
      <c r="BL74" s="185">
        <v>0</v>
      </c>
      <c r="BM74" s="184">
        <v>0</v>
      </c>
      <c r="BN74" s="366">
        <v>0</v>
      </c>
      <c r="BO74" s="362">
        <f>k.sd0CS.sd0CP</f>
        <v>3.2073612446653404E-4</v>
      </c>
      <c r="BP74" s="367">
        <v>0</v>
      </c>
      <c r="BQ74" s="189">
        <f>-k.sd0CP-SUM(BQ$9:BQ73,BQ75:BQ$163)</f>
        <v>-2.8743283951535594E-9</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2">
      <c r="B75" s="207" t="s">
        <v>3974</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2.5713595620057794E-8</v>
      </c>
      <c r="BG75" s="185">
        <v>0</v>
      </c>
      <c r="BH75" s="185">
        <v>0</v>
      </c>
      <c r="BI75" s="185">
        <v>0</v>
      </c>
      <c r="BJ75" s="190">
        <v>0</v>
      </c>
      <c r="BK75" s="190">
        <v>0</v>
      </c>
      <c r="BL75" s="185">
        <v>0</v>
      </c>
      <c r="BM75" s="185">
        <v>0</v>
      </c>
      <c r="BN75" s="185">
        <v>0</v>
      </c>
      <c r="BO75" s="185">
        <v>0</v>
      </c>
      <c r="BP75" s="185">
        <v>0</v>
      </c>
      <c r="BQ75" s="185">
        <v>0</v>
      </c>
      <c r="BR75" s="368">
        <f>-k.sd1C-SUM(BR9:BR70,BR76:BR163)</f>
        <v>-6.4471296935899208E-8</v>
      </c>
      <c r="BS75" s="379">
        <f>kdis.sd1S.sd1D</f>
        <v>1E-13</v>
      </c>
      <c r="BT75" s="379">
        <f>kdis.sd1A.sd1D</f>
        <v>1E-13</v>
      </c>
      <c r="BU75" s="379">
        <f>kdis.sd1P.sd1D</f>
        <v>1E-13</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2">
      <c r="B76" s="207" t="s">
        <v>3975</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5.8597471723220234E-11</v>
      </c>
      <c r="BH76" s="185">
        <v>0</v>
      </c>
      <c r="BI76" s="185">
        <v>0</v>
      </c>
      <c r="BJ76" s="190">
        <v>0</v>
      </c>
      <c r="BK76" s="190">
        <v>0</v>
      </c>
      <c r="BL76" s="190">
        <v>0</v>
      </c>
      <c r="BM76" s="185">
        <v>0</v>
      </c>
      <c r="BN76" s="185">
        <v>0</v>
      </c>
      <c r="BO76" s="185">
        <v>0</v>
      </c>
      <c r="BP76" s="185">
        <v>0</v>
      </c>
      <c r="BQ76" s="185">
        <v>0</v>
      </c>
      <c r="BR76" s="381">
        <v>0</v>
      </c>
      <c r="BS76" s="189">
        <f>-k.sd1CS-SUM(BS$9:BS75,BS77:BS$163)</f>
        <v>-4.3941238283017677E-4</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2">
      <c r="B77" s="207" t="s">
        <v>3976</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1.6351751378075909E-8</v>
      </c>
      <c r="BI77" s="185">
        <v>0</v>
      </c>
      <c r="BJ77" s="190">
        <v>0</v>
      </c>
      <c r="BK77" s="190">
        <v>0</v>
      </c>
      <c r="BL77" s="190">
        <v>0</v>
      </c>
      <c r="BM77" s="190">
        <v>0</v>
      </c>
      <c r="BN77" s="190">
        <v>0</v>
      </c>
      <c r="BO77" s="190">
        <v>0</v>
      </c>
      <c r="BP77" s="190">
        <v>0</v>
      </c>
      <c r="BQ77" s="190">
        <v>0</v>
      </c>
      <c r="BR77" s="381">
        <v>0</v>
      </c>
      <c r="BS77" s="185">
        <f>k.sd1CS.sd1CA</f>
        <v>1.1864732307845752E-4</v>
      </c>
      <c r="BT77" s="189">
        <f>-k.sd1CA-SUM(BT$9:BT76,BT78:BT$163)</f>
        <v>-2.8935285185185191E-8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2">
      <c r="B78" s="207" t="s">
        <v>3977</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9.8034731364258519E-6</v>
      </c>
      <c r="BJ78" s="190">
        <v>0</v>
      </c>
      <c r="BK78" s="190">
        <v>0</v>
      </c>
      <c r="BL78" s="190">
        <v>0</v>
      </c>
      <c r="BM78" s="190">
        <v>0</v>
      </c>
      <c r="BN78" s="190">
        <v>0</v>
      </c>
      <c r="BO78" s="190">
        <v>0</v>
      </c>
      <c r="BP78" s="190">
        <v>0</v>
      </c>
      <c r="BQ78" s="190">
        <v>0</v>
      </c>
      <c r="BR78" s="361">
        <v>0</v>
      </c>
      <c r="BS78" s="362">
        <f>k.sd1CS.sd1CP</f>
        <v>3.2073612446653404E-4</v>
      </c>
      <c r="BT78" s="362">
        <v>0</v>
      </c>
      <c r="BU78" s="189">
        <f>-k.sd1CP-SUM(BU$9:BU77,BU79:BU$163)</f>
        <v>-2.8935285185185191E-8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2">
      <c r="B79" s="207" t="s">
        <v>3978</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2.415175265228318E-10</v>
      </c>
      <c r="BK79" s="185">
        <v>0</v>
      </c>
      <c r="BL79" s="185">
        <v>0</v>
      </c>
      <c r="BM79" s="185">
        <v>0</v>
      </c>
      <c r="BN79" s="185">
        <v>0</v>
      </c>
      <c r="BO79" s="185">
        <v>0</v>
      </c>
      <c r="BP79" s="185">
        <v>0</v>
      </c>
      <c r="BQ79" s="185">
        <v>0</v>
      </c>
      <c r="BR79" s="190">
        <v>0</v>
      </c>
      <c r="BS79" s="190">
        <v>0</v>
      </c>
      <c r="BT79" s="185">
        <v>0</v>
      </c>
      <c r="BU79" s="185">
        <v>0</v>
      </c>
      <c r="BV79" s="368">
        <f>-k.sd2C-SUM(BV9:BV78,BV80:BV163)</f>
        <v>-4.5181173479109084E-8</v>
      </c>
      <c r="BW79" s="379">
        <f>kdis.sd2S.sd2D</f>
        <v>1E-13</v>
      </c>
      <c r="BX79" s="379">
        <f>kdis.sd2A.sd2D</f>
        <v>1E-13</v>
      </c>
      <c r="BY79" s="379">
        <f>kdis.sd2P.sd2D</f>
        <v>1E-13</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2">
      <c r="B80" s="207" t="s">
        <v>3979</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8.7896207584830351E-13</v>
      </c>
      <c r="BL80" s="185">
        <v>0</v>
      </c>
      <c r="BM80" s="185">
        <v>0</v>
      </c>
      <c r="BN80" s="185">
        <v>0</v>
      </c>
      <c r="BO80" s="185">
        <v>0</v>
      </c>
      <c r="BP80" s="185">
        <v>0</v>
      </c>
      <c r="BQ80" s="185">
        <v>0</v>
      </c>
      <c r="BR80" s="190">
        <v>0</v>
      </c>
      <c r="BS80" s="190">
        <v>0</v>
      </c>
      <c r="BT80" s="190">
        <v>0</v>
      </c>
      <c r="BU80" s="185">
        <v>0</v>
      </c>
      <c r="BV80" s="381">
        <v>0</v>
      </c>
      <c r="BW80" s="189">
        <f>-k.sd2CS-SUM(BW$9:BW79,BW81:BW$163)</f>
        <v>-2.1969182022411306E-2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2">
      <c r="B81" s="207" t="s">
        <v>3980</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2.4527627067113866E-10</v>
      </c>
      <c r="BM81" s="185">
        <v>0</v>
      </c>
      <c r="BN81" s="185">
        <v>0</v>
      </c>
      <c r="BO81" s="185">
        <v>0</v>
      </c>
      <c r="BP81" s="185">
        <v>0</v>
      </c>
      <c r="BQ81" s="185">
        <v>0</v>
      </c>
      <c r="BR81" s="190">
        <v>0</v>
      </c>
      <c r="BS81" s="190">
        <v>0</v>
      </c>
      <c r="BT81" s="190">
        <v>0</v>
      </c>
      <c r="BU81" s="190">
        <v>0</v>
      </c>
      <c r="BV81" s="381">
        <v>0</v>
      </c>
      <c r="BW81" s="185">
        <f>k.sd2CS.sd2CA</f>
        <v>5.9323661539228767E-3</v>
      </c>
      <c r="BX81" s="189">
        <f>-k.sd2CA-SUM(BX$9:BX80,BX82:BX$163)</f>
        <v>-9.6451617283950656E-9</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2">
      <c r="B82" s="207" t="s">
        <v>3981</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1.4705209704638778E-7</v>
      </c>
      <c r="BN82" s="185">
        <v>0</v>
      </c>
      <c r="BO82" s="185">
        <v>0</v>
      </c>
      <c r="BP82" s="185">
        <v>0</v>
      </c>
      <c r="BQ82" s="185">
        <v>0</v>
      </c>
      <c r="BR82" s="190">
        <v>0</v>
      </c>
      <c r="BS82" s="190">
        <v>0</v>
      </c>
      <c r="BT82" s="190">
        <v>0</v>
      </c>
      <c r="BU82" s="190">
        <v>0</v>
      </c>
      <c r="BV82" s="361">
        <v>0</v>
      </c>
      <c r="BW82" s="362">
        <f>k.sd2CS.sd2CP</f>
        <v>1.6036806223326702E-2</v>
      </c>
      <c r="BX82" s="362">
        <v>0</v>
      </c>
      <c r="BY82" s="189">
        <f>-k.sd2CP-SUM(BY$9:BY81,BY83:BY$163)</f>
        <v>-9.6451617283950656E-9</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2">
      <c r="B83" s="207" t="s">
        <v>3982</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1.0193381413613145E-6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-4.7256077912194086E-9</v>
      </c>
      <c r="CA83" s="379">
        <f>kdis.s1S.s1D</f>
        <v>1E-13</v>
      </c>
      <c r="CB83" s="379">
        <f>kdis.s1A.s1D</f>
        <v>1E-13</v>
      </c>
      <c r="CC83" s="379">
        <f>kdis.s1P.s1D</f>
        <v>1E-13</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2">
      <c r="B84" s="207" t="s">
        <v>3983</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4.3720976657762452E-7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-0.12818893388987199</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2">
      <c r="B85" s="207" t="s">
        <v>3984</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3.5892478762201666E-8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9.9663751385904359E-2</v>
      </c>
      <c r="CB85" s="189">
        <f>-k.s1CA-SUM(CB$9:CB84,CB86:CB$163)</f>
        <v>-1.4200233351680571E-7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2">
      <c r="B86" s="207" t="s">
        <v>3985</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2.8525040501634097E-2</v>
      </c>
      <c r="CB86" s="362">
        <v>0</v>
      </c>
      <c r="CC86" s="189">
        <f>-k.s1CP-SUM(CC$9:CC85,CC87:CC$163)</f>
        <v>-1.9125875190258752E-11</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2">
      <c r="B87" s="207" t="s">
        <v>3986</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2.2651958696918096E-6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-2.1504078332580645E-9</v>
      </c>
      <c r="CE87" s="379">
        <f>kdis.s2S.s2D</f>
        <v>1E-13</v>
      </c>
      <c r="CF87" s="379">
        <f>kdis.s2A.s2D</f>
        <v>1E-13</v>
      </c>
      <c r="CG87" s="379">
        <f>kdis.s2P.s2D</f>
        <v>1E-13</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2">
      <c r="B88" s="207" t="s">
        <v>3987</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9.7157725906138779E-7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-0.12818885650245473</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2">
      <c r="B89" s="207" t="s">
        <v>3988</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7.9761063916003689E-8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9.9663751385904359E-2</v>
      </c>
      <c r="CF89" s="189">
        <f>-k.s2CA-SUM(CF$9:CF88,CF90:CF$163)</f>
        <v>-6.4614916252141538E-8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2">
      <c r="B90" s="207" t="s">
        <v>3989</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2.8525040501634097E-2</v>
      </c>
      <c r="CF90" s="362">
        <v>0</v>
      </c>
      <c r="CG90" s="189">
        <f>-k.s2CP-SUM(CG$9:CG89,CG91:CG$163)</f>
        <v>-4.8564687975646877E-12</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2">
      <c r="B91" s="207" t="s">
        <v>3990</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3.775326449486349E-7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-4.7256077912194086E-9</v>
      </c>
      <c r="CI91" s="379">
        <f>kdis.s3S.s3D</f>
        <v>1E-13</v>
      </c>
      <c r="CJ91" s="379">
        <f>kdis.s3A.s3D</f>
        <v>1E-13</v>
      </c>
      <c r="CK91" s="379">
        <f>kdis.s3P.s3D</f>
        <v>1E-13</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2">
      <c r="B92" s="207" t="s">
        <v>3991</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1.6192954317689794E-7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-0.12818893388987199</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2">
      <c r="B93" s="207" t="s">
        <v>3992</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1.3293510652667279E-8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9.9663751385904359E-2</v>
      </c>
      <c r="CJ93" s="189">
        <f>-k.s3CA-SUM(CJ$9:CJ92,CJ94:CJ$163)</f>
        <v>-1.4200233351680571E-7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2">
      <c r="B94" s="207" t="s">
        <v>3993</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2.8525040501634097E-2</v>
      </c>
      <c r="CJ94" s="362">
        <v>0</v>
      </c>
      <c r="CK94" s="189">
        <f>-k.s3CP-SUM(CK$9:CK93,CK95:CK$163)</f>
        <v>-1.9125875190258752E-11</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2">
      <c r="B95" s="207" t="s">
        <v>3994</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-9.0734065584471297E-6</v>
      </c>
      <c r="CM95" s="379">
        <v>0</v>
      </c>
      <c r="CN95" s="379">
        <v>0</v>
      </c>
      <c r="CO95" s="380">
        <v>0</v>
      </c>
      <c r="CP95" s="185">
        <v>0</v>
      </c>
      <c r="CQ95" s="185">
        <v>0</v>
      </c>
      <c r="CR95" s="185">
        <v>0</v>
      </c>
      <c r="CS95" s="185">
        <f>k.w2M.aM</f>
        <v>7.356097733945245E-28</v>
      </c>
      <c r="CT95" s="185">
        <v>0</v>
      </c>
      <c r="CU95" s="185">
        <v>0</v>
      </c>
      <c r="CV95" s="185">
        <v>0</v>
      </c>
      <c r="CW95" s="190">
        <v>0</v>
      </c>
      <c r="CX95" s="190">
        <v>0</v>
      </c>
      <c r="CY95" s="190">
        <v>0</v>
      </c>
      <c r="CZ95" s="190">
        <v>0</v>
      </c>
      <c r="DA95" s="190">
        <v>0</v>
      </c>
      <c r="DB95" s="190">
        <v>0</v>
      </c>
      <c r="DC95" s="190">
        <v>0</v>
      </c>
      <c r="DD95" s="190">
        <v>0</v>
      </c>
      <c r="DE95" s="185">
        <f>k.sM.aM</f>
        <v>9.9730623667322376E-27</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2">
      <c r="B96" s="207" t="s">
        <v>3995</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-5.8466589360397269E-5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2">
      <c r="B97" s="207" t="s">
        <v>3996</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5.2255041078331695E-5</v>
      </c>
      <c r="CN97" s="189">
        <f>-k.aMA-SUM(CN$9:CN96,CN98:CN$163)</f>
        <v>-2.059703810741305E-6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2">
      <c r="B98" s="207" t="s">
        <v>3997</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1.6244683507574773E-7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2">
      <c r="B99" s="207" t="s">
        <v>3998</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2">
      <c r="B100" s="207" t="s">
        <v>3999</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2">
      <c r="B101" s="207" t="s">
        <v>4000</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2">
      <c r="B102" s="207" t="s">
        <v>4001</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3.9542347198872658E-6</v>
      </c>
      <c r="CM102" s="185">
        <v>0</v>
      </c>
      <c r="CN102" s="185">
        <v>0</v>
      </c>
      <c r="CO102" s="185">
        <v>0</v>
      </c>
      <c r="CP102" s="185">
        <v>0</v>
      </c>
      <c r="CQ102" s="185">
        <v>0</v>
      </c>
      <c r="CR102" s="185">
        <v>0</v>
      </c>
      <c r="CS102" s="368">
        <f>-k.w2M-SUM(CS9:CS98,CS103:CS163)</f>
        <v>-2.9385441060537107E-7</v>
      </c>
      <c r="CT102" s="379">
        <f>kdis.w2S.w2D</f>
        <v>1E-13</v>
      </c>
      <c r="CU102" s="379">
        <f>kdis.w2A.w2D</f>
        <v>1E-13</v>
      </c>
      <c r="CV102" s="379">
        <f>kdis.w2P.w2D</f>
        <v>1E-13</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2">
      <c r="B103" s="207" t="s">
        <v>4002</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2.2420985504462281E-6</v>
      </c>
      <c r="CN103" s="185">
        <v>0</v>
      </c>
      <c r="CO103" s="185">
        <v>0</v>
      </c>
      <c r="CP103" s="185">
        <f>k.cwMS.w2MS</f>
        <v>3.699476841282254E-5</v>
      </c>
      <c r="CQ103" s="185">
        <v>0</v>
      </c>
      <c r="CR103" s="185">
        <v>0</v>
      </c>
      <c r="CS103" s="381">
        <v>0</v>
      </c>
      <c r="CT103" s="189">
        <f>-k.w2MS-SUM(CT$9:CT102,CT104:CT$163)</f>
        <v>-5.985194886415213E-3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2">
      <c r="B104" s="207" t="s">
        <v>4003</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5.8265132799394667E-7</v>
      </c>
      <c r="CO104" s="185">
        <v>0</v>
      </c>
      <c r="CP104" s="185">
        <v>0</v>
      </c>
      <c r="CQ104" s="185">
        <f>k.cwMA.w2MA</f>
        <v>3.699476841282254E-5</v>
      </c>
      <c r="CR104" s="185">
        <v>0</v>
      </c>
      <c r="CS104" s="381">
        <v>0</v>
      </c>
      <c r="CT104" s="185">
        <f>k.w2MS.w2MA</f>
        <v>5.935878290892988E-3</v>
      </c>
      <c r="CU104" s="189">
        <f>-k.w2MA-SUM(CU$9:CU103,CU105:CU$163)</f>
        <v>-2.9434506314670925E-7</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2">
      <c r="B105" s="207" t="s">
        <v>4004</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4.9022739253694927E-5</v>
      </c>
      <c r="CU105" s="362">
        <v>0</v>
      </c>
      <c r="CV105" s="189">
        <f>-k.w2MP-SUM(CV$9:CV104,CV106:CV$163)</f>
        <v>-5.8795870469814249E-7</v>
      </c>
      <c r="CW105" s="185">
        <v>0</v>
      </c>
      <c r="CX105" s="185">
        <v>0</v>
      </c>
      <c r="CY105" s="184">
        <v>0</v>
      </c>
      <c r="CZ105" s="184">
        <f>k.w3M.w2M</f>
        <v>8.3037289171706622E-9</v>
      </c>
      <c r="DA105" s="32">
        <v>0</v>
      </c>
      <c r="DB105" s="32">
        <v>0</v>
      </c>
      <c r="DC105" s="32">
        <v>0</v>
      </c>
      <c r="DD105" s="32">
        <v>0</v>
      </c>
      <c r="DE105" s="185">
        <v>0</v>
      </c>
      <c r="DF105" s="185">
        <v>0</v>
      </c>
      <c r="DG105" s="185">
        <v>0</v>
      </c>
      <c r="DH105" s="185">
        <f>k.sMP.w2MP</f>
        <v>1.9025875190258751E-11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2">
      <c r="B106" s="207" t="s">
        <v>4005</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-9.6089686548565554E-9</v>
      </c>
      <c r="CX106" s="379">
        <f>kdis.w3S.w3D</f>
        <v>1E-13</v>
      </c>
      <c r="CY106" s="379">
        <f>kdis.w3A.w3D</f>
        <v>1E-13</v>
      </c>
      <c r="CZ106" s="379">
        <f>kdis.w3P.w3D</f>
        <v>1E-13</v>
      </c>
      <c r="DA106" s="184">
        <f>k.sdM.w3M</f>
        <v>4.517818954479037E-8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2">
      <c r="B107" s="207" t="s">
        <v>4006</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2.4911362543927156E-7</v>
      </c>
      <c r="CU107" s="184">
        <v>0</v>
      </c>
      <c r="CV107" s="185">
        <v>0</v>
      </c>
      <c r="CW107" s="381">
        <v>0</v>
      </c>
      <c r="CX107" s="189">
        <f>-k.w3MS-SUM(CX$9:CX106,CX108:CX$163)</f>
        <v>-5.9849106231727664E-3</v>
      </c>
      <c r="CY107" s="185">
        <v>0</v>
      </c>
      <c r="CZ107" s="360">
        <v>0</v>
      </c>
      <c r="DA107" s="184">
        <v>0</v>
      </c>
      <c r="DB107" s="184">
        <f>k.sdMS.w3MS</f>
        <v>9.6420777940804072E-9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2">
      <c r="B108" s="207" t="s">
        <v>4007</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2.4960242005646211E-7</v>
      </c>
      <c r="CV108" s="184">
        <v>0</v>
      </c>
      <c r="CW108" s="381">
        <v>0</v>
      </c>
      <c r="CX108" s="185">
        <f>k.w3MS.w3MA</f>
        <v>5.935878290892988E-3</v>
      </c>
      <c r="CY108" s="189">
        <f>-k.w3MA-SUM(CY$9:CY107,CY109:CY$163)</f>
        <v>-9.6093192377957196E-9</v>
      </c>
      <c r="CZ108" s="360">
        <v>0</v>
      </c>
      <c r="DA108" s="185">
        <v>0</v>
      </c>
      <c r="DB108" s="184">
        <v>0</v>
      </c>
      <c r="DC108" s="184">
        <f>k.sdMA.w3MA</f>
        <v>9.6420777940804072E-9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2">
      <c r="B109" s="207" t="s">
        <v>4008</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5.432160616078954E-7</v>
      </c>
      <c r="CW109" s="361">
        <v>0</v>
      </c>
      <c r="CX109" s="362">
        <f>k.w3MS.w3MP</f>
        <v>4.9022739253694927E-5</v>
      </c>
      <c r="CY109" s="362">
        <v>0</v>
      </c>
      <c r="CZ109" s="189">
        <f>-k.w3MP-SUM(CZ$9:CZ108,CZ110:CZ$163)</f>
        <v>-1.9396440622843495E-8</v>
      </c>
      <c r="DA109" s="185">
        <v>0</v>
      </c>
      <c r="DB109" s="185">
        <v>0</v>
      </c>
      <c r="DC109" s="184">
        <v>0</v>
      </c>
      <c r="DD109" s="184">
        <f>k.sdMP.w3MP</f>
        <v>9.6420777940804072E-9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2">
      <c r="B110" s="207" t="s">
        <v>4009</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1.6101168434855456E-11</v>
      </c>
      <c r="CX110" s="190">
        <v>0</v>
      </c>
      <c r="CY110" s="185">
        <v>0</v>
      </c>
      <c r="CZ110" s="185">
        <v>0</v>
      </c>
      <c r="DA110" s="368">
        <f>-k.sdM-SUM(DA9:DA109,DA111:DA163)</f>
        <v>-4.5181173479109084E-8</v>
      </c>
      <c r="DB110" s="379">
        <f>kdis.sd2S.sd2D</f>
        <v>1E-13</v>
      </c>
      <c r="DC110" s="379">
        <f>kdis.sd2A.sd2D</f>
        <v>1E-13</v>
      </c>
      <c r="DD110" s="379">
        <f>kdis.sd2P.sd2D</f>
        <v>1E-13</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2">
      <c r="B111" s="207" t="s">
        <v>4010</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5.8597471723220236E-14</v>
      </c>
      <c r="CY111" s="190">
        <v>0</v>
      </c>
      <c r="CZ111" s="185">
        <v>0</v>
      </c>
      <c r="DA111" s="381">
        <v>0</v>
      </c>
      <c r="DB111" s="189">
        <f>-k.sdMS-SUM(DB$9:DB110,DB112:DB$163)</f>
        <v>-2.1969182022411309E-2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2">
      <c r="B112" s="207" t="s">
        <v>4011</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1.6351751378075911E-11</v>
      </c>
      <c r="CZ112" s="190">
        <v>0</v>
      </c>
      <c r="DA112" s="381">
        <v>0</v>
      </c>
      <c r="DB112" s="185">
        <f>k.sdMS.sdMA</f>
        <v>5.9323661539228767E-3</v>
      </c>
      <c r="DC112" s="189">
        <f>-k.sdMA-SUM(DC$9:DC111,DC113:DC$163)</f>
        <v>-9.6451617283950639E-9</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2">
      <c r="B113" s="207" t="s">
        <v>4012</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9.8034731364258516E-9</v>
      </c>
      <c r="DA113" s="361">
        <v>0</v>
      </c>
      <c r="DB113" s="362">
        <f>k.sdMS.sdMP</f>
        <v>1.6036806223326702E-2</v>
      </c>
      <c r="DC113" s="362">
        <v>0</v>
      </c>
      <c r="DD113" s="189">
        <f>-k.sdMP-SUM(DD$9:DD112,DD114:DD$163)</f>
        <v>-9.6451617283950639E-9</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2">
      <c r="B114" s="207" t="s">
        <v>4013</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3.9542347198861104E-6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-4.7256077912194086E-9</v>
      </c>
      <c r="DF114" s="379">
        <f>kdis.s1S.s1D</f>
        <v>1E-13</v>
      </c>
      <c r="DG114" s="379">
        <f>kdis.s1A.s1D</f>
        <v>1E-13</v>
      </c>
      <c r="DH114" s="380">
        <f>kdis.s1P.s1D</f>
        <v>1E-13</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2">
      <c r="B115" s="207" t="s">
        <v>4014</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1.672152571139643E-6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-0.12818893388987199</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2">
      <c r="B116" s="207" t="s">
        <v>4015</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1.3727438230988073E-7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9.9663751385904359E-2</v>
      </c>
      <c r="DG116" s="189">
        <f>-k.sMA-SUM(DG$9:DG115,DG117:DG$163)</f>
        <v>-1.4200233351680571E-7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2">
      <c r="B117" s="207" t="s">
        <v>4016</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2.8525040501634097E-2</v>
      </c>
      <c r="DG117" s="362">
        <v>0</v>
      </c>
      <c r="DH117" s="189">
        <f>-k.sMP-SUM(DH$9:DH116,DH118:DH$163)</f>
        <v>-1.9125875190258752E-11</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2">
      <c r="B118" s="207" t="s">
        <v>4017</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-8.7095929423604799E-6</v>
      </c>
      <c r="DJ118" s="379">
        <v>0</v>
      </c>
      <c r="DK118" s="379">
        <v>0</v>
      </c>
      <c r="DL118" s="380">
        <v>0</v>
      </c>
      <c r="DM118" s="185">
        <v>0</v>
      </c>
      <c r="DN118" s="185">
        <v>0</v>
      </c>
      <c r="DO118" s="185">
        <v>0</v>
      </c>
      <c r="DP118" s="185">
        <f>k.w2A.aA</f>
        <v>1.6382953303749381E-33</v>
      </c>
      <c r="DQ118" s="185">
        <v>0</v>
      </c>
      <c r="DR118" s="185">
        <v>0</v>
      </c>
      <c r="DS118" s="185">
        <v>0</v>
      </c>
      <c r="DT118" s="190">
        <v>0</v>
      </c>
      <c r="DU118" s="190">
        <v>0</v>
      </c>
      <c r="DV118" s="190">
        <v>0</v>
      </c>
      <c r="DW118" s="190">
        <v>0</v>
      </c>
      <c r="DX118" s="190">
        <v>0</v>
      </c>
      <c r="DY118" s="190">
        <v>0</v>
      </c>
      <c r="DZ118" s="190">
        <v>0</v>
      </c>
      <c r="EA118" s="190">
        <v>0</v>
      </c>
      <c r="EB118" s="185">
        <f>k.sA.aA</f>
        <v>2.2211283594555704E-32</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2">
      <c r="B119" s="207" t="s">
        <v>4018</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-5.6087201831715613E-5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2">
      <c r="B120" s="207" t="s">
        <v>4019</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5.0675868920732721E-5</v>
      </c>
      <c r="DK120" s="189">
        <f>-k.aAA-SUM(DK$9:DK119,DK121:DK$163)</f>
        <v>-1.581549042697938E-6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2">
      <c r="B121" s="207" t="s">
        <v>4020</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1.5106081917716844E-7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2">
      <c r="B122" s="207" t="s">
        <v>4021</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2">
      <c r="B123" s="207" t="s">
        <v>4022</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2">
      <c r="B124" s="207" t="s">
        <v>4023</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2">
      <c r="B125" s="207" t="s">
        <v>4024</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4.8101308585403789E-6</v>
      </c>
      <c r="DJ125" s="185">
        <v>0</v>
      </c>
      <c r="DK125" s="185">
        <v>0</v>
      </c>
      <c r="DL125" s="185">
        <v>0</v>
      </c>
      <c r="DM125" s="185">
        <v>0</v>
      </c>
      <c r="DN125" s="185">
        <v>0</v>
      </c>
      <c r="DO125" s="185">
        <v>0</v>
      </c>
      <c r="DP125" s="368">
        <f>-k.w2A-SUM(DP9:DP121,DP126:DP163)</f>
        <v>-2.6926123984947601E-7</v>
      </c>
      <c r="DQ125" s="379">
        <f>kdis.w2S.w2D</f>
        <v>1E-13</v>
      </c>
      <c r="DR125" s="379">
        <f>kdis.w2A.w2D</f>
        <v>1E-13</v>
      </c>
      <c r="DS125" s="379">
        <f>kdis.w2P.w2D</f>
        <v>1E-13</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2">
      <c r="B126" s="207" t="s">
        <v>4025</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2.6476926757099736E-6</v>
      </c>
      <c r="DK126" s="185">
        <v>0</v>
      </c>
      <c r="DL126" s="185">
        <v>0</v>
      </c>
      <c r="DM126" s="185">
        <f>k.cwAS.w2AS</f>
        <v>1.5854900748352518E-5</v>
      </c>
      <c r="DN126" s="185">
        <v>0</v>
      </c>
      <c r="DO126" s="185">
        <v>0</v>
      </c>
      <c r="DP126" s="381">
        <v>0</v>
      </c>
      <c r="DQ126" s="189">
        <f>-k.w2AS-SUM(DQ$9:DQ125,DQ127:DQ$163)</f>
        <v>-5.5251019937640096E-3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2">
      <c r="B127" s="207" t="s">
        <v>4026</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6.7586469329796332E-7</v>
      </c>
      <c r="DL127" s="185">
        <v>0</v>
      </c>
      <c r="DM127" s="185">
        <v>0</v>
      </c>
      <c r="DN127" s="185">
        <f>k.cwAA.w2AA</f>
        <v>1.5854900748352518E-5</v>
      </c>
      <c r="DO127" s="185">
        <v>0</v>
      </c>
      <c r="DP127" s="381">
        <v>0</v>
      </c>
      <c r="DQ127" s="185">
        <f>k.w2AS.w2AA</f>
        <v>5.4779613967207092E-3</v>
      </c>
      <c r="DR127" s="189">
        <f>-k.w2AA-SUM(DR$9:DR126,DR128:DR$163)</f>
        <v>-2.6975189239081737E-7</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2">
      <c r="B128" s="207" t="s">
        <v>4027</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4.6871333945527385E-5</v>
      </c>
      <c r="DR128" s="362">
        <v>0</v>
      </c>
      <c r="DS128" s="189">
        <f>-k.w2AP-SUM(DS$9:DS127,DS129:DS$163)</f>
        <v>-5.6336553394225077E-7</v>
      </c>
      <c r="DT128" s="185">
        <v>0</v>
      </c>
      <c r="DU128" s="185">
        <v>0</v>
      </c>
      <c r="DV128" s="184">
        <v>0</v>
      </c>
      <c r="DW128" s="185">
        <f>k.w3A.w2A</f>
        <v>8.9753746616491718E-9</v>
      </c>
      <c r="DX128" s="32">
        <v>0</v>
      </c>
      <c r="DY128" s="32">
        <v>0</v>
      </c>
      <c r="DZ128" s="32">
        <v>0</v>
      </c>
      <c r="EA128" s="32">
        <v>0</v>
      </c>
      <c r="EB128" s="185">
        <v>0</v>
      </c>
      <c r="EC128" s="185">
        <v>0</v>
      </c>
      <c r="ED128" s="185">
        <v>0</v>
      </c>
      <c r="EE128" s="185">
        <f>k.sAP.w2AP</f>
        <v>1.9025875190258751E-11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2">
      <c r="B129" s="207" t="s">
        <v>4028</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-1.09522601438104E-8</v>
      </c>
      <c r="DU129" s="379">
        <f>kdis.w3S.w3D</f>
        <v>1E-13</v>
      </c>
      <c r="DV129" s="379">
        <f>kdis.w3A.w3D</f>
        <v>1E-13</v>
      </c>
      <c r="DW129" s="379">
        <f>kdis.w3P.w3D</f>
        <v>1E-13</v>
      </c>
      <c r="DX129" s="184">
        <f>k.sdA.w3A</f>
        <v>4.5179059492972771E-8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2">
      <c r="B130" s="207" t="s">
        <v>4029</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2.6926299777362683E-7</v>
      </c>
      <c r="DR130" s="184">
        <v>0</v>
      </c>
      <c r="DS130" s="185">
        <v>0</v>
      </c>
      <c r="DT130" s="381">
        <v>0</v>
      </c>
      <c r="DU130" s="189">
        <f>-k.w3AS-SUM(DU$9:DU129,DU131:DU$163)</f>
        <v>-5.5248436669838091E-3</v>
      </c>
      <c r="DV130" s="185">
        <v>0</v>
      </c>
      <c r="DW130" s="360">
        <v>0</v>
      </c>
      <c r="DX130" s="184">
        <v>0</v>
      </c>
      <c r="DY130" s="185">
        <f>k.sdAS.w3AS</f>
        <v>9.6429477422628121E-9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2">
      <c r="B131" s="207" t="s">
        <v>4030</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2.6975179239081738E-7</v>
      </c>
      <c r="DS131" s="185">
        <v>0</v>
      </c>
      <c r="DT131" s="381">
        <v>0</v>
      </c>
      <c r="DU131" s="185">
        <f>k.w3AS.w3AA</f>
        <v>5.4779613967207092E-3</v>
      </c>
      <c r="DV131" s="189">
        <f>-k.w3AA-SUM(DV$9:DV130,DV132:DV$163)</f>
        <v>-1.0952610726752739E-8</v>
      </c>
      <c r="DW131" s="360">
        <v>0</v>
      </c>
      <c r="DX131" s="185">
        <v>0</v>
      </c>
      <c r="DY131" s="184">
        <v>0</v>
      </c>
      <c r="DZ131" s="185">
        <f>k.sdAA.w3AA</f>
        <v>9.6429477422628121E-9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2">
      <c r="B132" s="207" t="s">
        <v>4031</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5.6336543394225072E-7</v>
      </c>
      <c r="DT132" s="361">
        <v>0</v>
      </c>
      <c r="DU132" s="362">
        <f>k.w3AS.w3AP</f>
        <v>4.6871333945527385E-5</v>
      </c>
      <c r="DV132" s="362">
        <v>0</v>
      </c>
      <c r="DW132" s="189">
        <f>-k.w3AP-SUM(DW$9:DW131,DW133:DW$163)</f>
        <v>-2.0739732111800514E-8</v>
      </c>
      <c r="DX132" s="185">
        <v>0</v>
      </c>
      <c r="DY132" s="185">
        <v>0</v>
      </c>
      <c r="DZ132" s="184">
        <v>0</v>
      </c>
      <c r="EA132" s="185">
        <f>k.sdAP.w3AP</f>
        <v>9.6429477422628121E-9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2">
      <c r="B133" s="207" t="s">
        <v>4032</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1.6101168434855456E-11</v>
      </c>
      <c r="DU133" s="184">
        <v>0</v>
      </c>
      <c r="DV133" s="185">
        <v>0</v>
      </c>
      <c r="DW133" s="185">
        <v>0</v>
      </c>
      <c r="DX133" s="368">
        <f>-k.sdA-SUM(DX9:DX132,DX134:DX163)</f>
        <v>-4.5181173479105908E-8</v>
      </c>
      <c r="DY133" s="379">
        <f>kdis.sd2S.sd2D</f>
        <v>1E-13</v>
      </c>
      <c r="DZ133" s="379">
        <f>kdis.sd2A.sd2D</f>
        <v>1E-13</v>
      </c>
      <c r="EA133" s="379">
        <f>kdis.sd2P.sd2D</f>
        <v>1E-13</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2">
      <c r="B134" s="207" t="s">
        <v>4033</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5.8597471723220236E-14</v>
      </c>
      <c r="DV134" s="185">
        <v>0</v>
      </c>
      <c r="DW134" s="185">
        <v>0</v>
      </c>
      <c r="DX134" s="381">
        <v>0</v>
      </c>
      <c r="DY134" s="189">
        <f>-k.sdAS-SUM(DY$9:DY133,DY135:DY$163)</f>
        <v>-2.1579691618526166E-2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2">
      <c r="B135" s="207" t="s">
        <v>4034</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1.6351751378075908E-11</v>
      </c>
      <c r="DW135" s="185">
        <v>0</v>
      </c>
      <c r="DX135" s="381">
        <v>0</v>
      </c>
      <c r="DY135" s="185">
        <f>k.sdAS.sdAA</f>
        <v>5.4744492597505979E-3</v>
      </c>
      <c r="DZ135" s="189">
        <f>-k.sdAA-SUM(DZ$9:DZ134,DZ136:DZ$163)</f>
        <v>-9.6451617283950639E-9</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2">
      <c r="B136" s="207" t="s">
        <v>4035</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9.8034731364258516E-9</v>
      </c>
      <c r="DX136" s="361">
        <v>0</v>
      </c>
      <c r="DY136" s="362">
        <f>k.sdAS.sdAP</f>
        <v>1.6105232713613839E-2</v>
      </c>
      <c r="DZ136" s="362">
        <v>0</v>
      </c>
      <c r="EA136" s="189">
        <f>-k.sdAP-SUM(EA$9:EA135,EA137:EA$163)</f>
        <v>-9.6451617283950639E-9</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2">
      <c r="B137" s="207" t="s">
        <v>4036</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3.2067539056926615E-6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-1.7032594733956555E-9</v>
      </c>
      <c r="EC137" s="379">
        <f>kdis.s1S.s1D</f>
        <v>1E-13</v>
      </c>
      <c r="ED137" s="379">
        <f>kdis.s1A.s1D</f>
        <v>1E-13</v>
      </c>
      <c r="EE137" s="380">
        <f>kdis.s1P.s1D</f>
        <v>1E-13</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2">
      <c r="B138" s="207" t="s">
        <v>4037</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1.2845431413683556E-6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-0.120617550584782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2">
      <c r="B139" s="207" t="s">
        <v>4038</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1.0391387871624498E-7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9.1970747563810074E-2</v>
      </c>
      <c r="ED139" s="189">
        <f>-k.sAA-SUM(ED$9:ED138,ED140:ED$163)</f>
        <v>-5.0727414318624362E-8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2">
      <c r="B140" s="207" t="s">
        <v>4039</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2.8646752293557606E-2</v>
      </c>
      <c r="ED140" s="362">
        <v>0</v>
      </c>
      <c r="EE140" s="189">
        <f>-k.sAP-SUM(EE$9:EE139,EE141:EE$163)</f>
        <v>-1.9125875190258752E-11</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2">
      <c r="B141" s="207" t="s">
        <v>4040</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-8.4865137830034768E-6</v>
      </c>
      <c r="EG141" s="379">
        <v>0</v>
      </c>
      <c r="EH141" s="379">
        <v>0</v>
      </c>
      <c r="EI141" s="380">
        <v>0</v>
      </c>
      <c r="EJ141" s="185">
        <v>0</v>
      </c>
      <c r="EK141" s="185">
        <v>0</v>
      </c>
      <c r="EL141" s="185">
        <v>0</v>
      </c>
      <c r="EM141" s="185">
        <f>k.w2T.aT</f>
        <v>6.5037194593889846E-25</v>
      </c>
      <c r="EN141" s="185">
        <v>0</v>
      </c>
      <c r="EO141" s="185">
        <v>0</v>
      </c>
      <c r="EP141" s="185">
        <v>0</v>
      </c>
      <c r="EQ141" s="190">
        <v>0</v>
      </c>
      <c r="ER141" s="190">
        <v>0</v>
      </c>
      <c r="ES141" s="190">
        <v>0</v>
      </c>
      <c r="ET141" s="190">
        <v>0</v>
      </c>
      <c r="EU141" s="190">
        <v>0</v>
      </c>
      <c r="EV141" s="190">
        <v>0</v>
      </c>
      <c r="EW141" s="190">
        <v>0</v>
      </c>
      <c r="EX141" s="190">
        <v>0</v>
      </c>
      <c r="EY141" s="185">
        <f>k.sT.aT</f>
        <v>8.8143971671365395E-24</v>
      </c>
      <c r="EZ141" s="185">
        <v>0</v>
      </c>
      <c r="FA141" s="185">
        <v>0</v>
      </c>
      <c r="FB141" s="192">
        <v>0</v>
      </c>
    </row>
    <row r="142" spans="2:158" ht="12.75" customHeight="1" x14ac:dyDescent="0.2">
      <c r="B142" s="207" t="s">
        <v>4041</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-5.9133376416213592E-5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2">
      <c r="B143" s="207" t="s">
        <v>4042</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5.3121642605596714E-5</v>
      </c>
      <c r="EH143" s="189">
        <f>-k.aTA-SUM(EH$9:EH142,EH144:EH$163)</f>
        <v>-1.5485102496821469E-6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2">
      <c r="B144" s="207" t="s">
        <v>4043</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1.6909355154392758E-7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2">
      <c r="B145" s="207" t="s">
        <v>4044</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2">
      <c r="B146" s="207" t="s">
        <v>4045</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2">
      <c r="B147" s="207" t="s">
        <v>4046</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2">
      <c r="B148" s="207" t="s">
        <v>4047</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5.6604965916514042E-6</v>
      </c>
      <c r="EG148" s="185">
        <v>0</v>
      </c>
      <c r="EH148" s="185">
        <v>0</v>
      </c>
      <c r="EI148" s="185">
        <v>0</v>
      </c>
      <c r="EJ148" s="185">
        <v>0</v>
      </c>
      <c r="EK148" s="185">
        <v>0</v>
      </c>
      <c r="EL148" s="185">
        <v>0</v>
      </c>
      <c r="EM148" s="368">
        <f>-k.w2T-SUM(EM9:EM144,EM149:EM163)</f>
        <v>-2.4405115581587169E-7</v>
      </c>
      <c r="EN148" s="379">
        <f>kdis.w2S.w2D</f>
        <v>1E-13</v>
      </c>
      <c r="EO148" s="379">
        <f>kdis.w2A.w2D</f>
        <v>1E-13</v>
      </c>
      <c r="EP148" s="379">
        <f>kdis.w2P.w2D</f>
        <v>1E-13</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2">
      <c r="B149" s="207" t="s">
        <v>4048</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3.1664993981010153E-6</v>
      </c>
      <c r="EH149" s="185">
        <v>0</v>
      </c>
      <c r="EI149" s="185">
        <v>0</v>
      </c>
      <c r="EJ149" s="185">
        <f>k.cwTS.w2TS</f>
        <v>9.6186397873338595E-5</v>
      </c>
      <c r="EK149" s="185">
        <v>0</v>
      </c>
      <c r="EL149" s="185">
        <v>0</v>
      </c>
      <c r="EM149" s="381">
        <v>0</v>
      </c>
      <c r="EN149" s="189">
        <f>-k.w2TS-SUM(EN$9:EN148,EN150:EN$163)</f>
        <v>-6.257003623762504E-3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2">
      <c r="B150" s="207" t="s">
        <v>4049</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8.3114317201534345E-7</v>
      </c>
      <c r="EI150" s="185">
        <v>0</v>
      </c>
      <c r="EJ150" s="185">
        <v>0</v>
      </c>
      <c r="EK150" s="185">
        <f>k.cwTA.w2TA</f>
        <v>9.6186397873338595E-5</v>
      </c>
      <c r="EL150" s="185">
        <v>0</v>
      </c>
      <c r="EM150" s="381">
        <v>0</v>
      </c>
      <c r="EN150" s="185">
        <f>k.w2TS.w2TA</f>
        <v>6.2064655465402432E-3</v>
      </c>
      <c r="EO150" s="189">
        <f>-k.w2TA-SUM(EO$9:EO149,EO151:EO$163)</f>
        <v>-2.4454180835720394E-7</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2">
      <c r="B151" s="207" t="s">
        <v>4050</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5.0294024208521204E-5</v>
      </c>
      <c r="EO151" s="362">
        <v>0</v>
      </c>
      <c r="EP151" s="189">
        <f>-k.w2TP-SUM(EP$9:EP150,EP152:EP$163)</f>
        <v>-5.3815544990863729E-7</v>
      </c>
      <c r="EQ151" s="185">
        <v>0</v>
      </c>
      <c r="ER151" s="185">
        <v>0</v>
      </c>
      <c r="ES151" s="185">
        <v>0</v>
      </c>
      <c r="ET151" s="184">
        <f>k.w3T.w2T</f>
        <v>7.5748144375595357E-9</v>
      </c>
      <c r="EU151" s="32">
        <v>0</v>
      </c>
      <c r="EV151" s="32">
        <v>0</v>
      </c>
      <c r="EW151" s="32">
        <v>0</v>
      </c>
      <c r="EX151" s="32">
        <v>0</v>
      </c>
      <c r="EY151" s="185">
        <v>0</v>
      </c>
      <c r="EZ151" s="185">
        <v>0</v>
      </c>
      <c r="FA151" s="185">
        <v>0</v>
      </c>
      <c r="FB151" s="192">
        <f>k.sTP.w2TP</f>
        <v>1.9025875190258751E-11</v>
      </c>
    </row>
    <row r="152" spans="2:158" ht="12.75" customHeight="1" x14ac:dyDescent="0.2">
      <c r="B152" s="207" t="s">
        <v>4051</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-7.5909156060043828E-9</v>
      </c>
      <c r="ER152" s="379">
        <f>kdis.w3S.w3D</f>
        <v>1E-13</v>
      </c>
      <c r="ES152" s="379">
        <f>kdis.w3A.w3D</f>
        <v>1E-13</v>
      </c>
      <c r="ET152" s="379">
        <f>kdis.w3P.w3D</f>
        <v>1E-13</v>
      </c>
      <c r="EU152" s="190">
        <f>k.sdT.w3T</f>
        <v>4.5179059492972771E-8</v>
      </c>
      <c r="EV152" s="190">
        <v>0</v>
      </c>
      <c r="EW152" s="190">
        <v>0</v>
      </c>
      <c r="EX152" s="190">
        <v>0</v>
      </c>
      <c r="EY152" s="190">
        <v>0</v>
      </c>
      <c r="EZ152" s="190">
        <v>0</v>
      </c>
      <c r="FA152" s="190">
        <v>0</v>
      </c>
      <c r="FB152" s="191">
        <v>0</v>
      </c>
    </row>
    <row r="153" spans="2:158" ht="12.75" customHeight="1" x14ac:dyDescent="0.2">
      <c r="B153" s="207" t="s">
        <v>4052</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2.2724619105093776E-7</v>
      </c>
      <c r="EO153" s="185">
        <v>0</v>
      </c>
      <c r="EP153" s="185">
        <v>0</v>
      </c>
      <c r="EQ153" s="381">
        <v>0</v>
      </c>
      <c r="ER153" s="189">
        <f>-k.w3TS-SUM(ER$9:ER152,ER154:ER$163)</f>
        <v>-6.2567671457217991E-3</v>
      </c>
      <c r="ES153" s="185">
        <v>0</v>
      </c>
      <c r="ET153" s="360">
        <v>0</v>
      </c>
      <c r="EU153" s="190">
        <v>0</v>
      </c>
      <c r="EV153" s="185">
        <f>k.sdTS.w3TS</f>
        <v>9.6429477422628121E-9</v>
      </c>
      <c r="EW153" s="185">
        <v>0</v>
      </c>
      <c r="EX153" s="185">
        <v>0</v>
      </c>
      <c r="EY153" s="190">
        <v>0</v>
      </c>
      <c r="EZ153" s="190">
        <v>0</v>
      </c>
      <c r="FA153" s="190">
        <v>0</v>
      </c>
      <c r="FB153" s="191">
        <v>0</v>
      </c>
    </row>
    <row r="154" spans="2:158" ht="12.75" customHeight="1" x14ac:dyDescent="0.2">
      <c r="B154" s="207" t="s">
        <v>4053</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2.2773498566812833E-7</v>
      </c>
      <c r="EP154" s="185">
        <v>0</v>
      </c>
      <c r="EQ154" s="381">
        <v>0</v>
      </c>
      <c r="ER154" s="185">
        <f>k.w3TS.w3TA</f>
        <v>6.2064655465402432E-3</v>
      </c>
      <c r="ES154" s="189">
        <f>-k.w3TA-SUM(ES$9:ES153,ES155:ES$163)</f>
        <v>-7.5912661889376128E-9</v>
      </c>
      <c r="ET154" s="360">
        <v>0</v>
      </c>
      <c r="EU154" s="185">
        <v>0</v>
      </c>
      <c r="EV154" s="185">
        <v>0</v>
      </c>
      <c r="EW154" s="185">
        <f>k.sdTA.w3TA</f>
        <v>9.6429477422628121E-9</v>
      </c>
      <c r="EX154" s="185">
        <v>0</v>
      </c>
      <c r="EY154" s="190">
        <v>0</v>
      </c>
      <c r="EZ154" s="190">
        <v>0</v>
      </c>
      <c r="FA154" s="190">
        <v>0</v>
      </c>
      <c r="FB154" s="191">
        <v>0</v>
      </c>
    </row>
    <row r="155" spans="2:158" ht="12.75" customHeight="1" x14ac:dyDescent="0.2">
      <c r="B155" s="207" t="s">
        <v>4054</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5.2134862721956162E-7</v>
      </c>
      <c r="EQ155" s="361">
        <v>0</v>
      </c>
      <c r="ER155" s="362">
        <f>k.w3TS.w3TP</f>
        <v>5.0294024208521204E-5</v>
      </c>
      <c r="ES155" s="362">
        <v>0</v>
      </c>
      <c r="ET155" s="189">
        <f>-k.w3TP-SUM(ET$9:ET154,ET156:ET$163)</f>
        <v>-1.7378387573985391E-8</v>
      </c>
      <c r="EU155" s="185">
        <v>0</v>
      </c>
      <c r="EV155" s="185">
        <v>0</v>
      </c>
      <c r="EW155" s="185">
        <v>0</v>
      </c>
      <c r="EX155" s="185">
        <f>k.sdTP.w3TP</f>
        <v>9.6429477422628121E-9</v>
      </c>
      <c r="EY155" s="190">
        <v>0</v>
      </c>
      <c r="EZ155" s="190">
        <v>0</v>
      </c>
      <c r="FA155" s="190">
        <v>0</v>
      </c>
      <c r="FB155" s="191">
        <v>0</v>
      </c>
    </row>
    <row r="156" spans="2:158" ht="12.75" customHeight="1" x14ac:dyDescent="0.2">
      <c r="B156" s="207" t="s">
        <v>4055</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1.6101168434855456E-11</v>
      </c>
      <c r="ER156" s="190">
        <v>0</v>
      </c>
      <c r="ES156" s="185">
        <v>0</v>
      </c>
      <c r="ET156" s="185">
        <v>0</v>
      </c>
      <c r="EU156" s="368">
        <f>-k.sdT-SUM(EU9:EU155,EU157:EU163)</f>
        <v>-4.518117347911502E-8</v>
      </c>
      <c r="EV156" s="379">
        <f>kdis.sd2S.sd2D</f>
        <v>1E-13</v>
      </c>
      <c r="EW156" s="379">
        <f>kdis.sd2A.sd2D</f>
        <v>1E-13</v>
      </c>
      <c r="EX156" s="379">
        <f>kdis.sd2P.sd2D</f>
        <v>1E-13</v>
      </c>
      <c r="EY156" s="190">
        <v>0</v>
      </c>
      <c r="EZ156" s="190">
        <v>0</v>
      </c>
      <c r="FA156" s="190">
        <v>0</v>
      </c>
      <c r="FB156" s="191">
        <v>0</v>
      </c>
    </row>
    <row r="157" spans="2:158" ht="12.75" customHeight="1" x14ac:dyDescent="0.2">
      <c r="B157" s="207" t="s">
        <v>4056</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5.8597471723220236E-14</v>
      </c>
      <c r="ES157" s="185">
        <v>0</v>
      </c>
      <c r="ET157" s="185">
        <v>0</v>
      </c>
      <c r="EU157" s="381">
        <v>0</v>
      </c>
      <c r="EV157" s="189">
        <f>-k.sdTS-SUM(EV$9:EV156,EV158:EV$163)</f>
        <v>-2.2201902588951404E-2</v>
      </c>
      <c r="EW157" s="185">
        <v>0</v>
      </c>
      <c r="EX157" s="360">
        <v>0</v>
      </c>
      <c r="EY157" s="190">
        <v>0</v>
      </c>
      <c r="EZ157" s="190">
        <v>0</v>
      </c>
      <c r="FA157" s="190">
        <v>0</v>
      </c>
      <c r="FB157" s="191">
        <v>0</v>
      </c>
    </row>
    <row r="158" spans="2:158" ht="12.75" customHeight="1" x14ac:dyDescent="0.2">
      <c r="B158" s="207" t="s">
        <v>4057</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1.6351751378075911E-11</v>
      </c>
      <c r="ET158" s="185">
        <v>0</v>
      </c>
      <c r="EU158" s="381">
        <v>0</v>
      </c>
      <c r="EV158" s="185">
        <f>k.sdTS.sdTA</f>
        <v>6.2029534095701319E-3</v>
      </c>
      <c r="EW158" s="189">
        <f>-k.sdTA-SUM(EW$9:EW157,EW159:EW$163)</f>
        <v>-9.6443161339421637E-9</v>
      </c>
      <c r="EX158" s="360">
        <v>0</v>
      </c>
      <c r="EY158" s="185">
        <v>0</v>
      </c>
      <c r="EZ158" s="190">
        <v>0</v>
      </c>
      <c r="FA158" s="190">
        <v>0</v>
      </c>
      <c r="FB158" s="191">
        <v>0</v>
      </c>
    </row>
    <row r="159" spans="2:158" ht="12.75" customHeight="1" x14ac:dyDescent="0.2">
      <c r="B159" s="207" t="s">
        <v>4058</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9.8034731364258533E-9</v>
      </c>
      <c r="EU159" s="361">
        <v>0</v>
      </c>
      <c r="EV159" s="362">
        <f>k.sdTS.sdTP</f>
        <v>1.5998939535065138E-2</v>
      </c>
      <c r="EW159" s="362">
        <v>0</v>
      </c>
      <c r="EX159" s="189">
        <f>-k.sdTP-SUM(EX$9:EX158,EX160:EX$163)</f>
        <v>-9.6443161339421637E-9</v>
      </c>
      <c r="EY159" s="185">
        <v>0</v>
      </c>
      <c r="EZ159" s="185">
        <v>0</v>
      </c>
      <c r="FA159" s="190">
        <v>0</v>
      </c>
      <c r="FB159" s="191">
        <v>0</v>
      </c>
    </row>
    <row r="160" spans="2:158" ht="12.75" customHeight="1" x14ac:dyDescent="0.2">
      <c r="B160" s="207" t="s">
        <v>4059</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2.4259271107049963E-6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-8.7554055483194526E-9</v>
      </c>
      <c r="EZ160" s="379">
        <f>kdis.s1S.s1D</f>
        <v>1E-13</v>
      </c>
      <c r="FA160" s="379">
        <f>kdis.s1A.s1D</f>
        <v>1E-13</v>
      </c>
      <c r="FB160" s="382">
        <f>kdis.s1P.s1D</f>
        <v>1E-13</v>
      </c>
    </row>
    <row r="161" spans="2:160" ht="12.75" customHeight="1" x14ac:dyDescent="0.2">
      <c r="B161" s="207" t="s">
        <v>4060</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1.0259121804918607E-6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-0.13266756712431799</v>
      </c>
      <c r="FA161" s="185">
        <v>0</v>
      </c>
      <c r="FB161" s="192">
        <v>0</v>
      </c>
    </row>
    <row r="162" spans="2:160" ht="12.75" customHeight="1" x14ac:dyDescent="0.2">
      <c r="B162" s="207" t="s">
        <v>4061</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8.5054245009915821E-8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0.10420961728077824</v>
      </c>
      <c r="FA162" s="189">
        <f>-k.sTA-SUM(FA$9:FA161,FA163)</f>
        <v>-2.6370222578104758E-7</v>
      </c>
      <c r="FB162" s="192">
        <v>0</v>
      </c>
    </row>
    <row r="163" spans="2:160" ht="12.75" customHeight="1" x14ac:dyDescent="0.2">
      <c r="B163" s="354" t="s">
        <v>4062</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2.8457686141313963E-2</v>
      </c>
      <c r="FA163" s="182">
        <v>0</v>
      </c>
      <c r="FB163" s="400">
        <f>-k.sTP-SUM(FB$9:FB162)</f>
        <v>-1.9125875190258752E-11</v>
      </c>
    </row>
    <row r="164" spans="2:160" ht="12.75" customHeight="1" x14ac:dyDescent="0.2">
      <c r="B164" s="183"/>
      <c r="C164" s="671"/>
      <c r="D164" s="671"/>
      <c r="E164" s="671"/>
      <c r="F164" s="671"/>
      <c r="G164" s="671"/>
      <c r="H164" s="671"/>
      <c r="I164" s="671"/>
      <c r="J164" s="671"/>
      <c r="K164" s="671"/>
      <c r="L164" s="671"/>
      <c r="M164" s="671"/>
      <c r="N164" s="671"/>
      <c r="O164" s="671"/>
      <c r="P164" s="671"/>
      <c r="Q164" s="671"/>
      <c r="R164" s="671"/>
      <c r="S164" s="671"/>
      <c r="T164" s="671"/>
      <c r="U164" s="671"/>
      <c r="V164" s="671"/>
      <c r="W164" s="671"/>
      <c r="X164" s="671"/>
      <c r="Y164" s="671"/>
      <c r="Z164" s="671"/>
      <c r="AA164" s="671"/>
      <c r="AB164" s="671"/>
      <c r="AC164" s="671"/>
      <c r="AD164" s="671"/>
      <c r="AE164" s="671"/>
      <c r="AF164" s="671"/>
      <c r="AG164" s="671"/>
      <c r="AH164" s="671"/>
      <c r="AI164" s="671"/>
      <c r="AJ164" s="671"/>
      <c r="AK164" s="671"/>
      <c r="AL164" s="671"/>
      <c r="AM164" s="671"/>
      <c r="AN164" s="671"/>
      <c r="AO164" s="671"/>
      <c r="AP164" s="671"/>
      <c r="AQ164" s="671"/>
      <c r="AR164" s="671"/>
      <c r="AS164" s="671"/>
      <c r="AT164" s="671"/>
      <c r="AU164" s="671"/>
      <c r="AV164" s="671"/>
      <c r="AW164" s="671"/>
      <c r="AX164" s="671"/>
      <c r="AY164" s="671"/>
      <c r="AZ164" s="671"/>
      <c r="BA164" s="671"/>
      <c r="BB164" s="671"/>
      <c r="BC164" s="671"/>
      <c r="BD164" s="671"/>
      <c r="BE164" s="671"/>
      <c r="BF164" s="671"/>
      <c r="BG164" s="671"/>
      <c r="BH164" s="671"/>
      <c r="BI164" s="671"/>
      <c r="BJ164" s="671"/>
      <c r="BK164" s="671"/>
      <c r="BL164" s="671"/>
      <c r="BM164" s="671"/>
      <c r="BN164" s="671"/>
      <c r="BO164" s="671"/>
      <c r="BP164" s="671"/>
      <c r="BQ164" s="671"/>
      <c r="BR164" s="671"/>
      <c r="BS164" s="671"/>
      <c r="BT164" s="671"/>
      <c r="BU164" s="671"/>
      <c r="BV164" s="671"/>
      <c r="BW164" s="671"/>
      <c r="BX164" s="671"/>
      <c r="BY164" s="671"/>
      <c r="BZ164" s="671"/>
      <c r="CA164" s="671"/>
      <c r="CB164" s="671"/>
      <c r="CC164" s="671"/>
      <c r="CD164" s="671"/>
      <c r="CE164" s="671"/>
      <c r="CF164" s="671"/>
      <c r="CG164" s="671"/>
      <c r="CH164" s="671"/>
      <c r="CI164" s="671"/>
      <c r="CJ164" s="671"/>
      <c r="CK164" s="671"/>
      <c r="CL164" s="671"/>
      <c r="CM164" s="671"/>
      <c r="CN164" s="671"/>
      <c r="CO164" s="671"/>
      <c r="CP164" s="671"/>
      <c r="CQ164" s="671"/>
      <c r="CR164" s="671"/>
      <c r="CS164" s="671"/>
      <c r="CT164" s="671"/>
      <c r="CU164" s="671"/>
      <c r="CV164" s="671"/>
      <c r="CW164" s="671"/>
      <c r="CX164" s="671"/>
      <c r="CY164" s="671"/>
      <c r="CZ164" s="671"/>
      <c r="DA164" s="671"/>
      <c r="DB164" s="671"/>
      <c r="DC164" s="671"/>
      <c r="DD164" s="671"/>
      <c r="DE164" s="671"/>
      <c r="DF164" s="671"/>
      <c r="DG164" s="671"/>
      <c r="DH164" s="671"/>
      <c r="DI164" s="671"/>
      <c r="DJ164" s="671"/>
      <c r="DK164" s="671"/>
      <c r="DL164" s="671"/>
      <c r="DM164" s="671"/>
      <c r="DN164" s="671"/>
      <c r="DO164" s="671"/>
      <c r="DP164" s="671"/>
      <c r="DQ164" s="671"/>
      <c r="DR164" s="671"/>
      <c r="DS164" s="671"/>
      <c r="DT164" s="671"/>
      <c r="DU164" s="671"/>
      <c r="DV164" s="671"/>
      <c r="DW164" s="671"/>
      <c r="DX164" s="671"/>
      <c r="DY164" s="671"/>
      <c r="DZ164" s="671"/>
      <c r="EA164" s="671"/>
      <c r="EB164" s="671"/>
      <c r="EC164" s="671"/>
      <c r="ED164" s="671"/>
      <c r="EE164" s="671"/>
      <c r="EF164" s="671"/>
      <c r="EG164" s="671"/>
      <c r="EH164" s="671"/>
      <c r="EI164" s="671"/>
      <c r="EJ164" s="671"/>
      <c r="EK164" s="671"/>
      <c r="EL164" s="671"/>
      <c r="EM164" s="671"/>
      <c r="EN164" s="671"/>
      <c r="EO164" s="671"/>
      <c r="EP164" s="671"/>
      <c r="EQ164" s="671"/>
      <c r="ER164" s="671"/>
      <c r="ES164" s="671"/>
      <c r="ET164" s="671"/>
      <c r="EU164" s="671"/>
      <c r="EV164" s="671"/>
      <c r="EW164" s="671"/>
      <c r="EX164" s="671"/>
      <c r="EY164" s="671"/>
      <c r="EZ164" s="671"/>
      <c r="FA164" s="671"/>
      <c r="FB164" s="671"/>
    </row>
    <row r="165" spans="2:160" ht="12.75" customHeight="1" x14ac:dyDescent="0.2">
      <c r="B165" s="172"/>
      <c r="K165"/>
      <c r="L165"/>
      <c r="M165"/>
      <c r="N165"/>
      <c r="BB165"/>
      <c r="BC165"/>
      <c r="BD165"/>
      <c r="BE165"/>
    </row>
    <row r="166" spans="2:160" s="335" customFormat="1" ht="12.75" customHeight="1" x14ac:dyDescent="0.2"/>
    <row r="167" spans="2:160" ht="12.75" customHeight="1" x14ac:dyDescent="0.2">
      <c r="B167" s="186" t="s">
        <v>4063</v>
      </c>
      <c r="C167" s="388"/>
      <c r="D167" s="187" t="s">
        <v>3593</v>
      </c>
      <c r="E167" s="187" t="s">
        <v>3594</v>
      </c>
      <c r="F167" s="187" t="s">
        <v>3595</v>
      </c>
      <c r="G167" s="187" t="s">
        <v>3596</v>
      </c>
      <c r="H167" s="187" t="s">
        <v>3597</v>
      </c>
      <c r="I167" s="187" t="s">
        <v>3598</v>
      </c>
      <c r="J167" s="187" t="s">
        <v>3599</v>
      </c>
      <c r="K167" s="187" t="s">
        <v>3600</v>
      </c>
      <c r="L167" s="187" t="s">
        <v>3601</v>
      </c>
      <c r="M167" s="187" t="s">
        <v>3602</v>
      </c>
      <c r="N167" s="187" t="s">
        <v>3603</v>
      </c>
      <c r="O167" s="187" t="s">
        <v>3604</v>
      </c>
      <c r="P167" s="187" t="s">
        <v>3605</v>
      </c>
      <c r="Q167" s="187" t="s">
        <v>3606</v>
      </c>
      <c r="R167" s="187" t="s">
        <v>3607</v>
      </c>
      <c r="S167" s="187" t="s">
        <v>3608</v>
      </c>
      <c r="T167" s="187" t="s">
        <v>3609</v>
      </c>
      <c r="U167" s="187" t="s">
        <v>3610</v>
      </c>
      <c r="V167" s="187" t="s">
        <v>3611</v>
      </c>
      <c r="W167" s="187" t="s">
        <v>3612</v>
      </c>
      <c r="X167" s="187" t="s">
        <v>3613</v>
      </c>
      <c r="Y167" s="187" t="s">
        <v>3614</v>
      </c>
      <c r="Z167" s="187" t="s">
        <v>3615</v>
      </c>
      <c r="AA167" s="187" t="s">
        <v>3616</v>
      </c>
      <c r="AB167" s="187" t="s">
        <v>3617</v>
      </c>
      <c r="AC167" s="187" t="s">
        <v>3618</v>
      </c>
      <c r="AD167" s="187" t="s">
        <v>3619</v>
      </c>
      <c r="AE167" s="187" t="s">
        <v>3620</v>
      </c>
      <c r="AF167" s="187" t="s">
        <v>3621</v>
      </c>
      <c r="AG167" s="187" t="s">
        <v>3622</v>
      </c>
      <c r="AH167" s="187" t="s">
        <v>3623</v>
      </c>
      <c r="AI167" s="187" t="s">
        <v>3624</v>
      </c>
      <c r="AJ167" s="187" t="s">
        <v>3625</v>
      </c>
      <c r="AK167" s="187" t="s">
        <v>3626</v>
      </c>
      <c r="AL167" s="187" t="s">
        <v>3627</v>
      </c>
      <c r="AM167" s="187" t="s">
        <v>3628</v>
      </c>
      <c r="AN167" s="187" t="s">
        <v>3629</v>
      </c>
      <c r="AO167" s="187" t="s">
        <v>3630</v>
      </c>
      <c r="AP167" s="187" t="s">
        <v>3631</v>
      </c>
      <c r="AQ167" s="187" t="s">
        <v>3632</v>
      </c>
      <c r="AR167" s="187" t="s">
        <v>3633</v>
      </c>
      <c r="AS167" s="187" t="s">
        <v>3634</v>
      </c>
      <c r="AT167" s="187" t="s">
        <v>3635</v>
      </c>
      <c r="AU167" s="187" t="s">
        <v>3636</v>
      </c>
      <c r="AV167" s="187" t="s">
        <v>3637</v>
      </c>
      <c r="AW167" s="187" t="s">
        <v>3638</v>
      </c>
      <c r="AX167" s="187" t="s">
        <v>3639</v>
      </c>
      <c r="AY167" s="187" t="s">
        <v>3640</v>
      </c>
      <c r="AZ167" s="187" t="s">
        <v>3641</v>
      </c>
      <c r="BA167" s="187" t="s">
        <v>3642</v>
      </c>
      <c r="BB167" s="187" t="s">
        <v>3643</v>
      </c>
      <c r="BC167" s="187" t="s">
        <v>3644</v>
      </c>
      <c r="BD167" s="187" t="s">
        <v>3645</v>
      </c>
      <c r="BE167" s="187" t="s">
        <v>3646</v>
      </c>
      <c r="BF167" s="187" t="s">
        <v>3647</v>
      </c>
      <c r="BG167" s="187" t="s">
        <v>3648</v>
      </c>
      <c r="BH167" s="187" t="s">
        <v>3649</v>
      </c>
      <c r="BI167" s="187" t="s">
        <v>3650</v>
      </c>
      <c r="BJ167" s="187" t="s">
        <v>3651</v>
      </c>
      <c r="BK167" s="187" t="s">
        <v>3652</v>
      </c>
      <c r="BL167" s="187" t="s">
        <v>3653</v>
      </c>
      <c r="BM167" s="187" t="s">
        <v>3654</v>
      </c>
      <c r="BN167" s="187" t="s">
        <v>3655</v>
      </c>
      <c r="BO167" s="187" t="s">
        <v>3656</v>
      </c>
      <c r="BP167" s="187" t="s">
        <v>3657</v>
      </c>
      <c r="BQ167" s="187" t="s">
        <v>3658</v>
      </c>
      <c r="BR167" s="187" t="s">
        <v>3659</v>
      </c>
      <c r="BS167" s="187" t="s">
        <v>3660</v>
      </c>
      <c r="BT167" s="187" t="s">
        <v>3661</v>
      </c>
      <c r="BU167" s="187" t="s">
        <v>3662</v>
      </c>
      <c r="BV167" s="187" t="s">
        <v>3663</v>
      </c>
      <c r="BW167" s="187" t="s">
        <v>3664</v>
      </c>
      <c r="BX167" s="187" t="s">
        <v>3665</v>
      </c>
      <c r="BY167" s="187" t="s">
        <v>3666</v>
      </c>
      <c r="BZ167" s="187" t="s">
        <v>3667</v>
      </c>
      <c r="CA167" s="187" t="s">
        <v>3668</v>
      </c>
      <c r="CB167" s="187" t="s">
        <v>3669</v>
      </c>
      <c r="CC167" s="187" t="s">
        <v>3670</v>
      </c>
      <c r="CD167" s="187" t="s">
        <v>3671</v>
      </c>
      <c r="CE167" s="187" t="s">
        <v>3672</v>
      </c>
      <c r="CF167" s="187" t="s">
        <v>3673</v>
      </c>
      <c r="CG167" s="187" t="s">
        <v>3674</v>
      </c>
      <c r="CH167" s="187" t="s">
        <v>3675</v>
      </c>
      <c r="CI167" s="187" t="s">
        <v>3676</v>
      </c>
      <c r="CJ167" s="187" t="s">
        <v>3677</v>
      </c>
      <c r="CK167" s="187" t="s">
        <v>3678</v>
      </c>
      <c r="CL167" s="187" t="s">
        <v>3679</v>
      </c>
      <c r="CM167" s="187" t="s">
        <v>3680</v>
      </c>
      <c r="CN167" s="187" t="s">
        <v>3681</v>
      </c>
      <c r="CO167" s="187" t="s">
        <v>3682</v>
      </c>
      <c r="CP167" s="187" t="s">
        <v>3683</v>
      </c>
      <c r="CQ167" s="187" t="s">
        <v>3684</v>
      </c>
      <c r="CR167" s="187" t="s">
        <v>3685</v>
      </c>
      <c r="CS167" s="187" t="s">
        <v>3686</v>
      </c>
      <c r="CT167" s="187" t="s">
        <v>3687</v>
      </c>
      <c r="CU167" s="187" t="s">
        <v>3688</v>
      </c>
      <c r="CV167" s="187" t="s">
        <v>3689</v>
      </c>
      <c r="CW167" s="187" t="s">
        <v>3690</v>
      </c>
      <c r="CX167" s="187" t="s">
        <v>3691</v>
      </c>
      <c r="CY167" s="187" t="s">
        <v>3692</v>
      </c>
      <c r="CZ167" s="187" t="s">
        <v>3693</v>
      </c>
      <c r="DA167" s="187" t="s">
        <v>3694</v>
      </c>
      <c r="DB167" s="187" t="s">
        <v>3695</v>
      </c>
      <c r="DC167" s="187" t="s">
        <v>3696</v>
      </c>
      <c r="DD167" s="187" t="s">
        <v>3697</v>
      </c>
      <c r="DE167" s="187" t="s">
        <v>3698</v>
      </c>
      <c r="DF167" s="187" t="s">
        <v>3699</v>
      </c>
      <c r="DG167" s="187" t="s">
        <v>3700</v>
      </c>
      <c r="DH167" s="187" t="s">
        <v>3701</v>
      </c>
      <c r="DI167" s="187" t="s">
        <v>3702</v>
      </c>
      <c r="DJ167" s="187" t="s">
        <v>3703</v>
      </c>
      <c r="DK167" s="187" t="s">
        <v>3704</v>
      </c>
      <c r="DL167" s="187" t="s">
        <v>3705</v>
      </c>
      <c r="DM167" s="187" t="s">
        <v>3706</v>
      </c>
      <c r="DN167" s="187" t="s">
        <v>3707</v>
      </c>
      <c r="DO167" s="187" t="s">
        <v>3708</v>
      </c>
      <c r="DP167" s="187" t="s">
        <v>3709</v>
      </c>
      <c r="DQ167" s="187" t="s">
        <v>3710</v>
      </c>
      <c r="DR167" s="187" t="s">
        <v>3711</v>
      </c>
      <c r="DS167" s="187" t="s">
        <v>3712</v>
      </c>
      <c r="DT167" s="187" t="s">
        <v>3713</v>
      </c>
      <c r="DU167" s="187" t="s">
        <v>3714</v>
      </c>
      <c r="DV167" s="187" t="s">
        <v>3715</v>
      </c>
      <c r="DW167" s="187" t="s">
        <v>3716</v>
      </c>
      <c r="DX167" s="187" t="s">
        <v>3717</v>
      </c>
      <c r="DY167" s="187" t="s">
        <v>3718</v>
      </c>
      <c r="DZ167" s="187" t="s">
        <v>3719</v>
      </c>
      <c r="EA167" s="187" t="s">
        <v>3720</v>
      </c>
      <c r="EB167" s="187" t="s">
        <v>3721</v>
      </c>
      <c r="EC167" s="187" t="s">
        <v>3722</v>
      </c>
      <c r="ED167" s="187" t="s">
        <v>3723</v>
      </c>
      <c r="EE167" s="187" t="s">
        <v>3724</v>
      </c>
      <c r="EF167" s="187" t="s">
        <v>3725</v>
      </c>
      <c r="EG167" s="187" t="s">
        <v>3726</v>
      </c>
      <c r="EH167" s="187" t="s">
        <v>3727</v>
      </c>
      <c r="EI167" s="187" t="s">
        <v>3728</v>
      </c>
      <c r="EJ167" s="187" t="s">
        <v>3729</v>
      </c>
      <c r="EK167" s="187" t="s">
        <v>3730</v>
      </c>
      <c r="EL167" s="187" t="s">
        <v>3731</v>
      </c>
      <c r="EM167" s="187" t="s">
        <v>3732</v>
      </c>
      <c r="EN167" s="187" t="s">
        <v>3733</v>
      </c>
      <c r="EO167" s="187" t="s">
        <v>3734</v>
      </c>
      <c r="EP167" s="187" t="s">
        <v>3735</v>
      </c>
      <c r="EQ167" s="187" t="s">
        <v>3736</v>
      </c>
      <c r="ER167" s="187" t="s">
        <v>3737</v>
      </c>
      <c r="ES167" s="187" t="s">
        <v>3738</v>
      </c>
      <c r="ET167" s="187" t="s">
        <v>3739</v>
      </c>
      <c r="EU167" s="187" t="s">
        <v>3740</v>
      </c>
      <c r="EV167" s="187" t="s">
        <v>3741</v>
      </c>
      <c r="EW167" s="187" t="s">
        <v>3742</v>
      </c>
      <c r="EX167" s="187" t="s">
        <v>3743</v>
      </c>
      <c r="EY167" s="187" t="s">
        <v>3744</v>
      </c>
      <c r="EZ167" s="187" t="s">
        <v>3745</v>
      </c>
      <c r="FA167" s="187" t="s">
        <v>3746</v>
      </c>
      <c r="FB167" s="194" t="s">
        <v>3747</v>
      </c>
      <c r="FC167" s="757"/>
      <c r="FD167" s="757"/>
    </row>
    <row r="168" spans="2:160" ht="12.75" customHeight="1" x14ac:dyDescent="0.2">
      <c r="B168" s="188" t="s">
        <v>4064</v>
      </c>
      <c r="C168" s="336">
        <f>SUM(D168:FB168)</f>
        <v>4140334134074869</v>
      </c>
      <c r="D168" s="185">
        <f t="array" ref="D168:FB168">TRANSPOSE(MMULT(MINVERSE(D9:FB163),-TRANSPOSE(D5:FB5)))</f>
        <v>418740.58185779798</v>
      </c>
      <c r="E168" s="185">
        <v>101134.81750349577</v>
      </c>
      <c r="F168" s="185">
        <v>614069.428098473</v>
      </c>
      <c r="G168" s="185">
        <v>194.84051875663164</v>
      </c>
      <c r="H168" s="185">
        <v>1325.7549562452496</v>
      </c>
      <c r="I168" s="185">
        <v>1451.0768182375307</v>
      </c>
      <c r="J168" s="185">
        <v>194.84046030447593</v>
      </c>
      <c r="K168" s="185">
        <v>297530.41727609187</v>
      </c>
      <c r="L168" s="185">
        <v>30.249642880782986</v>
      </c>
      <c r="M168" s="185">
        <v>162578.6806329258</v>
      </c>
      <c r="N168" s="185">
        <v>122.56736338946352</v>
      </c>
      <c r="O168" s="185">
        <v>219782112.55019009</v>
      </c>
      <c r="P168" s="185">
        <v>101510.06534671968</v>
      </c>
      <c r="Q168" s="185">
        <v>159519011.46485239</v>
      </c>
      <c r="R168" s="185">
        <v>2134322.8422034574</v>
      </c>
      <c r="S168" s="185">
        <v>84286025.725481391</v>
      </c>
      <c r="T168" s="185">
        <v>3.239166073034784</v>
      </c>
      <c r="U168" s="185">
        <v>10762164.885874083</v>
      </c>
      <c r="V168" s="185">
        <v>94513.547724913806</v>
      </c>
      <c r="W168" s="185">
        <v>8159.2234487852311</v>
      </c>
      <c r="X168" s="185">
        <v>2.7019727112709668E-7</v>
      </c>
      <c r="Y168" s="185">
        <v>27544.220812951495</v>
      </c>
      <c r="Z168" s="185">
        <v>12449.660489237083</v>
      </c>
      <c r="AA168" s="185">
        <v>87937707.447360486</v>
      </c>
      <c r="AB168" s="185">
        <v>3.0219693293141291E-2</v>
      </c>
      <c r="AC168" s="185">
        <v>88689995.12372829</v>
      </c>
      <c r="AD168" s="185">
        <v>711438614.69555652</v>
      </c>
      <c r="AE168" s="185">
        <v>9043231.2456553467</v>
      </c>
      <c r="AF168" s="185">
        <v>5.7866854276832227E-9</v>
      </c>
      <c r="AG168" s="185">
        <v>5385186.9206472542</v>
      </c>
      <c r="AH168" s="185">
        <v>28353775.33674854</v>
      </c>
      <c r="AI168" s="185">
        <v>163582089.04664025</v>
      </c>
      <c r="AJ168" s="185">
        <v>0.91499798846089631</v>
      </c>
      <c r="AK168" s="185">
        <v>1163273.6614926436</v>
      </c>
      <c r="AL168" s="185">
        <v>1570026946.8805387</v>
      </c>
      <c r="AM168" s="185">
        <v>3926711330.4816446</v>
      </c>
      <c r="AN168" s="185">
        <v>54.256982256458706</v>
      </c>
      <c r="AO168" s="185">
        <v>86232235.994566917</v>
      </c>
      <c r="AP168" s="185">
        <v>320482039893.17407</v>
      </c>
      <c r="AQ168" s="185">
        <v>60585958.906163029</v>
      </c>
      <c r="AR168" s="185">
        <v>0.33888814387440602</v>
      </c>
      <c r="AS168" s="185">
        <v>430842.09684912727</v>
      </c>
      <c r="AT168" s="185">
        <v>581491461.80760682</v>
      </c>
      <c r="AU168" s="185">
        <v>416976.24566942838</v>
      </c>
      <c r="AV168" s="185">
        <v>16136.521514633669</v>
      </c>
      <c r="AW168" s="185">
        <v>2648726.1220688475</v>
      </c>
      <c r="AX168" s="185">
        <v>58.130591085188087</v>
      </c>
      <c r="AY168" s="185">
        <v>211.53025142744951</v>
      </c>
      <c r="AZ168" s="185">
        <v>6259.0725050359424</v>
      </c>
      <c r="BA168" s="185">
        <v>58.130573646010767</v>
      </c>
      <c r="BB168" s="185">
        <v>1589954.7755538016</v>
      </c>
      <c r="BC168" s="185">
        <v>2.3480278927213369</v>
      </c>
      <c r="BD168" s="185">
        <v>1634838.4670321112</v>
      </c>
      <c r="BE168" s="185">
        <v>18.481892305707767</v>
      </c>
      <c r="BF168" s="185">
        <v>21196039.576134887</v>
      </c>
      <c r="BG168" s="185">
        <v>23.201635046888018</v>
      </c>
      <c r="BH168" s="185">
        <v>8567084.7492747158</v>
      </c>
      <c r="BI168" s="185">
        <v>8975.0921976696536</v>
      </c>
      <c r="BJ168" s="185">
        <v>5993256522840.9902</v>
      </c>
      <c r="BK168" s="185">
        <v>15.048862639921966</v>
      </c>
      <c r="BL168" s="185">
        <v>189526944240.16486</v>
      </c>
      <c r="BM168" s="185">
        <v>7686194.0255587418</v>
      </c>
      <c r="BN168" s="185">
        <v>43214.999327773985</v>
      </c>
      <c r="BO168" s="185">
        <v>9.3941361758219475E-9</v>
      </c>
      <c r="BP168" s="185">
        <v>279012.71377116226</v>
      </c>
      <c r="BQ168" s="185">
        <v>1891.0869976038655</v>
      </c>
      <c r="BR168" s="185">
        <v>8453795.7902429067</v>
      </c>
      <c r="BS168" s="185">
        <v>3.0940346852217298E-6</v>
      </c>
      <c r="BT168" s="185">
        <v>4841384.4662526129</v>
      </c>
      <c r="BU168" s="185">
        <v>3040822.8460875032</v>
      </c>
      <c r="BV168" s="185">
        <v>32037171092.243515</v>
      </c>
      <c r="BW168" s="185">
        <v>6.020879398990924E-10</v>
      </c>
      <c r="BX168" s="185">
        <v>4819666417.627121</v>
      </c>
      <c r="BY168" s="185">
        <v>117185277.09556201</v>
      </c>
      <c r="BZ168" s="185">
        <v>89946837.138600156</v>
      </c>
      <c r="CA168" s="185">
        <v>7.0997893841509438E-2</v>
      </c>
      <c r="CB168" s="185">
        <v>1145673.4689861564</v>
      </c>
      <c r="CC168" s="185">
        <v>135685578.64005199</v>
      </c>
      <c r="CD168" s="185">
        <v>439289776.20142817</v>
      </c>
      <c r="CE168" s="185">
        <v>0.15777319267295498</v>
      </c>
      <c r="CF168" s="185">
        <v>5595141.1755969618</v>
      </c>
      <c r="CG168" s="185">
        <v>1187468496.1358049</v>
      </c>
      <c r="CH168" s="185">
        <v>33313643.384666707</v>
      </c>
      <c r="CI168" s="185">
        <v>2.6295516237596087E-2</v>
      </c>
      <c r="CJ168" s="185">
        <v>424323.50703190966</v>
      </c>
      <c r="CK168" s="185">
        <v>50253918.014834046</v>
      </c>
      <c r="CL168" s="185">
        <v>63931.677641596827</v>
      </c>
      <c r="CM168" s="185">
        <v>381.42638967871051</v>
      </c>
      <c r="CN168" s="185">
        <v>2134514.4073681375</v>
      </c>
      <c r="CO168" s="185">
        <v>1.8688099576044959</v>
      </c>
      <c r="CP168" s="185">
        <v>5.0000379596453346</v>
      </c>
      <c r="CQ168" s="185">
        <v>5043.9644655770608</v>
      </c>
      <c r="CR168" s="185">
        <v>1.8688093969615085</v>
      </c>
      <c r="CS168" s="185">
        <v>31300650235617.363</v>
      </c>
      <c r="CT168" s="185">
        <v>0.1738704740046256</v>
      </c>
      <c r="CU168" s="185">
        <v>988185529340.48315</v>
      </c>
      <c r="CV168" s="185">
        <v>35865734.954036504</v>
      </c>
      <c r="CW168" s="185">
        <v>939019878710654</v>
      </c>
      <c r="CX168" s="185">
        <v>7.2371179786193881E-6</v>
      </c>
      <c r="CY168" s="185">
        <v>29695601550862.379</v>
      </c>
      <c r="CZ168" s="185">
        <v>2174660119.3044834</v>
      </c>
      <c r="DA168" s="185">
        <v>334637667018.86237</v>
      </c>
      <c r="DB168" s="185">
        <v>1.9303259250942849E-17</v>
      </c>
      <c r="DC168" s="185">
        <v>50343903736.998901</v>
      </c>
      <c r="DD168" s="185">
        <v>2210354026.2777548</v>
      </c>
      <c r="DE168" s="185">
        <v>53496297.713036977</v>
      </c>
      <c r="DF168" s="185">
        <v>6.4184819984619175E-3</v>
      </c>
      <c r="DG168" s="185">
        <v>3382015.7893874631</v>
      </c>
      <c r="DH168" s="185">
        <v>13236415.722376781</v>
      </c>
      <c r="DI168" s="185">
        <v>2784.3726600686414</v>
      </c>
      <c r="DJ168" s="185">
        <v>2.5796220539486114</v>
      </c>
      <c r="DK168" s="185">
        <v>512030.29527444852</v>
      </c>
      <c r="DL168" s="185">
        <v>3.9070363704166597E-2</v>
      </c>
      <c r="DM168" s="185">
        <v>6.2021442915159208E-2</v>
      </c>
      <c r="DN168" s="185">
        <v>2113.2846713042177</v>
      </c>
      <c r="DO168" s="185">
        <v>3.9070351983057472E-2</v>
      </c>
      <c r="DP168" s="185">
        <v>25074705464934.453</v>
      </c>
      <c r="DQ168" s="185">
        <v>1.4153795172701386E-3</v>
      </c>
      <c r="DR168" s="185">
        <v>790160666870.64185</v>
      </c>
      <c r="DS168" s="185">
        <v>13718880.358957609</v>
      </c>
      <c r="DT168" s="185">
        <v>617369204753903.88</v>
      </c>
      <c r="DU168" s="185">
        <v>6.8981016437630047E-8</v>
      </c>
      <c r="DV168" s="185">
        <v>19489953876423.699</v>
      </c>
      <c r="DW168" s="185">
        <v>706562729.34720671</v>
      </c>
      <c r="DX168" s="185">
        <v>220011304771.50092</v>
      </c>
      <c r="DY168" s="185">
        <v>1.873109788405346E-19</v>
      </c>
      <c r="DZ168" s="185">
        <v>33041942595.863281</v>
      </c>
      <c r="EA168" s="185">
        <v>718159936.70306981</v>
      </c>
      <c r="EB168" s="185">
        <v>5242274.6738914791</v>
      </c>
      <c r="EC168" s="185">
        <v>3.2907303665773464E-5</v>
      </c>
      <c r="ED168" s="185">
        <v>1489280.7108470302</v>
      </c>
      <c r="EE168" s="185">
        <v>71697.977141139228</v>
      </c>
      <c r="EF168" s="185">
        <v>4949.4452632732491</v>
      </c>
      <c r="EG168" s="185">
        <v>4.2378717064720286</v>
      </c>
      <c r="EH168" s="185">
        <v>905783.61866307445</v>
      </c>
      <c r="EI168" s="185">
        <v>1.4007842741980265E-2</v>
      </c>
      <c r="EJ168" s="185">
        <v>3.8555855952357575E-2</v>
      </c>
      <c r="EK168" s="185">
        <v>1530.7829226522481</v>
      </c>
      <c r="EL168" s="185">
        <v>1.4007838539627445E-2</v>
      </c>
      <c r="EM168" s="185">
        <v>72026691444465.328</v>
      </c>
      <c r="EN168" s="185">
        <v>2.7373771634921214E-3</v>
      </c>
      <c r="EO168" s="185">
        <v>2277364532736.0967</v>
      </c>
      <c r="EP168" s="185">
        <v>165759067.23285598</v>
      </c>
      <c r="EQ168" s="185">
        <v>2320610910513872</v>
      </c>
      <c r="ER168" s="185">
        <v>9.9423208349166955E-8</v>
      </c>
      <c r="ES168" s="185">
        <v>73521246812142.172</v>
      </c>
      <c r="ET168" s="185">
        <v>11776412847.885527</v>
      </c>
      <c r="EU168" s="185">
        <v>826994031522.43347</v>
      </c>
      <c r="EV168" s="185">
        <v>2.6240763000065503E-19</v>
      </c>
      <c r="EW168" s="185">
        <v>124653851261.39566</v>
      </c>
      <c r="EX168" s="185">
        <v>11970755146.794985</v>
      </c>
      <c r="EY168" s="185">
        <v>1371387.7931888881</v>
      </c>
      <c r="EZ168" s="185">
        <v>4.4751422160989284E-5</v>
      </c>
      <c r="FA168" s="185">
        <v>531464.89126747975</v>
      </c>
      <c r="FB168" s="192">
        <v>96997.694233588816</v>
      </c>
    </row>
    <row r="169" spans="2:160" ht="12.75" customHeight="1" x14ac:dyDescent="0.2">
      <c r="B169" s="188" t="s">
        <v>4065</v>
      </c>
      <c r="C169" s="336"/>
      <c r="D169" s="185">
        <f t="shared" ref="D169:AI169" si="0">D168*Molweight</f>
        <v>19834.485140858316</v>
      </c>
      <c r="E169" s="185">
        <f t="shared" si="0"/>
        <v>4790.4529006880839</v>
      </c>
      <c r="F169" s="185">
        <f t="shared" si="0"/>
        <v>29086.626600740372</v>
      </c>
      <c r="G169" s="185">
        <f t="shared" si="0"/>
        <v>9.22901085194537</v>
      </c>
      <c r="H169" s="185">
        <f t="shared" si="0"/>
        <v>62.797035012468733</v>
      </c>
      <c r="I169" s="185">
        <f t="shared" si="0"/>
        <v>68.733155649457117</v>
      </c>
      <c r="J169" s="185">
        <f t="shared" si="0"/>
        <v>9.2290080832421104</v>
      </c>
      <c r="K169" s="185">
        <f t="shared" si="0"/>
        <v>14093.123275116644</v>
      </c>
      <c r="L169" s="185">
        <f t="shared" si="0"/>
        <v>1.4328348343340476</v>
      </c>
      <c r="M169" s="185">
        <f t="shared" si="0"/>
        <v>7700.8643655397964</v>
      </c>
      <c r="N169" s="185">
        <f t="shared" si="0"/>
        <v>5.805648301668719</v>
      </c>
      <c r="O169" s="185">
        <f t="shared" si="0"/>
        <v>10410419.325164855</v>
      </c>
      <c r="P169" s="185">
        <f t="shared" si="0"/>
        <v>4808.2272652780712</v>
      </c>
      <c r="Q169" s="185">
        <f t="shared" si="0"/>
        <v>7555937.0160556631</v>
      </c>
      <c r="R169" s="185">
        <f t="shared" si="0"/>
        <v>101096.47006665116</v>
      </c>
      <c r="S169" s="185">
        <f t="shared" si="0"/>
        <v>3992376.1805388769</v>
      </c>
      <c r="T169" s="185">
        <f t="shared" si="0"/>
        <v>0.15342957938143861</v>
      </c>
      <c r="U169" s="185">
        <f t="shared" si="0"/>
        <v>509771.46414919768</v>
      </c>
      <c r="V169" s="185">
        <f t="shared" si="0"/>
        <v>4476.8232150859922</v>
      </c>
      <c r="W169" s="185">
        <f t="shared" si="0"/>
        <v>386.47793709861003</v>
      </c>
      <c r="X169" s="185">
        <f t="shared" si="0"/>
        <v>1.2798434141477188E-8</v>
      </c>
      <c r="Y169" s="185">
        <f t="shared" si="0"/>
        <v>1304.6871072470735</v>
      </c>
      <c r="Z169" s="185">
        <f t="shared" si="0"/>
        <v>589.70306839369289</v>
      </c>
      <c r="AA169" s="185">
        <f t="shared" si="0"/>
        <v>4165345.3886591243</v>
      </c>
      <c r="AB169" s="185">
        <f t="shared" si="0"/>
        <v>1.4314162122162236E-3</v>
      </c>
      <c r="AC169" s="185">
        <f t="shared" si="0"/>
        <v>4200978.9990256382</v>
      </c>
      <c r="AD169" s="185">
        <f t="shared" si="0"/>
        <v>33698712.862284422</v>
      </c>
      <c r="AE169" s="185">
        <f t="shared" si="0"/>
        <v>428350.73441295681</v>
      </c>
      <c r="AF169" s="185">
        <f t="shared" si="0"/>
        <v>2.740979286530712E-10</v>
      </c>
      <c r="AG169" s="185">
        <f t="shared" si="0"/>
        <v>255080.14887029849</v>
      </c>
      <c r="AH169" s="185">
        <f t="shared" si="0"/>
        <v>1343033.276375768</v>
      </c>
      <c r="AI169" s="185">
        <f t="shared" si="0"/>
        <v>7748392.8118722085</v>
      </c>
      <c r="AJ169" s="185">
        <f t="shared" ref="AJ169:BO169" si="1">AJ168*Molweight</f>
        <v>4.3340709719427273E-2</v>
      </c>
      <c r="AK169" s="185">
        <f t="shared" si="1"/>
        <v>55100.783523922051</v>
      </c>
      <c r="AL169" s="185">
        <f t="shared" si="1"/>
        <v>74367466.392890483</v>
      </c>
      <c r="AM169" s="185">
        <f t="shared" si="1"/>
        <v>185996535.59092405</v>
      </c>
      <c r="AN169" s="185">
        <f t="shared" si="1"/>
        <v>2.5699904785416794</v>
      </c>
      <c r="AO169" s="185">
        <f t="shared" si="1"/>
        <v>4084562.3223546511</v>
      </c>
      <c r="AP169" s="185">
        <f t="shared" si="1"/>
        <v>15180272783.619976</v>
      </c>
      <c r="AQ169" s="185">
        <f t="shared" si="1"/>
        <v>2869775.1155082243</v>
      </c>
      <c r="AR169" s="185">
        <f t="shared" si="1"/>
        <v>1.6052114710898988E-2</v>
      </c>
      <c r="AS169" s="185">
        <f t="shared" si="1"/>
        <v>20407.697601452612</v>
      </c>
      <c r="AT169" s="185">
        <f t="shared" si="1"/>
        <v>27543506.071440913</v>
      </c>
      <c r="AU169" s="185">
        <f t="shared" si="1"/>
        <v>19750.913828623812</v>
      </c>
      <c r="AV169" s="185">
        <f t="shared" si="1"/>
        <v>764.338614583653</v>
      </c>
      <c r="AW169" s="185">
        <f t="shared" si="1"/>
        <v>125462.21022403509</v>
      </c>
      <c r="AX169" s="185">
        <f t="shared" si="1"/>
        <v>2.7534717079321043</v>
      </c>
      <c r="AY169" s="185">
        <f t="shared" si="1"/>
        <v>10.019553419364001</v>
      </c>
      <c r="AZ169" s="185">
        <f t="shared" si="1"/>
        <v>296.47348734603747</v>
      </c>
      <c r="BA169" s="185">
        <f t="shared" si="1"/>
        <v>2.7534708818905917</v>
      </c>
      <c r="BB169" s="185">
        <f t="shared" si="1"/>
        <v>75311.387853656925</v>
      </c>
      <c r="BC169" s="185">
        <f t="shared" si="1"/>
        <v>0.11121903719453156</v>
      </c>
      <c r="BD169" s="185">
        <f t="shared" si="1"/>
        <v>77437.393667910015</v>
      </c>
      <c r="BE169" s="185">
        <f t="shared" si="1"/>
        <v>0.87543179284445982</v>
      </c>
      <c r="BF169" s="185">
        <f t="shared" si="1"/>
        <v>1003992.8066027812</v>
      </c>
      <c r="BG169" s="185">
        <f t="shared" si="1"/>
        <v>1.0989918472659448</v>
      </c>
      <c r="BH169" s="185">
        <f t="shared" si="1"/>
        <v>405797.10331889545</v>
      </c>
      <c r="BI169" s="185">
        <f t="shared" si="1"/>
        <v>425.12319212701846</v>
      </c>
      <c r="BJ169" s="185">
        <f t="shared" si="1"/>
        <v>283882581717.40918</v>
      </c>
      <c r="BK169" s="185">
        <f t="shared" si="1"/>
        <v>0.71281947666518375</v>
      </c>
      <c r="BL169" s="185">
        <f t="shared" si="1"/>
        <v>8977322767.8238888</v>
      </c>
      <c r="BM169" s="185">
        <f t="shared" si="1"/>
        <v>364071.95240864094</v>
      </c>
      <c r="BN169" s="185">
        <f t="shared" si="1"/>
        <v>2046.9648731586703</v>
      </c>
      <c r="BO169" s="185">
        <f t="shared" si="1"/>
        <v>4.449720482401582E-10</v>
      </c>
      <c r="BP169" s="185">
        <f t="shared" ref="BP169:CU169" si="2">BP168*Molweight</f>
        <v>13215.995213198643</v>
      </c>
      <c r="BQ169" s="185">
        <f t="shared" si="2"/>
        <v>89.575117815502296</v>
      </c>
      <c r="BR169" s="185">
        <f t="shared" si="2"/>
        <v>400430.94519643573</v>
      </c>
      <c r="BS169" s="185">
        <f t="shared" si="2"/>
        <v>1.4655514093489767E-7</v>
      </c>
      <c r="BT169" s="185">
        <f t="shared" si="2"/>
        <v>229321.8580129875</v>
      </c>
      <c r="BU169" s="185">
        <f t="shared" si="2"/>
        <v>144034.65575062676</v>
      </c>
      <c r="BV169" s="185">
        <f t="shared" si="2"/>
        <v>1517504683.1262987</v>
      </c>
      <c r="BW169" s="185">
        <f t="shared" si="2"/>
        <v>2.8519099449200311E-11</v>
      </c>
      <c r="BX169" s="185">
        <f t="shared" si="2"/>
        <v>228293139.20374385</v>
      </c>
      <c r="BY169" s="185">
        <f t="shared" si="2"/>
        <v>5550715.0201854855</v>
      </c>
      <c r="BZ169" s="185">
        <f t="shared" si="2"/>
        <v>4260511.8347440735</v>
      </c>
      <c r="CA169" s="185">
        <f t="shared" si="2"/>
        <v>3.3629572375907775E-3</v>
      </c>
      <c r="CB169" s="185">
        <f t="shared" si="2"/>
        <v>54267.115205467271</v>
      </c>
      <c r="CC169" s="185">
        <f t="shared" si="2"/>
        <v>6427018.8034433424</v>
      </c>
      <c r="CD169" s="185">
        <f t="shared" si="2"/>
        <v>20807838.829333048</v>
      </c>
      <c r="CE169" s="185">
        <f t="shared" si="2"/>
        <v>7.4732428173398579E-3</v>
      </c>
      <c r="CF169" s="185">
        <f t="shared" si="2"/>
        <v>265025.05206450127</v>
      </c>
      <c r="CG169" s="185">
        <f t="shared" si="2"/>
        <v>56246820.256464668</v>
      </c>
      <c r="CH169" s="185">
        <f t="shared" si="2"/>
        <v>1577967.3462015078</v>
      </c>
      <c r="CI169" s="185">
        <f t="shared" si="2"/>
        <v>1.2455397176262138E-3</v>
      </c>
      <c r="CJ169" s="185">
        <f t="shared" si="2"/>
        <v>20098.931557580465</v>
      </c>
      <c r="CK169" s="185">
        <f t="shared" si="2"/>
        <v>2380377.3346086442</v>
      </c>
      <c r="CL169" s="185">
        <f t="shared" si="2"/>
        <v>3028.251774849517</v>
      </c>
      <c r="CM169" s="185">
        <f t="shared" si="2"/>
        <v>18.067023799911482</v>
      </c>
      <c r="CN169" s="185">
        <f t="shared" si="2"/>
        <v>101105.54393380656</v>
      </c>
      <c r="CO169" s="185">
        <f t="shared" si="2"/>
        <v>8.8519921261852152E-2</v>
      </c>
      <c r="CP169" s="185">
        <f t="shared" si="2"/>
        <v>0.23683679803452057</v>
      </c>
      <c r="CQ169" s="185">
        <f t="shared" si="2"/>
        <v>238.91746484098863</v>
      </c>
      <c r="CR169" s="185">
        <f t="shared" si="2"/>
        <v>8.8519894705875776E-2</v>
      </c>
      <c r="CS169" s="185">
        <f t="shared" si="2"/>
        <v>1482617899710.4875</v>
      </c>
      <c r="CT169" s="185">
        <f t="shared" si="2"/>
        <v>8.2357227421771002E-3</v>
      </c>
      <c r="CU169" s="185">
        <f t="shared" si="2"/>
        <v>46807383968.270668</v>
      </c>
      <c r="CV169" s="185">
        <f t="shared" ref="CV169:EA169" si="3">CV168*Molweight</f>
        <v>1698852.2675678472</v>
      </c>
      <c r="CW169" s="185">
        <f t="shared" si="3"/>
        <v>44478554594887.547</v>
      </c>
      <c r="CX169" s="185">
        <f t="shared" si="3"/>
        <v>3.4280056729326453E-7</v>
      </c>
      <c r="CY169" s="185">
        <f t="shared" si="3"/>
        <v>1406591558659.6982</v>
      </c>
      <c r="CZ169" s="185">
        <f t="shared" si="3"/>
        <v>103007125.87109546</v>
      </c>
      <c r="DA169" s="185">
        <f t="shared" si="3"/>
        <v>15850782373.682453</v>
      </c>
      <c r="DB169" s="185">
        <f t="shared" si="3"/>
        <v>9.1433748093940993E-19</v>
      </c>
      <c r="DC169" s="185">
        <f t="shared" si="3"/>
        <v>2384639688.3104267</v>
      </c>
      <c r="DD169" s="185">
        <f t="shared" si="3"/>
        <v>104697839.1626984</v>
      </c>
      <c r="DE169" s="185">
        <f t="shared" si="3"/>
        <v>2533959.1337734223</v>
      </c>
      <c r="DF169" s="185">
        <f t="shared" si="3"/>
        <v>3.0402423682114566E-4</v>
      </c>
      <c r="DG169" s="185">
        <f t="shared" si="3"/>
        <v>160195.94189591595</v>
      </c>
      <c r="DH169" s="185">
        <f t="shared" si="3"/>
        <v>626969.30352182093</v>
      </c>
      <c r="DI169" s="185">
        <f t="shared" si="3"/>
        <v>131.88737978947134</v>
      </c>
      <c r="DJ169" s="185">
        <f t="shared" si="3"/>
        <v>0.12218895782938388</v>
      </c>
      <c r="DK169" s="185">
        <f t="shared" si="3"/>
        <v>24253.338996264803</v>
      </c>
      <c r="DL169" s="185">
        <f t="shared" si="3"/>
        <v>1.8506459175752592E-3</v>
      </c>
      <c r="DM169" s="185">
        <f t="shared" si="3"/>
        <v>2.9377696865623463E-3</v>
      </c>
      <c r="DN169" s="185">
        <f t="shared" si="3"/>
        <v>100.09995502566687</v>
      </c>
      <c r="DO169" s="185">
        <f t="shared" si="3"/>
        <v>1.8506453623814833E-3</v>
      </c>
      <c r="DP169" s="185">
        <f t="shared" si="3"/>
        <v>1187713573757.5503</v>
      </c>
      <c r="DQ169" s="185">
        <f t="shared" si="3"/>
        <v>6.704228159453465E-5</v>
      </c>
      <c r="DR169" s="185">
        <f t="shared" si="3"/>
        <v>37427540307.66169</v>
      </c>
      <c r="DS169" s="185">
        <f t="shared" si="3"/>
        <v>649822.20596274501</v>
      </c>
      <c r="DT169" s="185">
        <f t="shared" si="3"/>
        <v>29242927121578.164</v>
      </c>
      <c r="DU169" s="185">
        <f t="shared" si="3"/>
        <v>3.2674238056012223E-9</v>
      </c>
      <c r="DV169" s="185">
        <f t="shared" si="3"/>
        <v>923180645264.5614</v>
      </c>
      <c r="DW169" s="185">
        <f t="shared" si="3"/>
        <v>33467756.80098914</v>
      </c>
      <c r="DX169" s="185">
        <f t="shared" si="3"/>
        <v>10421275473.111683</v>
      </c>
      <c r="DY169" s="185">
        <f t="shared" si="3"/>
        <v>8.8723591347396024E-21</v>
      </c>
      <c r="DZ169" s="185">
        <f t="shared" si="3"/>
        <v>1565097694.938256</v>
      </c>
      <c r="EA169" s="185">
        <f t="shared" si="3"/>
        <v>34017081.721814305</v>
      </c>
      <c r="EB169" s="185">
        <f t="shared" ref="EB169:FB169" si="4">EB168*Molweight</f>
        <v>248310.82447821769</v>
      </c>
      <c r="EC169" s="185">
        <f t="shared" si="4"/>
        <v>1.5587202527366916E-6</v>
      </c>
      <c r="ED169" s="185">
        <f t="shared" si="4"/>
        <v>70542.75943069128</v>
      </c>
      <c r="EE169" s="185">
        <f t="shared" si="4"/>
        <v>3396.118083244342</v>
      </c>
      <c r="EF169" s="185">
        <f t="shared" si="4"/>
        <v>234.44037378546398</v>
      </c>
      <c r="EG169" s="185">
        <f t="shared" si="4"/>
        <v>0.20073526912046058</v>
      </c>
      <c r="EH169" s="185">
        <f t="shared" si="4"/>
        <v>42904.252665213848</v>
      </c>
      <c r="EI169" s="185">
        <f t="shared" si="4"/>
        <v>6.6350948715937919E-4</v>
      </c>
      <c r="EJ169" s="185">
        <f t="shared" si="4"/>
        <v>1.8262752288953211E-3</v>
      </c>
      <c r="EK169" s="185">
        <f t="shared" si="4"/>
        <v>72.508594697269032</v>
      </c>
      <c r="EL169" s="185">
        <f t="shared" si="4"/>
        <v>6.6350928810653316E-4</v>
      </c>
      <c r="EM169" s="185">
        <f t="shared" si="4"/>
        <v>3411688293649.9893</v>
      </c>
      <c r="EN169" s="185">
        <f t="shared" si="4"/>
        <v>1.2966134410313131E-4</v>
      </c>
      <c r="EO169" s="185">
        <f t="shared" si="4"/>
        <v>107871925822.11069</v>
      </c>
      <c r="EP169" s="185">
        <f t="shared" si="4"/>
        <v>7851509.7376186885</v>
      </c>
      <c r="EQ169" s="185">
        <f t="shared" si="4"/>
        <v>109920376998310.58</v>
      </c>
      <c r="ER169" s="185">
        <f t="shared" si="4"/>
        <v>4.7093791098749908E-9</v>
      </c>
      <c r="ES169" s="185">
        <f t="shared" si="4"/>
        <v>3482480897750.7383</v>
      </c>
      <c r="ET169" s="185">
        <f t="shared" si="4"/>
        <v>557813347.3657937</v>
      </c>
      <c r="EU169" s="185">
        <f t="shared" si="4"/>
        <v>39172226291.123108</v>
      </c>
      <c r="EV169" s="185">
        <f t="shared" si="4"/>
        <v>1.2429462210241026E-20</v>
      </c>
      <c r="EW169" s="185">
        <f t="shared" si="4"/>
        <v>5904478972.6985283</v>
      </c>
      <c r="EX169" s="185">
        <f t="shared" si="4"/>
        <v>567018759.03823805</v>
      </c>
      <c r="EY169" s="185">
        <f t="shared" si="4"/>
        <v>64958.525599978064</v>
      </c>
      <c r="EZ169" s="185">
        <f t="shared" si="4"/>
        <v>2.1197406134995792E-6</v>
      </c>
      <c r="FA169" s="185">
        <f t="shared" si="4"/>
        <v>25173.897504666711</v>
      </c>
      <c r="FB169" s="185">
        <f t="shared" si="4"/>
        <v>4594.4897827624018</v>
      </c>
    </row>
    <row r="170" spans="2:160" ht="12.75" customHeight="1" x14ac:dyDescent="0.2">
      <c r="B170" s="188" t="s">
        <v>4066</v>
      </c>
      <c r="C170" s="188"/>
      <c r="D170" s="195">
        <f>D171*8.314*TEMP.R</f>
        <v>4.322001650767999E-6</v>
      </c>
      <c r="E170" s="195"/>
      <c r="F170" s="195"/>
      <c r="G170" s="195"/>
      <c r="H170" s="195"/>
      <c r="I170" s="195"/>
      <c r="J170" s="195"/>
      <c r="K170" s="434">
        <f>K171*KawD.R*8.314*TEMP.R</f>
        <v>1.3954449416028756E-25</v>
      </c>
      <c r="L170" s="195"/>
      <c r="M170" s="195"/>
      <c r="N170" s="195"/>
      <c r="O170" s="195">
        <f>O171*KawD.R*8.314*TEMP.R</f>
        <v>3.1236310989315671E-22</v>
      </c>
      <c r="P170" s="195"/>
      <c r="Q170" s="195"/>
      <c r="R170" s="195"/>
      <c r="S170" s="195">
        <f>S171*KawD.R*8.314*TEMP.R</f>
        <v>2.2588955388165083E-22</v>
      </c>
      <c r="T170" s="195"/>
      <c r="U170" s="195"/>
      <c r="V170" s="195"/>
      <c r="W170" s="195"/>
      <c r="X170" s="195"/>
      <c r="Y170" s="195"/>
      <c r="Z170" s="195"/>
      <c r="AA170" s="195">
        <f>AA171*KawD.R/Ksdw1.R*8.314*TEMP.R</f>
        <v>4.8442085050845953E-22</v>
      </c>
      <c r="AB170" s="195"/>
      <c r="AC170" s="195"/>
      <c r="AD170" s="195"/>
      <c r="AE170" s="195">
        <f>AE171*KawD.R/Ksdw2.R*8.314*TEMP.R</f>
        <v>3.1312896827686649E-22</v>
      </c>
      <c r="AF170" s="195"/>
      <c r="AG170" s="195"/>
      <c r="AH170" s="195"/>
      <c r="AI170" s="195">
        <f>AI171*KawD.R/Ks1w.R*8.314*TEMP.R</f>
        <v>4.7045315101631543E-23</v>
      </c>
      <c r="AJ170" s="195"/>
      <c r="AK170" s="195"/>
      <c r="AL170" s="195"/>
      <c r="AM170" s="195">
        <f>AM171*KawD.R/Ks2w.R*8.314*TEMP.R</f>
        <v>1.2704633163008331E-22</v>
      </c>
      <c r="AN170" s="195"/>
      <c r="AO170" s="195"/>
      <c r="AP170" s="195"/>
      <c r="AQ170" s="195">
        <f>AQ171*KawD.R/Ks3w.R*8.314*TEMP.R</f>
        <v>4.7045315101631531E-23</v>
      </c>
      <c r="AR170" s="195"/>
      <c r="AS170" s="195"/>
      <c r="AT170" s="195"/>
      <c r="AU170" s="195">
        <f>AU171*8.314*TEMP.C</f>
        <v>1.3723948199571568E-7</v>
      </c>
      <c r="AV170" s="195"/>
      <c r="AW170" s="195"/>
      <c r="AX170" s="195"/>
      <c r="AY170" s="195"/>
      <c r="AZ170" s="195"/>
      <c r="BA170" s="195"/>
      <c r="BB170" s="195">
        <f>BB171*Kaw.C*8.314*TEMP.C</f>
        <v>4.8896512553910994E-26</v>
      </c>
      <c r="BC170" s="195"/>
      <c r="BD170" s="195"/>
      <c r="BE170" s="195"/>
      <c r="BF170" s="195">
        <f>BF171*Kaw.C*8.314*TEMP.C</f>
        <v>1.9753037827218555E-24</v>
      </c>
      <c r="BG170" s="195"/>
      <c r="BH170" s="195"/>
      <c r="BI170" s="195"/>
      <c r="BJ170" s="195">
        <f>BJ171*Kaw.C*8.314*TEMP.C</f>
        <v>2.1627212118783581E-22</v>
      </c>
      <c r="BK170" s="195"/>
      <c r="BL170" s="195"/>
      <c r="BM170" s="195"/>
      <c r="BN170" s="195"/>
      <c r="BO170" s="195"/>
      <c r="BP170" s="195"/>
      <c r="BQ170" s="195"/>
      <c r="BR170" s="195">
        <f>BR171*Kaw.C/Ksdw1.C*8.314*TEMP.C</f>
        <v>3.0535934862056331E-24</v>
      </c>
      <c r="BS170" s="195"/>
      <c r="BT170" s="195"/>
      <c r="BU170" s="195"/>
      <c r="BV170" s="195">
        <f>BV171*Kaw.C/Ksdw2.C*8.314*TEMP.C</f>
        <v>2.9873139616187937E-22</v>
      </c>
      <c r="BW170" s="195"/>
      <c r="BX170" s="195"/>
      <c r="BY170" s="195"/>
      <c r="BZ170" s="195">
        <f>BZ171*Kaw.C/Ks1w.C*8.314*TEMP.C</f>
        <v>1.6962048760571759E-24</v>
      </c>
      <c r="CA170" s="195"/>
      <c r="CB170" s="195"/>
      <c r="CC170" s="195"/>
      <c r="CD170" s="195">
        <f>CD171*Kaw.C/Ks2w.C*8.314*TEMP.C</f>
        <v>9.3195733125401625E-25</v>
      </c>
      <c r="CE170" s="195"/>
      <c r="CF170" s="195"/>
      <c r="CG170" s="195"/>
      <c r="CH170" s="195">
        <f>CH171*Kaw.C/Ks3w.C*8.314*TEMP.C</f>
        <v>1.6962048760571759E-24</v>
      </c>
      <c r="CI170" s="195"/>
      <c r="CJ170" s="195"/>
      <c r="CK170" s="195"/>
      <c r="CL170" s="195">
        <f>CL171*8.314*TEMP.M</f>
        <v>1.9528582174545003E-9</v>
      </c>
      <c r="CM170" s="195"/>
      <c r="CN170" s="195"/>
      <c r="CO170" s="195"/>
      <c r="CP170" s="195"/>
      <c r="CQ170" s="195"/>
      <c r="CR170" s="195"/>
      <c r="CS170" s="195">
        <f>CS171*Kaw.M*8.314*TEMP.M</f>
        <v>2.1628356962425507E-22</v>
      </c>
      <c r="CT170" s="195"/>
      <c r="CU170" s="195"/>
      <c r="CV170" s="195"/>
      <c r="CW170" s="195">
        <f>CW171*Kaw.M*8.314*TEMP.M</f>
        <v>2.1628365522427359E-22</v>
      </c>
      <c r="CX170" s="195"/>
      <c r="CY170" s="195"/>
      <c r="CZ170" s="195"/>
      <c r="DA170" s="195">
        <f>DA171*Kaw.M/Ksdw.M*8.314*TEMP.M</f>
        <v>2.9874732979558149E-22</v>
      </c>
      <c r="DB170" s="195"/>
      <c r="DC170" s="195"/>
      <c r="DD170" s="195"/>
      <c r="DE170" s="185">
        <f>DE171*Kaw.M/Kslw.M*8.314*TEMP.M</f>
        <v>2.44803120193353E-26</v>
      </c>
      <c r="DF170" s="185"/>
      <c r="DG170" s="185"/>
      <c r="DH170" s="185"/>
      <c r="DI170" s="195">
        <f>DI171*8.314*TEMP.A</f>
        <v>1.4325319920650589E-10</v>
      </c>
      <c r="DJ170" s="195"/>
      <c r="DK170" s="195"/>
      <c r="DL170" s="195"/>
      <c r="DM170" s="195"/>
      <c r="DN170" s="195"/>
      <c r="DO170" s="195"/>
      <c r="DP170" s="195">
        <f>DP171*Kaw.A*8.314*TEMP.A</f>
        <v>5.4161642028749742E-28</v>
      </c>
      <c r="DQ170" s="195"/>
      <c r="DR170" s="195"/>
      <c r="DS170" s="195"/>
      <c r="DT170" s="195">
        <f>DT171*Kaw.A*8.314*TEMP.A</f>
        <v>4.4450811082926592E-28</v>
      </c>
      <c r="DU170" s="195"/>
      <c r="DV170" s="195"/>
      <c r="DW170" s="195"/>
      <c r="DX170" s="195">
        <f>DX171*Kaw.A/Ksdw.A*8.314*TEMP.A</f>
        <v>6.1398819058516493E-28</v>
      </c>
      <c r="DY170" s="195"/>
      <c r="DZ170" s="195"/>
      <c r="EA170" s="195"/>
      <c r="EB170" s="185">
        <f>EB171*Kaw.A/Kslw.A*8.314*TEMP.A</f>
        <v>1.1248382247970544E-32</v>
      </c>
      <c r="EC170" s="185"/>
      <c r="ED170" s="185"/>
      <c r="EE170" s="185"/>
      <c r="EF170" s="195">
        <f>EF171*8.314*TEMP.T</f>
        <v>9.6177338655699091E-11</v>
      </c>
      <c r="EG170" s="195"/>
      <c r="EH170" s="195"/>
      <c r="EI170" s="195"/>
      <c r="EJ170" s="195"/>
      <c r="EK170" s="195"/>
      <c r="EL170" s="195"/>
      <c r="EM170" s="195">
        <f>EM171*Kaw.T*8.314*TEMP.T</f>
        <v>1.9994544983243344E-19</v>
      </c>
      <c r="EN170" s="195"/>
      <c r="EO170" s="195"/>
      <c r="EP170" s="195"/>
      <c r="EQ170" s="195">
        <f>EQ171*Kaw.T*8.314*TEMP.T</f>
        <v>2.1473316955307843E-19</v>
      </c>
      <c r="ER170" s="195"/>
      <c r="ES170" s="195"/>
      <c r="ET170" s="195"/>
      <c r="EU170" s="195">
        <f>EU171*Kaw.T/Ksdw.T*8.314*TEMP.T</f>
        <v>2.9660568716726362E-19</v>
      </c>
      <c r="EV170" s="195"/>
      <c r="EW170" s="195"/>
      <c r="EX170" s="195"/>
      <c r="EY170" s="195">
        <f>EY171*Kaw.T/Kslw.T*8.314*TEMP.T</f>
        <v>5.8827199888266966E-25</v>
      </c>
      <c r="EZ170" s="195"/>
      <c r="FA170" s="195"/>
      <c r="FB170" s="196"/>
    </row>
    <row r="171" spans="2:160" ht="12.75" customHeight="1" x14ac:dyDescent="0.2">
      <c r="B171" s="188" t="s">
        <v>4067</v>
      </c>
      <c r="C171" s="389"/>
      <c r="D171" s="185">
        <f>D168/D4</f>
        <v>1.8240218995513797E-9</v>
      </c>
      <c r="E171" s="185">
        <f t="shared" ref="E171:AI171" si="5">E168/E4</f>
        <v>4.4054034866903395E-10</v>
      </c>
      <c r="F171" s="185">
        <f t="shared" si="5"/>
        <v>2.6748687211715673E-9</v>
      </c>
      <c r="G171" s="185">
        <f>G168/G4</f>
        <v>8.4871968118135992E-13</v>
      </c>
      <c r="H171" s="185">
        <f t="shared" si="5"/>
        <v>1.9249834530816395E-5</v>
      </c>
      <c r="I171" s="185">
        <f t="shared" si="5"/>
        <v>2.1069495920789691E-5</v>
      </c>
      <c r="J171" s="185">
        <f t="shared" si="5"/>
        <v>2.8290647552181841E-6</v>
      </c>
      <c r="K171" s="32">
        <f t="shared" si="5"/>
        <v>5.2068148449243881E-6</v>
      </c>
      <c r="L171" s="185">
        <f t="shared" si="5"/>
        <v>5.2937205898907091E-10</v>
      </c>
      <c r="M171" s="185">
        <f t="shared" si="5"/>
        <v>2.8451446932305343E-6</v>
      </c>
      <c r="N171" s="185">
        <f t="shared" si="5"/>
        <v>2.1449422652047693E-9</v>
      </c>
      <c r="O171" s="185">
        <f t="shared" si="5"/>
        <v>1.165518487408221E-2</v>
      </c>
      <c r="P171" s="185">
        <f t="shared" si="5"/>
        <v>5.3831431706072234E-6</v>
      </c>
      <c r="Q171" s="185">
        <f t="shared" si="5"/>
        <v>8.4593943882904331E-3</v>
      </c>
      <c r="R171" s="185">
        <f t="shared" si="5"/>
        <v>1.1318449448963754E-4</v>
      </c>
      <c r="S171" s="185">
        <f t="shared" si="5"/>
        <v>8.428602572548129E-3</v>
      </c>
      <c r="T171" s="185">
        <f t="shared" si="5"/>
        <v>3.23916607303478E-10</v>
      </c>
      <c r="U171" s="185">
        <f t="shared" si="5"/>
        <v>1.0762164885874071E-3</v>
      </c>
      <c r="V171" s="185">
        <f t="shared" si="5"/>
        <v>9.4513547724913694E-6</v>
      </c>
      <c r="W171" s="185">
        <f t="shared" si="5"/>
        <v>4.7595767591461296E-4</v>
      </c>
      <c r="X171" s="185">
        <f t="shared" si="5"/>
        <v>1.5761605992451426E-14</v>
      </c>
      <c r="Y171" s="185">
        <f t="shared" si="5"/>
        <v>1.6067562563154391E-3</v>
      </c>
      <c r="Z171" s="185">
        <f t="shared" si="5"/>
        <v>7.2623473417258511E-4</v>
      </c>
      <c r="AA171" s="185">
        <f t="shared" si="5"/>
        <v>0.46633924199262866</v>
      </c>
      <c r="AB171" s="185">
        <f t="shared" si="5"/>
        <v>1.6025695088775294E-10</v>
      </c>
      <c r="AC171" s="185">
        <f t="shared" si="5"/>
        <v>0.47032867127093636</v>
      </c>
      <c r="AD171" s="185">
        <f t="shared" si="5"/>
        <v>3.7728041125021394</v>
      </c>
      <c r="AE171" s="185">
        <f t="shared" si="5"/>
        <v>0.30144104152184459</v>
      </c>
      <c r="AF171" s="185">
        <f t="shared" si="5"/>
        <v>1.9288951425610723E-16</v>
      </c>
      <c r="AG171" s="185">
        <f t="shared" si="5"/>
        <v>0.17950623068824162</v>
      </c>
      <c r="AH171" s="185">
        <f t="shared" si="5"/>
        <v>0.94512584455828375</v>
      </c>
      <c r="AI171" s="185">
        <f t="shared" si="5"/>
        <v>5.3013045374426256E-2</v>
      </c>
      <c r="AJ171" s="185">
        <f t="shared" ref="AJ171:BO171" si="6">AJ168/AJ4</f>
        <v>2.965289791962252E-10</v>
      </c>
      <c r="AK171" s="185">
        <f t="shared" si="6"/>
        <v>3.7698919092542959E-4</v>
      </c>
      <c r="AL171" s="185">
        <f t="shared" si="6"/>
        <v>0.5088082091329631</v>
      </c>
      <c r="AM171" s="185">
        <f t="shared" si="6"/>
        <v>0.14316224535451008</v>
      </c>
      <c r="AN171" s="185">
        <f t="shared" si="6"/>
        <v>1.978131508088649E-9</v>
      </c>
      <c r="AO171" s="185">
        <f t="shared" si="6"/>
        <v>3.1439032533639192E-3</v>
      </c>
      <c r="AP171" s="185">
        <f t="shared" si="6"/>
        <v>11.684314064734876</v>
      </c>
      <c r="AQ171" s="185">
        <f t="shared" si="6"/>
        <v>5.3013045374426242E-2</v>
      </c>
      <c r="AR171" s="185">
        <f t="shared" si="6"/>
        <v>2.9652897919622525E-10</v>
      </c>
      <c r="AS171" s="185">
        <f t="shared" si="6"/>
        <v>3.7698919092542965E-4</v>
      </c>
      <c r="AT171" s="185">
        <f t="shared" si="6"/>
        <v>0.5088082091329631</v>
      </c>
      <c r="AU171" s="185">
        <f t="shared" si="6"/>
        <v>5.7919418100821561E-11</v>
      </c>
      <c r="AV171" s="185">
        <f t="shared" si="6"/>
        <v>2.2414176970644962E-12</v>
      </c>
      <c r="AW171" s="185">
        <f t="shared" si="6"/>
        <v>3.6791706312281453E-10</v>
      </c>
      <c r="AX171" s="185">
        <f t="shared" si="6"/>
        <v>8.0745367259604321E-15</v>
      </c>
      <c r="AY171" s="185">
        <f t="shared" si="6"/>
        <v>9.7940903513812299E-8</v>
      </c>
      <c r="AZ171" s="185">
        <f t="shared" si="6"/>
        <v>2.8980214988868086E-6</v>
      </c>
      <c r="BA171" s="185">
        <f t="shared" si="6"/>
        <v>2.6915114345331385E-8</v>
      </c>
      <c r="BB171" s="185">
        <f t="shared" si="6"/>
        <v>1.824472466382624E-6</v>
      </c>
      <c r="BC171" s="185">
        <f t="shared" si="6"/>
        <v>2.6943610638713617E-12</v>
      </c>
      <c r="BD171" s="185">
        <f t="shared" si="6"/>
        <v>1.8759764843275781E-6</v>
      </c>
      <c r="BE171" s="185">
        <f t="shared" si="6"/>
        <v>2.1207963998012264E-11</v>
      </c>
      <c r="BF171" s="185">
        <f t="shared" si="6"/>
        <v>7.3704384547752634E-5</v>
      </c>
      <c r="BG171" s="185">
        <f t="shared" si="6"/>
        <v>8.0678384539244208E-11</v>
      </c>
      <c r="BH171" s="185">
        <f t="shared" si="6"/>
        <v>2.9790079724359175E-5</v>
      </c>
      <c r="BI171" s="185">
        <f t="shared" si="6"/>
        <v>3.1208832400623593E-8</v>
      </c>
      <c r="BJ171" s="185">
        <f t="shared" si="6"/>
        <v>8.069747917468029E-3</v>
      </c>
      <c r="BK171" s="185">
        <f t="shared" si="6"/>
        <v>2.0262861682283894E-14</v>
      </c>
      <c r="BL171" s="185">
        <f t="shared" si="6"/>
        <v>2.5519259149967932E-4</v>
      </c>
      <c r="BM171" s="185">
        <f t="shared" si="6"/>
        <v>1.0349239682069501E-8</v>
      </c>
      <c r="BN171" s="185">
        <f t="shared" si="6"/>
        <v>1.652973145746754E-4</v>
      </c>
      <c r="BO171" s="185">
        <f t="shared" si="6"/>
        <v>3.5932558296123548E-17</v>
      </c>
      <c r="BP171" s="185">
        <f t="shared" ref="BP171:CU171" si="7">BP168/BP4</f>
        <v>1.0672232566465557E-3</v>
      </c>
      <c r="BQ171" s="185">
        <f t="shared" si="7"/>
        <v>7.2334052341429531E-6</v>
      </c>
      <c r="BR171" s="185">
        <f t="shared" si="7"/>
        <v>2.9396143254694514E-3</v>
      </c>
      <c r="BS171" s="185">
        <f t="shared" si="7"/>
        <v>1.0758798662577847E-15</v>
      </c>
      <c r="BT171" s="185">
        <f t="shared" si="7"/>
        <v>1.6834808274559143E-3</v>
      </c>
      <c r="BU171" s="185">
        <f t="shared" si="7"/>
        <v>1.0573766650349582E-3</v>
      </c>
      <c r="BV171" s="185">
        <f t="shared" si="7"/>
        <v>0.28758087662681575</v>
      </c>
      <c r="BW171" s="185">
        <f t="shared" si="7"/>
        <v>5.4046275516671773E-21</v>
      </c>
      <c r="BX171" s="185">
        <f t="shared" si="7"/>
        <v>4.3263616798101305E-2</v>
      </c>
      <c r="BY171" s="185">
        <f t="shared" si="7"/>
        <v>1.0519107513539848E-3</v>
      </c>
      <c r="BZ171" s="185">
        <f t="shared" si="7"/>
        <v>1.9113696202158856E-3</v>
      </c>
      <c r="CA171" s="185">
        <f t="shared" si="7"/>
        <v>1.5087047160854244E-12</v>
      </c>
      <c r="CB171" s="185">
        <f t="shared" si="7"/>
        <v>2.4345552695012371E-5</v>
      </c>
      <c r="CC171" s="185">
        <f t="shared" si="7"/>
        <v>2.8833175369399658E-3</v>
      </c>
      <c r="CD171" s="185">
        <f t="shared" si="7"/>
        <v>1.0501767536696754E-3</v>
      </c>
      <c r="CE171" s="185">
        <f t="shared" si="7"/>
        <v>3.7717640672204059E-13</v>
      </c>
      <c r="CF171" s="185">
        <f t="shared" si="7"/>
        <v>1.3375879691353593E-5</v>
      </c>
      <c r="CG171" s="185">
        <f t="shared" si="7"/>
        <v>2.8387908799978501E-3</v>
      </c>
      <c r="CH171" s="185">
        <f t="shared" si="7"/>
        <v>1.9113696202158852E-3</v>
      </c>
      <c r="CI171" s="185">
        <f t="shared" si="7"/>
        <v>1.5087047160854248E-12</v>
      </c>
      <c r="CJ171" s="185">
        <f t="shared" si="7"/>
        <v>2.4345552695012375E-5</v>
      </c>
      <c r="CK171" s="185">
        <f t="shared" si="7"/>
        <v>2.8833175369399654E-3</v>
      </c>
      <c r="CL171" s="185">
        <f t="shared" si="7"/>
        <v>8.2416816169492169E-13</v>
      </c>
      <c r="CM171" s="185">
        <f t="shared" si="7"/>
        <v>4.9171161777693952E-15</v>
      </c>
      <c r="CN171" s="185">
        <f t="shared" si="7"/>
        <v>2.75168567465733E-11</v>
      </c>
      <c r="CO171" s="185">
        <f t="shared" si="7"/>
        <v>2.4091557176874858E-17</v>
      </c>
      <c r="CP171" s="185">
        <f t="shared" si="7"/>
        <v>2.1485812384002978E-10</v>
      </c>
      <c r="CQ171" s="185">
        <f t="shared" si="7"/>
        <v>2.1674570283993164E-7</v>
      </c>
      <c r="CR171" s="185">
        <f t="shared" si="7"/>
        <v>8.0305166498025678E-11</v>
      </c>
      <c r="CS171" s="185">
        <f t="shared" si="7"/>
        <v>8.0701750922487873E-3</v>
      </c>
      <c r="CT171" s="185">
        <f t="shared" si="7"/>
        <v>4.4828626818523476E-17</v>
      </c>
      <c r="CU171" s="185">
        <f t="shared" si="7"/>
        <v>2.5478161588891212E-4</v>
      </c>
      <c r="CV171" s="185">
        <f t="shared" ref="CV171:EA171" si="8">CV168/CV4</f>
        <v>9.2471804487276081E-9</v>
      </c>
      <c r="CW171" s="185">
        <f t="shared" si="8"/>
        <v>8.0701782862368388E-3</v>
      </c>
      <c r="CX171" s="185">
        <f t="shared" si="8"/>
        <v>6.2197652776193325E-23</v>
      </c>
      <c r="CY171" s="185">
        <f t="shared" si="8"/>
        <v>2.5521163530804763E-4</v>
      </c>
      <c r="CZ171" s="185">
        <f t="shared" si="8"/>
        <v>1.8689588231991E-8</v>
      </c>
      <c r="DA171" s="185">
        <f t="shared" si="8"/>
        <v>0.28759621551789583</v>
      </c>
      <c r="DB171" s="185">
        <f t="shared" si="8"/>
        <v>1.6589717341709339E-29</v>
      </c>
      <c r="DC171" s="185">
        <f t="shared" si="8"/>
        <v>4.3266845355881656E-2</v>
      </c>
      <c r="DD171" s="185">
        <f t="shared" si="8"/>
        <v>1.8996350846433386E-3</v>
      </c>
      <c r="DE171" s="185">
        <f t="shared" si="8"/>
        <v>2.7585656277518004E-5</v>
      </c>
      <c r="DF171" s="185">
        <f t="shared" si="8"/>
        <v>3.3097250800938791E-15</v>
      </c>
      <c r="DG171" s="185">
        <f t="shared" si="8"/>
        <v>1.7439547983606608E-6</v>
      </c>
      <c r="DH171" s="185">
        <f t="shared" si="8"/>
        <v>6.825429610521217E-6</v>
      </c>
      <c r="DI171" s="185">
        <f t="shared" si="8"/>
        <v>6.5514670479545649E-14</v>
      </c>
      <c r="DJ171" s="185">
        <f t="shared" si="8"/>
        <v>6.0697007713775526E-17</v>
      </c>
      <c r="DK171" s="185">
        <f t="shared" si="8"/>
        <v>1.2047775267849016E-11</v>
      </c>
      <c r="DL171" s="185">
        <f t="shared" si="8"/>
        <v>9.1930295118304066E-19</v>
      </c>
      <c r="DM171" s="185">
        <f t="shared" si="8"/>
        <v>4.864428354635111E-12</v>
      </c>
      <c r="DN171" s="185">
        <f t="shared" si="8"/>
        <v>1.6574786708155366E-7</v>
      </c>
      <c r="DO171" s="185">
        <f t="shared" si="8"/>
        <v>3.0643422513071832E-12</v>
      </c>
      <c r="DP171" s="185">
        <f t="shared" si="8"/>
        <v>9.8332178293860598E-3</v>
      </c>
      <c r="DQ171" s="185">
        <f t="shared" si="8"/>
        <v>5.5505079108632891E-19</v>
      </c>
      <c r="DR171" s="185">
        <f t="shared" si="8"/>
        <v>3.0986692818456545E-4</v>
      </c>
      <c r="DS171" s="185">
        <f t="shared" si="8"/>
        <v>5.3799530819441601E-9</v>
      </c>
      <c r="DT171" s="185">
        <f t="shared" si="8"/>
        <v>8.0701856830575677E-3</v>
      </c>
      <c r="DU171" s="185">
        <f t="shared" si="8"/>
        <v>9.0171263317163459E-25</v>
      </c>
      <c r="DV171" s="185">
        <f t="shared" si="8"/>
        <v>2.5477063890749931E-4</v>
      </c>
      <c r="DW171" s="185">
        <f t="shared" si="8"/>
        <v>9.2361141091138139E-9</v>
      </c>
      <c r="DX171" s="185">
        <f t="shared" si="8"/>
        <v>0.28759647682549139</v>
      </c>
      <c r="DY171" s="185">
        <f t="shared" si="8"/>
        <v>2.4485095273272497E-31</v>
      </c>
      <c r="DZ171" s="185">
        <f t="shared" si="8"/>
        <v>4.3192081824657884E-2</v>
      </c>
      <c r="EA171" s="185">
        <f t="shared" si="8"/>
        <v>9.3877115908898019E-4</v>
      </c>
      <c r="EB171" s="185">
        <f t="shared" ref="EB171:FB171" si="9">EB168/EB4</f>
        <v>6.1673819692840929E-6</v>
      </c>
      <c r="EC171" s="185">
        <f t="shared" si="9"/>
        <v>3.8714474900909955E-17</v>
      </c>
      <c r="ED171" s="185">
        <f t="shared" si="9"/>
        <v>1.7520949539376826E-6</v>
      </c>
      <c r="EE171" s="185">
        <f t="shared" si="9"/>
        <v>8.4350561342516746E-8</v>
      </c>
      <c r="EF171" s="185">
        <f t="shared" si="9"/>
        <v>3.8819190181233516E-14</v>
      </c>
      <c r="EG171" s="185">
        <f t="shared" si="9"/>
        <v>3.3238219433991547E-17</v>
      </c>
      <c r="EH171" s="185">
        <f t="shared" si="9"/>
        <v>7.1041873756724828E-12</v>
      </c>
      <c r="EI171" s="185">
        <f t="shared" si="9"/>
        <v>1.0986546623007332E-19</v>
      </c>
      <c r="EJ171" s="185">
        <f t="shared" si="9"/>
        <v>1.0079965364475249E-12</v>
      </c>
      <c r="EK171" s="185">
        <f t="shared" si="9"/>
        <v>4.0020480572216017E-8</v>
      </c>
      <c r="EL171" s="185">
        <f t="shared" si="9"/>
        <v>3.6621811090144489E-13</v>
      </c>
      <c r="EM171" s="185">
        <f t="shared" si="9"/>
        <v>8.0702175287916348E-3</v>
      </c>
      <c r="EN171" s="185">
        <f t="shared" si="9"/>
        <v>3.067089258814702E-19</v>
      </c>
      <c r="EO171" s="185">
        <f t="shared" si="9"/>
        <v>2.5516689442421257E-4</v>
      </c>
      <c r="EP171" s="185">
        <f t="shared" si="9"/>
        <v>1.8572444507883025E-8</v>
      </c>
      <c r="EQ171" s="185">
        <f t="shared" si="9"/>
        <v>8.667080898277767E-3</v>
      </c>
      <c r="ER171" s="185">
        <f t="shared" si="9"/>
        <v>3.7132850924058622E-25</v>
      </c>
      <c r="ES171" s="185">
        <f t="shared" si="9"/>
        <v>2.745891570948354E-4</v>
      </c>
      <c r="ET171" s="185">
        <f t="shared" si="9"/>
        <v>4.3982867779217661E-8</v>
      </c>
      <c r="EU171" s="185">
        <f t="shared" si="9"/>
        <v>0.30886798562929357</v>
      </c>
      <c r="EV171" s="185">
        <f t="shared" si="9"/>
        <v>9.800471708707938E-32</v>
      </c>
      <c r="EW171" s="185">
        <f t="shared" si="9"/>
        <v>4.6556060228345721E-2</v>
      </c>
      <c r="EX171" s="185">
        <f t="shared" si="9"/>
        <v>4.470870269577959E-3</v>
      </c>
      <c r="EY171" s="185">
        <f t="shared" si="9"/>
        <v>7.1706551277850346E-7</v>
      </c>
      <c r="EZ171" s="185">
        <f t="shared" si="9"/>
        <v>2.3399436424046679E-17</v>
      </c>
      <c r="FA171" s="185">
        <f t="shared" si="9"/>
        <v>2.7789013922482593E-7</v>
      </c>
      <c r="FB171" s="192">
        <f t="shared" si="9"/>
        <v>5.0717748618869956E-8</v>
      </c>
    </row>
    <row r="172" spans="2:160" ht="12.75" customHeight="1" x14ac:dyDescent="0.2">
      <c r="B172" s="197" t="s">
        <v>4068</v>
      </c>
      <c r="C172" s="441">
        <f>SUM(D172:FB172)</f>
        <v>1</v>
      </c>
      <c r="D172" s="198">
        <f t="shared" ref="D172:AI172" si="10">D168/SUM($D$168:$FB$168)</f>
        <v>1.0113690545204339E-10</v>
      </c>
      <c r="E172" s="198">
        <f t="shared" si="10"/>
        <v>2.4426728430239046E-11</v>
      </c>
      <c r="F172" s="198">
        <f t="shared" si="10"/>
        <v>1.483139785856155E-10</v>
      </c>
      <c r="G172" s="198">
        <f t="shared" si="10"/>
        <v>4.7059129154117776E-14</v>
      </c>
      <c r="H172" s="198">
        <f t="shared" si="10"/>
        <v>3.2020482244037072E-13</v>
      </c>
      <c r="I172" s="198">
        <f t="shared" si="10"/>
        <v>3.5047336066313992E-13</v>
      </c>
      <c r="J172" s="198">
        <f t="shared" si="10"/>
        <v>4.7059115036379007E-14</v>
      </c>
      <c r="K172" s="198">
        <f t="shared" si="10"/>
        <v>7.1861450704527042E-11</v>
      </c>
      <c r="L172" s="198">
        <f t="shared" si="10"/>
        <v>7.3060873594304898E-15</v>
      </c>
      <c r="M172" s="198">
        <f t="shared" si="10"/>
        <v>3.9267043520692311E-11</v>
      </c>
      <c r="N172" s="198">
        <f t="shared" si="10"/>
        <v>2.9603254090228253E-14</v>
      </c>
      <c r="O172" s="198">
        <f t="shared" si="10"/>
        <v>5.3083182524180256E-8</v>
      </c>
      <c r="P172" s="198">
        <f t="shared" si="10"/>
        <v>2.4517360691083802E-11</v>
      </c>
      <c r="Q172" s="198">
        <f t="shared" si="10"/>
        <v>3.8528052640006524E-8</v>
      </c>
      <c r="R172" s="198">
        <f t="shared" si="10"/>
        <v>5.1549531344294711E-10</v>
      </c>
      <c r="S172" s="198">
        <f t="shared" si="10"/>
        <v>2.0357300400421562E-8</v>
      </c>
      <c r="T172" s="198">
        <f t="shared" si="10"/>
        <v>7.8234412203027539E-16</v>
      </c>
      <c r="U172" s="198">
        <f t="shared" si="10"/>
        <v>2.5993469457698298E-9</v>
      </c>
      <c r="V172" s="198">
        <f t="shared" si="10"/>
        <v>2.2827516974311119E-11</v>
      </c>
      <c r="W172" s="198">
        <f t="shared" si="10"/>
        <v>1.9706678699274491E-12</v>
      </c>
      <c r="X172" s="198">
        <f t="shared" si="10"/>
        <v>6.5259774302604807E-23</v>
      </c>
      <c r="Y172" s="198">
        <f t="shared" si="10"/>
        <v>6.6526565057305631E-12</v>
      </c>
      <c r="Z172" s="198">
        <f t="shared" si="10"/>
        <v>3.0069216845994678E-12</v>
      </c>
      <c r="AA172" s="198">
        <f t="shared" si="10"/>
        <v>2.1239277942240186E-8</v>
      </c>
      <c r="AB172" s="198">
        <f t="shared" si="10"/>
        <v>7.2988537433328893E-18</v>
      </c>
      <c r="AC172" s="198">
        <f t="shared" si="10"/>
        <v>2.1420975276804682E-8</v>
      </c>
      <c r="AD172" s="198">
        <f t="shared" si="10"/>
        <v>1.7183120773766316E-7</v>
      </c>
      <c r="AE172" s="198">
        <f t="shared" si="10"/>
        <v>2.1841790910616926E-9</v>
      </c>
      <c r="AF172" s="198">
        <f t="shared" si="10"/>
        <v>1.3976373017962281E-24</v>
      </c>
      <c r="AG172" s="198">
        <f t="shared" si="10"/>
        <v>1.3006648126119269E-9</v>
      </c>
      <c r="AH172" s="198">
        <f t="shared" si="10"/>
        <v>6.8481852958188864E-9</v>
      </c>
      <c r="AI172" s="198">
        <f t="shared" si="10"/>
        <v>3.9509393143022648E-8</v>
      </c>
      <c r="AJ172" s="198">
        <f t="shared" ref="AJ172:BO172" si="11">AJ168/SUM($D$168:$FB$168)</f>
        <v>2.2099617055794622E-16</v>
      </c>
      <c r="AK172" s="198">
        <f t="shared" si="11"/>
        <v>2.8096130018080527E-10</v>
      </c>
      <c r="AL172" s="198">
        <f t="shared" si="11"/>
        <v>3.7920295706552947E-7</v>
      </c>
      <c r="AM172" s="198">
        <f t="shared" si="11"/>
        <v>9.4840445319736085E-7</v>
      </c>
      <c r="AN172" s="198">
        <f t="shared" si="11"/>
        <v>1.3104493622851547E-14</v>
      </c>
      <c r="AO172" s="198">
        <f t="shared" si="11"/>
        <v>2.0827361561202828E-8</v>
      </c>
      <c r="AP172" s="198">
        <f t="shared" si="11"/>
        <v>7.7404873499366432E-5</v>
      </c>
      <c r="AQ172" s="198">
        <f t="shared" si="11"/>
        <v>1.4633108571489865E-8</v>
      </c>
      <c r="AR172" s="198">
        <f t="shared" si="11"/>
        <v>8.1850433539980079E-17</v>
      </c>
      <c r="AS172" s="198">
        <f t="shared" si="11"/>
        <v>1.0405974080770565E-10</v>
      </c>
      <c r="AT172" s="198">
        <f t="shared" si="11"/>
        <v>1.4044553965389978E-7</v>
      </c>
      <c r="AU172" s="198">
        <f t="shared" si="11"/>
        <v>1.0071077168330982E-10</v>
      </c>
      <c r="AV172" s="198">
        <f t="shared" si="11"/>
        <v>3.8973959569664707E-12</v>
      </c>
      <c r="AW172" s="198">
        <f t="shared" si="11"/>
        <v>6.3973728600063543E-10</v>
      </c>
      <c r="AX172" s="198">
        <f t="shared" si="11"/>
        <v>1.4040072419946607E-14</v>
      </c>
      <c r="AY172" s="198">
        <f t="shared" si="11"/>
        <v>5.1090140210317733E-14</v>
      </c>
      <c r="AZ172" s="198">
        <f t="shared" si="11"/>
        <v>1.5117312522010961E-12</v>
      </c>
      <c r="BA172" s="198">
        <f t="shared" si="11"/>
        <v>1.4040068207924882E-14</v>
      </c>
      <c r="BB172" s="198">
        <f t="shared" si="11"/>
        <v>3.8401605379346194E-10</v>
      </c>
      <c r="BC172" s="198">
        <f t="shared" si="11"/>
        <v>5.6711072504924496E-16</v>
      </c>
      <c r="BD172" s="198">
        <f t="shared" si="11"/>
        <v>3.9485665023443946E-10</v>
      </c>
      <c r="BE172" s="198">
        <f t="shared" si="11"/>
        <v>4.4638649218192693E-15</v>
      </c>
      <c r="BF172" s="198">
        <f t="shared" si="11"/>
        <v>5.119403142295182E-9</v>
      </c>
      <c r="BG172" s="198">
        <f t="shared" si="11"/>
        <v>5.6038073970743124E-15</v>
      </c>
      <c r="BH172" s="198">
        <f t="shared" si="11"/>
        <v>2.0691771417112875E-9</v>
      </c>
      <c r="BI172" s="198">
        <f t="shared" si="11"/>
        <v>2.1677217120726612E-12</v>
      </c>
      <c r="BJ172" s="198">
        <f t="shared" si="11"/>
        <v>1.4475296748435364E-3</v>
      </c>
      <c r="BK172" s="198">
        <f t="shared" si="11"/>
        <v>3.6346976240565035E-15</v>
      </c>
      <c r="BL172" s="198">
        <f t="shared" si="11"/>
        <v>4.5775760627714034E-5</v>
      </c>
      <c r="BM172" s="198">
        <f t="shared" si="11"/>
        <v>1.8564187760358554E-9</v>
      </c>
      <c r="BN172" s="198">
        <f t="shared" si="11"/>
        <v>1.0437563232424983E-11</v>
      </c>
      <c r="BO172" s="198">
        <f t="shared" si="11"/>
        <v>2.2689318957396193E-24</v>
      </c>
      <c r="BP172" s="198">
        <f t="shared" ref="BP172:CU172" si="12">BP168/SUM($D$168:$FB$168)</f>
        <v>6.7388936432664476E-11</v>
      </c>
      <c r="BQ172" s="198">
        <f t="shared" si="12"/>
        <v>4.5674743544011498E-13</v>
      </c>
      <c r="BR172" s="198">
        <f t="shared" si="12"/>
        <v>2.041814867227341E-9</v>
      </c>
      <c r="BS172" s="198">
        <f t="shared" si="12"/>
        <v>7.4729106034169679E-22</v>
      </c>
      <c r="BT172" s="198">
        <f t="shared" si="12"/>
        <v>1.1693221632544372E-9</v>
      </c>
      <c r="BU172" s="198">
        <f t="shared" si="12"/>
        <v>7.3443899637509706E-10</v>
      </c>
      <c r="BV172" s="198">
        <f t="shared" si="12"/>
        <v>7.7378226140200187E-6</v>
      </c>
      <c r="BW172" s="198">
        <f t="shared" si="12"/>
        <v>1.4542013286896833E-25</v>
      </c>
      <c r="BX172" s="198">
        <f t="shared" si="12"/>
        <v>1.1640766811454565E-6</v>
      </c>
      <c r="BY172" s="198">
        <f t="shared" si="12"/>
        <v>2.830333816083332E-8</v>
      </c>
      <c r="BZ172" s="198">
        <f t="shared" si="12"/>
        <v>2.1724535804571773E-8</v>
      </c>
      <c r="CA172" s="198">
        <f t="shared" si="12"/>
        <v>1.7147865737984324E-17</v>
      </c>
      <c r="CB172" s="198">
        <f t="shared" si="12"/>
        <v>2.7671038903775568E-10</v>
      </c>
      <c r="CC172" s="198">
        <f t="shared" si="12"/>
        <v>3.2771649399830396E-8</v>
      </c>
      <c r="CD172" s="198">
        <f t="shared" si="12"/>
        <v>1.0610007839369338E-7</v>
      </c>
      <c r="CE172" s="198">
        <f t="shared" si="12"/>
        <v>3.81063913113883E-17</v>
      </c>
      <c r="CF172" s="198">
        <f t="shared" si="12"/>
        <v>1.3513743080658778E-9</v>
      </c>
      <c r="CG172" s="198">
        <f t="shared" si="12"/>
        <v>2.8680499150128061E-7</v>
      </c>
      <c r="CH172" s="198">
        <f t="shared" si="12"/>
        <v>8.0461243720636156E-9</v>
      </c>
      <c r="CI172" s="198">
        <f t="shared" si="12"/>
        <v>6.3510613844386378E-18</v>
      </c>
      <c r="CJ172" s="198">
        <f t="shared" si="12"/>
        <v>1.0248532927324283E-10</v>
      </c>
      <c r="CK172" s="198">
        <f t="shared" si="12"/>
        <v>1.2137647925863105E-8</v>
      </c>
      <c r="CL172" s="198">
        <f t="shared" si="12"/>
        <v>1.5441187974526105E-11</v>
      </c>
      <c r="CM172" s="198">
        <f t="shared" si="12"/>
        <v>9.2124542929899976E-14</v>
      </c>
      <c r="CN172" s="198">
        <f t="shared" si="12"/>
        <v>5.1554158148762092E-10</v>
      </c>
      <c r="CO172" s="198">
        <f t="shared" si="12"/>
        <v>4.5136694215672751E-16</v>
      </c>
      <c r="CP172" s="198">
        <f t="shared" si="12"/>
        <v>1.2076411704299708E-15</v>
      </c>
      <c r="CQ172" s="198">
        <f t="shared" si="12"/>
        <v>1.2182505812913339E-12</v>
      </c>
      <c r="CR172" s="198">
        <f t="shared" si="12"/>
        <v>4.513668067466448E-16</v>
      </c>
      <c r="CS172" s="198">
        <f t="shared" si="12"/>
        <v>7.5599333826740275E-3</v>
      </c>
      <c r="CT172" s="198">
        <f t="shared" si="12"/>
        <v>4.1994309728211305E-17</v>
      </c>
      <c r="CU172" s="198">
        <f t="shared" si="12"/>
        <v>2.3867289386325988E-4</v>
      </c>
      <c r="CV172" s="198">
        <f t="shared" ref="CV172:EA172" si="13">CV168/SUM($D$168:$FB$168)</f>
        <v>8.662521862393232E-9</v>
      </c>
      <c r="CW172" s="198">
        <f t="shared" si="13"/>
        <v>0.22679809124160746</v>
      </c>
      <c r="CX172" s="198">
        <f t="shared" si="13"/>
        <v>1.7479550548971517E-21</v>
      </c>
      <c r="CY172" s="198">
        <f t="shared" si="13"/>
        <v>7.172271751322715E-3</v>
      </c>
      <c r="CZ172" s="198">
        <f t="shared" si="13"/>
        <v>5.2523783078449468E-7</v>
      </c>
      <c r="DA172" s="198">
        <f t="shared" si="13"/>
        <v>8.0823831164929643E-5</v>
      </c>
      <c r="DB172" s="198">
        <f t="shared" si="13"/>
        <v>4.6622467235379395E-33</v>
      </c>
      <c r="DC172" s="198">
        <f t="shared" si="13"/>
        <v>1.2159381853428099E-5</v>
      </c>
      <c r="DD172" s="198">
        <f t="shared" si="13"/>
        <v>5.3385885165319973E-7</v>
      </c>
      <c r="DE172" s="198">
        <f t="shared" si="13"/>
        <v>1.2920768223212588E-8</v>
      </c>
      <c r="DF172" s="198">
        <f t="shared" si="13"/>
        <v>1.5502328533433898E-18</v>
      </c>
      <c r="DG172" s="198">
        <f t="shared" si="13"/>
        <v>8.1684609982405509E-10</v>
      </c>
      <c r="DH172" s="198">
        <f t="shared" si="13"/>
        <v>3.1969438440828573E-9</v>
      </c>
      <c r="DI172" s="198">
        <f t="shared" si="13"/>
        <v>6.7249950605515356E-13</v>
      </c>
      <c r="DJ172" s="198">
        <f t="shared" si="13"/>
        <v>6.230468291721609E-16</v>
      </c>
      <c r="DK172" s="198">
        <f t="shared" si="13"/>
        <v>1.236688341311512E-10</v>
      </c>
      <c r="DL172" s="198">
        <f t="shared" si="13"/>
        <v>9.4365243091416862E-18</v>
      </c>
      <c r="DM172" s="198">
        <f t="shared" si="13"/>
        <v>1.4979815857064277E-17</v>
      </c>
      <c r="DN172" s="198">
        <f t="shared" si="13"/>
        <v>5.1041403975392374E-13</v>
      </c>
      <c r="DO172" s="198">
        <f t="shared" si="13"/>
        <v>9.4365214781843907E-18</v>
      </c>
      <c r="DP172" s="198">
        <f t="shared" si="13"/>
        <v>6.0562033529057754E-3</v>
      </c>
      <c r="DQ172" s="198">
        <f t="shared" si="13"/>
        <v>3.4185152005525179E-19</v>
      </c>
      <c r="DR172" s="198">
        <f t="shared" si="13"/>
        <v>1.9084466163434371E-4</v>
      </c>
      <c r="DS172" s="198">
        <f t="shared" si="13"/>
        <v>3.3134717910932578E-9</v>
      </c>
      <c r="DT172" s="198">
        <f t="shared" si="13"/>
        <v>0.14911096176344016</v>
      </c>
      <c r="DU172" s="198">
        <f t="shared" si="13"/>
        <v>1.6660736598507264E-23</v>
      </c>
      <c r="DV172" s="198">
        <f t="shared" si="13"/>
        <v>4.7073384044108322E-3</v>
      </c>
      <c r="DW172" s="198">
        <f t="shared" si="13"/>
        <v>1.7065355270054398E-7</v>
      </c>
      <c r="DX172" s="198">
        <f t="shared" si="13"/>
        <v>5.3138538496401094E-5</v>
      </c>
      <c r="DY172" s="198">
        <f t="shared" si="13"/>
        <v>4.5240546481253508E-35</v>
      </c>
      <c r="DZ172" s="198">
        <f t="shared" si="13"/>
        <v>7.9805014585486572E-6</v>
      </c>
      <c r="EA172" s="198">
        <f t="shared" si="13"/>
        <v>1.7345458444830033E-7</v>
      </c>
      <c r="EB172" s="198">
        <f t="shared" ref="EB172:FB172" si="14">EB168/SUM($D$168:$FB$168)</f>
        <v>1.2661477320749698E-9</v>
      </c>
      <c r="EC172" s="198">
        <f t="shared" si="14"/>
        <v>7.9479826024056846E-21</v>
      </c>
      <c r="ED172" s="198">
        <f t="shared" si="14"/>
        <v>3.5970060932770594E-10</v>
      </c>
      <c r="EE172" s="198">
        <f t="shared" si="14"/>
        <v>1.7316954337348349E-11</v>
      </c>
      <c r="EF172" s="198">
        <f t="shared" si="14"/>
        <v>1.1954216985869355E-12</v>
      </c>
      <c r="EG172" s="198">
        <f t="shared" si="14"/>
        <v>1.0235578987682243E-15</v>
      </c>
      <c r="EH172" s="198">
        <f t="shared" si="14"/>
        <v>2.1877065698840414E-10</v>
      </c>
      <c r="EI172" s="198">
        <f t="shared" si="14"/>
        <v>3.3832638353257515E-18</v>
      </c>
      <c r="EJ172" s="198">
        <f t="shared" si="14"/>
        <v>9.3122571038515063E-18</v>
      </c>
      <c r="EK172" s="198">
        <f t="shared" si="14"/>
        <v>3.6972448915509852E-13</v>
      </c>
      <c r="EL172" s="198">
        <f t="shared" si="14"/>
        <v>3.3832628203466015E-18</v>
      </c>
      <c r="EM172" s="198">
        <f t="shared" si="14"/>
        <v>1.73963475198021E-2</v>
      </c>
      <c r="EN172" s="198">
        <f t="shared" si="14"/>
        <v>6.6114885293038571E-19</v>
      </c>
      <c r="EO172" s="198">
        <f t="shared" si="14"/>
        <v>5.5004365806938886E-4</v>
      </c>
      <c r="EP172" s="198">
        <f t="shared" si="14"/>
        <v>4.0035190848164181E-8</v>
      </c>
      <c r="EQ172" s="198">
        <f t="shared" si="14"/>
        <v>0.56048880002589396</v>
      </c>
      <c r="ER172" s="198">
        <f t="shared" si="14"/>
        <v>2.4013329632242939E-23</v>
      </c>
      <c r="ES172" s="198">
        <f t="shared" si="14"/>
        <v>1.7757322098007441E-2</v>
      </c>
      <c r="ET172" s="198">
        <f t="shared" si="14"/>
        <v>2.8443146051826783E-6</v>
      </c>
      <c r="EU172" s="198">
        <f t="shared" si="14"/>
        <v>1.9974089161458946E-4</v>
      </c>
      <c r="EV172" s="198">
        <f t="shared" si="14"/>
        <v>6.3378370320657304E-35</v>
      </c>
      <c r="EW172" s="198">
        <f t="shared" si="14"/>
        <v>3.0107195995486667E-5</v>
      </c>
      <c r="EX172" s="198">
        <f t="shared" si="14"/>
        <v>2.891253401090483E-6</v>
      </c>
      <c r="EY172" s="198">
        <f t="shared" si="14"/>
        <v>3.312263572889911E-10</v>
      </c>
      <c r="EZ172" s="198">
        <f t="shared" si="14"/>
        <v>1.0808649908877149E-20</v>
      </c>
      <c r="FA172" s="198">
        <f t="shared" si="14"/>
        <v>1.2836280214525057E-10</v>
      </c>
      <c r="FB172" s="387">
        <f t="shared" si="14"/>
        <v>2.3427503938703807E-11</v>
      </c>
    </row>
    <row r="173" spans="2:160" ht="12.75" customHeight="1" x14ac:dyDescent="0.2">
      <c r="B173" s="172"/>
      <c r="C173" s="684"/>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2">
      <c r="C174" s="666"/>
      <c r="O174" s="176"/>
      <c r="P174" s="176"/>
      <c r="Q174" s="176"/>
      <c r="R174" s="176"/>
      <c r="BF174" s="176"/>
      <c r="BG174" s="176"/>
      <c r="BH174" s="176"/>
      <c r="BI174" s="176"/>
    </row>
    <row r="175" spans="2:160" ht="12.75" customHeight="1" x14ac:dyDescent="0.2">
      <c r="B175" s="186" t="s">
        <v>4069</v>
      </c>
      <c r="C175" s="194" t="s">
        <v>4070</v>
      </c>
      <c r="D175" s="187" t="s">
        <v>3753</v>
      </c>
      <c r="E175" s="187" t="s">
        <v>3754</v>
      </c>
      <c r="F175" s="187" t="s">
        <v>3755</v>
      </c>
      <c r="G175" s="187" t="s">
        <v>3756</v>
      </c>
      <c r="H175" s="187" t="s">
        <v>3757</v>
      </c>
      <c r="I175" s="187" t="s">
        <v>3758</v>
      </c>
      <c r="J175" s="187" t="s">
        <v>3759</v>
      </c>
      <c r="K175" s="187" t="s">
        <v>3760</v>
      </c>
      <c r="L175" s="187" t="s">
        <v>3761</v>
      </c>
      <c r="M175" s="187" t="s">
        <v>3762</v>
      </c>
      <c r="N175" s="187" t="s">
        <v>3763</v>
      </c>
      <c r="O175" s="187" t="s">
        <v>3764</v>
      </c>
      <c r="P175" s="187" t="s">
        <v>3765</v>
      </c>
      <c r="Q175" s="187" t="s">
        <v>3766</v>
      </c>
      <c r="R175" s="187" t="s">
        <v>3767</v>
      </c>
      <c r="S175" s="187" t="s">
        <v>3768</v>
      </c>
      <c r="T175" s="187" t="s">
        <v>3769</v>
      </c>
      <c r="U175" s="187" t="s">
        <v>3770</v>
      </c>
      <c r="V175" s="187" t="s">
        <v>3771</v>
      </c>
      <c r="W175" s="187" t="s">
        <v>3772</v>
      </c>
      <c r="X175" s="187" t="s">
        <v>3773</v>
      </c>
      <c r="Y175" s="187" t="s">
        <v>3774</v>
      </c>
      <c r="Z175" s="187" t="s">
        <v>3775</v>
      </c>
      <c r="AA175" s="187" t="s">
        <v>3776</v>
      </c>
      <c r="AB175" s="187" t="s">
        <v>3777</v>
      </c>
      <c r="AC175" s="187" t="s">
        <v>3778</v>
      </c>
      <c r="AD175" s="187" t="s">
        <v>3779</v>
      </c>
      <c r="AE175" s="187" t="s">
        <v>3780</v>
      </c>
      <c r="AF175" s="187" t="s">
        <v>3781</v>
      </c>
      <c r="AG175" s="187" t="s">
        <v>3782</v>
      </c>
      <c r="AH175" s="187" t="s">
        <v>3783</v>
      </c>
      <c r="AI175" s="187" t="s">
        <v>3784</v>
      </c>
      <c r="AJ175" s="187" t="s">
        <v>3785</v>
      </c>
      <c r="AK175" s="187" t="s">
        <v>3786</v>
      </c>
      <c r="AL175" s="187" t="s">
        <v>3787</v>
      </c>
      <c r="AM175" s="187" t="s">
        <v>3788</v>
      </c>
      <c r="AN175" s="187" t="s">
        <v>3789</v>
      </c>
      <c r="AO175" s="187" t="s">
        <v>3790</v>
      </c>
      <c r="AP175" s="187" t="s">
        <v>3791</v>
      </c>
      <c r="AQ175" s="187" t="s">
        <v>3792</v>
      </c>
      <c r="AR175" s="187" t="s">
        <v>3793</v>
      </c>
      <c r="AS175" s="187" t="s">
        <v>3794</v>
      </c>
      <c r="AT175" s="187" t="s">
        <v>3795</v>
      </c>
      <c r="AU175" s="187" t="s">
        <v>3796</v>
      </c>
      <c r="AV175" s="187" t="s">
        <v>3797</v>
      </c>
      <c r="AW175" s="187" t="s">
        <v>3798</v>
      </c>
      <c r="AX175" s="187" t="s">
        <v>3799</v>
      </c>
      <c r="AY175" s="187" t="s">
        <v>3800</v>
      </c>
      <c r="AZ175" s="187" t="s">
        <v>3801</v>
      </c>
      <c r="BA175" s="187" t="s">
        <v>3802</v>
      </c>
      <c r="BB175" s="187" t="s">
        <v>3803</v>
      </c>
      <c r="BC175" s="187" t="s">
        <v>3804</v>
      </c>
      <c r="BD175" s="187" t="s">
        <v>3805</v>
      </c>
      <c r="BE175" s="187" t="s">
        <v>3806</v>
      </c>
      <c r="BF175" s="187" t="s">
        <v>3807</v>
      </c>
      <c r="BG175" s="187" t="s">
        <v>3808</v>
      </c>
      <c r="BH175" s="187" t="s">
        <v>3809</v>
      </c>
      <c r="BI175" s="187" t="s">
        <v>3810</v>
      </c>
      <c r="BJ175" s="187" t="s">
        <v>3811</v>
      </c>
      <c r="BK175" s="187" t="s">
        <v>3812</v>
      </c>
      <c r="BL175" s="187" t="s">
        <v>3813</v>
      </c>
      <c r="BM175" s="187" t="s">
        <v>3814</v>
      </c>
      <c r="BN175" s="187" t="s">
        <v>3815</v>
      </c>
      <c r="BO175" s="187" t="s">
        <v>3816</v>
      </c>
      <c r="BP175" s="187" t="s">
        <v>3817</v>
      </c>
      <c r="BQ175" s="187" t="s">
        <v>3818</v>
      </c>
      <c r="BR175" s="187" t="s">
        <v>3819</v>
      </c>
      <c r="BS175" s="187" t="s">
        <v>3820</v>
      </c>
      <c r="BT175" s="187" t="s">
        <v>3821</v>
      </c>
      <c r="BU175" s="187" t="s">
        <v>3822</v>
      </c>
      <c r="BV175" s="187" t="s">
        <v>3823</v>
      </c>
      <c r="BW175" s="187" t="s">
        <v>3824</v>
      </c>
      <c r="BX175" s="187" t="s">
        <v>3825</v>
      </c>
      <c r="BY175" s="187" t="s">
        <v>3826</v>
      </c>
      <c r="BZ175" s="187" t="s">
        <v>3827</v>
      </c>
      <c r="CA175" s="187" t="s">
        <v>3828</v>
      </c>
      <c r="CB175" s="187" t="s">
        <v>3829</v>
      </c>
      <c r="CC175" s="187" t="s">
        <v>3830</v>
      </c>
      <c r="CD175" s="187" t="s">
        <v>3831</v>
      </c>
      <c r="CE175" s="187" t="s">
        <v>3832</v>
      </c>
      <c r="CF175" s="187" t="s">
        <v>3833</v>
      </c>
      <c r="CG175" s="187" t="s">
        <v>3834</v>
      </c>
      <c r="CH175" s="187" t="s">
        <v>3835</v>
      </c>
      <c r="CI175" s="187" t="s">
        <v>3836</v>
      </c>
      <c r="CJ175" s="187" t="s">
        <v>3837</v>
      </c>
      <c r="CK175" s="187" t="s">
        <v>3838</v>
      </c>
      <c r="CL175" s="187" t="s">
        <v>3839</v>
      </c>
      <c r="CM175" s="187" t="s">
        <v>3840</v>
      </c>
      <c r="CN175" s="187" t="s">
        <v>3841</v>
      </c>
      <c r="CO175" s="187" t="s">
        <v>3842</v>
      </c>
      <c r="CP175" s="187" t="s">
        <v>3843</v>
      </c>
      <c r="CQ175" s="187" t="s">
        <v>3844</v>
      </c>
      <c r="CR175" s="187" t="s">
        <v>3845</v>
      </c>
      <c r="CS175" s="187" t="s">
        <v>3846</v>
      </c>
      <c r="CT175" s="187" t="s">
        <v>3847</v>
      </c>
      <c r="CU175" s="187" t="s">
        <v>3848</v>
      </c>
      <c r="CV175" s="187" t="s">
        <v>3849</v>
      </c>
      <c r="CW175" s="187" t="s">
        <v>3850</v>
      </c>
      <c r="CX175" s="187" t="s">
        <v>3851</v>
      </c>
      <c r="CY175" s="187" t="s">
        <v>3852</v>
      </c>
      <c r="CZ175" s="187" t="s">
        <v>3853</v>
      </c>
      <c r="DA175" s="187" t="s">
        <v>3854</v>
      </c>
      <c r="DB175" s="187" t="s">
        <v>3855</v>
      </c>
      <c r="DC175" s="187" t="s">
        <v>3856</v>
      </c>
      <c r="DD175" s="187" t="s">
        <v>3857</v>
      </c>
      <c r="DE175" s="187" t="s">
        <v>3858</v>
      </c>
      <c r="DF175" s="187" t="s">
        <v>3859</v>
      </c>
      <c r="DG175" s="187" t="s">
        <v>3860</v>
      </c>
      <c r="DH175" s="187" t="s">
        <v>3861</v>
      </c>
      <c r="DI175" s="187" t="s">
        <v>3862</v>
      </c>
      <c r="DJ175" s="187" t="s">
        <v>3863</v>
      </c>
      <c r="DK175" s="187" t="s">
        <v>3864</v>
      </c>
      <c r="DL175" s="187" t="s">
        <v>3865</v>
      </c>
      <c r="DM175" s="187" t="s">
        <v>3866</v>
      </c>
      <c r="DN175" s="187" t="s">
        <v>3867</v>
      </c>
      <c r="DO175" s="187" t="s">
        <v>3868</v>
      </c>
      <c r="DP175" s="187" t="s">
        <v>3869</v>
      </c>
      <c r="DQ175" s="187" t="s">
        <v>3870</v>
      </c>
      <c r="DR175" s="187" t="s">
        <v>3871</v>
      </c>
      <c r="DS175" s="187" t="s">
        <v>3872</v>
      </c>
      <c r="DT175" s="187" t="s">
        <v>3873</v>
      </c>
      <c r="DU175" s="187" t="s">
        <v>3874</v>
      </c>
      <c r="DV175" s="187" t="s">
        <v>3875</v>
      </c>
      <c r="DW175" s="187" t="s">
        <v>3876</v>
      </c>
      <c r="DX175" s="187" t="s">
        <v>3877</v>
      </c>
      <c r="DY175" s="187" t="s">
        <v>3878</v>
      </c>
      <c r="DZ175" s="187" t="s">
        <v>3879</v>
      </c>
      <c r="EA175" s="187" t="s">
        <v>3880</v>
      </c>
      <c r="EB175" s="187" t="s">
        <v>3881</v>
      </c>
      <c r="EC175" s="187" t="s">
        <v>3882</v>
      </c>
      <c r="ED175" s="187" t="s">
        <v>3883</v>
      </c>
      <c r="EE175" s="187" t="s">
        <v>3884</v>
      </c>
      <c r="EF175" s="187" t="s">
        <v>3885</v>
      </c>
      <c r="EG175" s="187" t="s">
        <v>3886</v>
      </c>
      <c r="EH175" s="187" t="s">
        <v>3887</v>
      </c>
      <c r="EI175" s="187" t="s">
        <v>3888</v>
      </c>
      <c r="EJ175" s="187" t="s">
        <v>3889</v>
      </c>
      <c r="EK175" s="187" t="s">
        <v>3890</v>
      </c>
      <c r="EL175" s="187" t="s">
        <v>3891</v>
      </c>
      <c r="EM175" s="187" t="s">
        <v>3892</v>
      </c>
      <c r="EN175" s="187" t="s">
        <v>3893</v>
      </c>
      <c r="EO175" s="187" t="s">
        <v>3894</v>
      </c>
      <c r="EP175" s="187" t="s">
        <v>3895</v>
      </c>
      <c r="EQ175" s="187" t="s">
        <v>3896</v>
      </c>
      <c r="ER175" s="187" t="s">
        <v>3897</v>
      </c>
      <c r="ES175" s="187" t="s">
        <v>3898</v>
      </c>
      <c r="ET175" s="187" t="s">
        <v>3899</v>
      </c>
      <c r="EU175" s="187" t="s">
        <v>3900</v>
      </c>
      <c r="EV175" s="187" t="s">
        <v>3901</v>
      </c>
      <c r="EW175" s="187" t="s">
        <v>3902</v>
      </c>
      <c r="EX175" s="187" t="s">
        <v>3903</v>
      </c>
      <c r="EY175" s="187" t="s">
        <v>3904</v>
      </c>
      <c r="EZ175" s="187" t="s">
        <v>3905</v>
      </c>
      <c r="FA175" s="187" t="s">
        <v>3906</v>
      </c>
      <c r="FB175" s="194" t="s">
        <v>3907</v>
      </c>
    </row>
    <row r="176" spans="2:160" ht="12.75" customHeight="1" x14ac:dyDescent="0.2">
      <c r="B176" s="188" t="s">
        <v>3908</v>
      </c>
      <c r="C176" s="201">
        <f t="array" ref="C176:C330">TRANSPOSE(D5:FB5)</f>
        <v>6.6944902535023516</v>
      </c>
      <c r="D176" s="189">
        <f>C176+SUM(E176:FB176)-SUM(D177:D330)-D331</f>
        <v>-2.3735896061138906E-16</v>
      </c>
      <c r="E176" s="184">
        <f t="shared" ref="E176:AJ176" si="15">E9*E$168</f>
        <v>0</v>
      </c>
      <c r="F176" s="184">
        <f t="shared" si="15"/>
        <v>0</v>
      </c>
      <c r="G176" s="184">
        <f t="shared" si="15"/>
        <v>0</v>
      </c>
      <c r="H176" s="184">
        <f t="shared" si="15"/>
        <v>0</v>
      </c>
      <c r="I176" s="184">
        <f t="shared" si="15"/>
        <v>0</v>
      </c>
      <c r="J176" s="184">
        <f t="shared" si="15"/>
        <v>0</v>
      </c>
      <c r="K176" s="184">
        <f t="shared" si="15"/>
        <v>2.1896474607264255E-22</v>
      </c>
      <c r="L176" s="184">
        <f t="shared" si="15"/>
        <v>0</v>
      </c>
      <c r="M176" s="184">
        <f t="shared" si="15"/>
        <v>0</v>
      </c>
      <c r="N176" s="184">
        <f t="shared" si="15"/>
        <v>0</v>
      </c>
      <c r="O176" s="184">
        <f t="shared" si="15"/>
        <v>5.383749124692923E-18</v>
      </c>
      <c r="P176" s="184">
        <f t="shared" si="15"/>
        <v>0</v>
      </c>
      <c r="Q176" s="184">
        <f t="shared" si="15"/>
        <v>0</v>
      </c>
      <c r="R176" s="184">
        <f t="shared" si="15"/>
        <v>0</v>
      </c>
      <c r="S176" s="184">
        <f t="shared" si="15"/>
        <v>6.2001624284246426E-19</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1.6314143761424897E-18</v>
      </c>
      <c r="AJ176" s="184">
        <f t="shared" si="15"/>
        <v>0</v>
      </c>
      <c r="AK176" s="184">
        <f t="shared" ref="AK176:BP176" si="16">AK9*AK$168</f>
        <v>0</v>
      </c>
      <c r="AL176" s="184">
        <f t="shared" si="16"/>
        <v>0</v>
      </c>
      <c r="AM176" s="184">
        <f t="shared" si="16"/>
        <v>1.7820532205697917E-17</v>
      </c>
      <c r="AN176" s="184">
        <f t="shared" si="16"/>
        <v>0</v>
      </c>
      <c r="AO176" s="184">
        <f t="shared" si="16"/>
        <v>0</v>
      </c>
      <c r="AP176" s="184">
        <f t="shared" si="16"/>
        <v>0</v>
      </c>
      <c r="AQ176" s="184">
        <f t="shared" si="16"/>
        <v>6.0422754671944036E-19</v>
      </c>
      <c r="AR176" s="184">
        <f t="shared" si="16"/>
        <v>0</v>
      </c>
      <c r="AS176" s="184">
        <f t="shared" si="16"/>
        <v>0</v>
      </c>
      <c r="AT176" s="184">
        <f t="shared" si="16"/>
        <v>0</v>
      </c>
      <c r="AU176" s="184">
        <f t="shared" si="16"/>
        <v>0.1252554632320558</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2">
      <c r="B177" s="188" t="s">
        <v>3909</v>
      </c>
      <c r="C177" s="201">
        <v>6.6944902535023516</v>
      </c>
      <c r="D177" s="190">
        <f t="shared" ref="D177:D208" si="20">D10*D$168</f>
        <v>0</v>
      </c>
      <c r="E177" s="189">
        <f>$C177+SUM($D177:D177,F177:$FB177)-SUM(E$176:E176,E178:E$330)-E$331</f>
        <v>4.7745553170830402E-17</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4.8472484901977793E-3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2">
      <c r="B178" s="188" t="s">
        <v>3910</v>
      </c>
      <c r="C178" s="201">
        <v>0</v>
      </c>
      <c r="D178" s="190">
        <f t="shared" si="20"/>
        <v>0</v>
      </c>
      <c r="E178" s="190">
        <f t="shared" ref="E178:E209" si="26">E11*E$168</f>
        <v>5.2848040430947503</v>
      </c>
      <c r="F178" s="189">
        <f>$C178+SUM($D178:E178,G178:$FB178)-SUM(F$176:F177,F179:F$330)-F$331</f>
        <v>-3.8426835498317491E-16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0.79565064158978449</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2">
      <c r="B179" s="188" t="s">
        <v>3911</v>
      </c>
      <c r="C179" s="201">
        <v>0</v>
      </c>
      <c r="D179" s="190">
        <f t="shared" si="20"/>
        <v>0</v>
      </c>
      <c r="E179" s="190">
        <f t="shared" si="26"/>
        <v>1.6429031019406223E-2</v>
      </c>
      <c r="F179" s="184">
        <f t="shared" ref="F179:F210" si="32">F12*F$168</f>
        <v>0</v>
      </c>
      <c r="G179" s="189">
        <f>$C179+SUM($D179:F179,H179:$FB179)-SUM(G$176:G178,G180:G$330)-G$331</f>
        <v>2.736710513019441E-18</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1.7461843905853663E-5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2">
      <c r="B180" s="188" t="s">
        <v>3912</v>
      </c>
      <c r="C180" s="201">
        <v>0</v>
      </c>
      <c r="D180" s="190">
        <f t="shared" si="20"/>
        <v>0</v>
      </c>
      <c r="E180" s="190">
        <f t="shared" si="26"/>
        <v>9.8091995156889378E-2</v>
      </c>
      <c r="F180" s="190">
        <f t="shared" si="32"/>
        <v>0</v>
      </c>
      <c r="G180" s="190">
        <f t="shared" ref="G180:G211" si="38">G13*G$168</f>
        <v>0</v>
      </c>
      <c r="H180" s="189">
        <f>$C180+SUM($D180:G180,I180:$FB180)-SUM(H$176:H179,H181:H$330)-H$331</f>
        <v>0</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2">
      <c r="B181" s="188" t="s">
        <v>3913</v>
      </c>
      <c r="C181" s="201">
        <v>0</v>
      </c>
      <c r="D181" s="190">
        <f t="shared" si="20"/>
        <v>0</v>
      </c>
      <c r="E181" s="190">
        <f t="shared" si="26"/>
        <v>0</v>
      </c>
      <c r="F181" s="190">
        <f t="shared" si="32"/>
        <v>0.1073645016798257</v>
      </c>
      <c r="G181" s="190">
        <f t="shared" si="38"/>
        <v>0</v>
      </c>
      <c r="H181" s="190">
        <f t="shared" ref="H181:H212" si="44">H14*H$168</f>
        <v>0</v>
      </c>
      <c r="I181" s="189">
        <f>$C181+SUM($D181:H181,J181:$FB181)-SUM(I$176:I180,I182:I$330)-I$331</f>
        <v>2.7755575615628914E-17</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2">
      <c r="B182" s="188" t="s">
        <v>3914</v>
      </c>
      <c r="C182" s="201">
        <v>0</v>
      </c>
      <c r="D182" s="190">
        <f t="shared" si="20"/>
        <v>0</v>
      </c>
      <c r="E182" s="190">
        <f t="shared" si="26"/>
        <v>0</v>
      </c>
      <c r="F182" s="190">
        <f t="shared" si="32"/>
        <v>0</v>
      </c>
      <c r="G182" s="190">
        <f t="shared" si="38"/>
        <v>1.4416155412823666E-2</v>
      </c>
      <c r="H182" s="190">
        <f t="shared" si="44"/>
        <v>0</v>
      </c>
      <c r="I182" s="184">
        <f t="shared" ref="I182:I213" si="50">I15*I$168</f>
        <v>0</v>
      </c>
      <c r="J182" s="189">
        <f>$C182+SUM($D182:I182,K182:$FB182)-SUM(J$176:J181,J183:J$330)-J$331</f>
        <v>5.2041704279304213E-18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2">
      <c r="B183" s="188" t="s">
        <v>3915</v>
      </c>
      <c r="C183" s="201">
        <v>0</v>
      </c>
      <c r="D183" s="190">
        <f t="shared" si="20"/>
        <v>7.1561821803783742E-3</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-6.5526666941738432E-19</v>
      </c>
      <c r="L183" s="184">
        <f t="shared" ref="L183:AQ183" si="57">L16*L$168</f>
        <v>3.0249642880782987E-12</v>
      </c>
      <c r="M183" s="184">
        <f t="shared" si="57"/>
        <v>1.6257868063292582E-8</v>
      </c>
      <c r="N183" s="184">
        <f t="shared" si="57"/>
        <v>1.2256736338946353E-11</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2">
      <c r="B184" s="188" t="s">
        <v>3916</v>
      </c>
      <c r="C184" s="201">
        <v>0</v>
      </c>
      <c r="D184" s="190">
        <f t="shared" si="20"/>
        <v>0</v>
      </c>
      <c r="E184" s="190">
        <f t="shared" si="26"/>
        <v>1.5538067315175907E-3</v>
      </c>
      <c r="F184" s="190">
        <f t="shared" si="32"/>
        <v>0</v>
      </c>
      <c r="G184" s="190">
        <f t="shared" si="38"/>
        <v>0</v>
      </c>
      <c r="H184" s="190">
        <f t="shared" si="44"/>
        <v>2.4416177345700879E-4</v>
      </c>
      <c r="I184" s="184">
        <f t="shared" si="50"/>
        <v>0</v>
      </c>
      <c r="J184" s="190">
        <f t="shared" si="56"/>
        <v>0</v>
      </c>
      <c r="K184" s="190">
        <f t="shared" ref="K184:K215" si="62">K17*K$168</f>
        <v>0</v>
      </c>
      <c r="L184" s="189">
        <f>$C184+SUM($D184:K184,M184:$FB184)-SUM(L$176:L183,L185:L$330)-L$331</f>
        <v>-2.1684043449710089E-19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0</v>
      </c>
      <c r="AK184" s="184">
        <f t="shared" si="63"/>
        <v>0</v>
      </c>
      <c r="AL184" s="184">
        <f t="shared" si="63"/>
        <v>0</v>
      </c>
      <c r="AM184" s="184">
        <f t="shared" si="63"/>
        <v>0</v>
      </c>
      <c r="AN184" s="184">
        <f t="shared" si="63"/>
        <v>0</v>
      </c>
      <c r="AO184" s="184">
        <f t="shared" si="63"/>
        <v>0</v>
      </c>
      <c r="AP184" s="184">
        <f t="shared" si="63"/>
        <v>0</v>
      </c>
      <c r="AQ184" s="184">
        <f t="shared" si="63"/>
        <v>0</v>
      </c>
      <c r="AR184" s="184">
        <f t="shared" si="63"/>
        <v>0</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2">
      <c r="B185" s="188" t="s">
        <v>3917</v>
      </c>
      <c r="C185" s="201">
        <v>0</v>
      </c>
      <c r="D185" s="190">
        <f t="shared" si="20"/>
        <v>0</v>
      </c>
      <c r="E185" s="190">
        <f t="shared" si="26"/>
        <v>0</v>
      </c>
      <c r="F185" s="190">
        <f t="shared" si="32"/>
        <v>1.9153358878842592E-3</v>
      </c>
      <c r="G185" s="190">
        <f t="shared" si="38"/>
        <v>0</v>
      </c>
      <c r="H185" s="190">
        <f t="shared" si="44"/>
        <v>0</v>
      </c>
      <c r="I185" s="184">
        <f t="shared" si="50"/>
        <v>2.6724206286707488E-4</v>
      </c>
      <c r="J185" s="190">
        <f t="shared" si="56"/>
        <v>0</v>
      </c>
      <c r="K185" s="190">
        <f t="shared" si="62"/>
        <v>0</v>
      </c>
      <c r="L185" s="190">
        <f t="shared" ref="L185:L216" si="68">L18*L$168</f>
        <v>1.7946258168312051E-3</v>
      </c>
      <c r="M185" s="189">
        <f>$C185+SUM($D185:L185,N185:$FB185)-SUM(M$176:M184,M186:M$330)-M$331</f>
        <v>0</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0</v>
      </c>
      <c r="AL185" s="184">
        <f t="shared" si="69"/>
        <v>0</v>
      </c>
      <c r="AM185" s="184">
        <f t="shared" si="69"/>
        <v>0</v>
      </c>
      <c r="AN185" s="184">
        <f t="shared" si="69"/>
        <v>0</v>
      </c>
      <c r="AO185" s="184">
        <f t="shared" si="69"/>
        <v>0</v>
      </c>
      <c r="AP185" s="184">
        <f t="shared" si="69"/>
        <v>0</v>
      </c>
      <c r="AQ185" s="184">
        <f t="shared" si="69"/>
        <v>0</v>
      </c>
      <c r="AR185" s="184">
        <f t="shared" si="69"/>
        <v>0</v>
      </c>
      <c r="AS185" s="184">
        <f t="shared" si="69"/>
        <v>0</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2">
      <c r="B186" s="188" t="s">
        <v>3918</v>
      </c>
      <c r="C186" s="201">
        <v>0</v>
      </c>
      <c r="D186" s="190">
        <f t="shared" si="20"/>
        <v>0</v>
      </c>
      <c r="E186" s="190">
        <f t="shared" si="26"/>
        <v>0</v>
      </c>
      <c r="F186" s="190">
        <f t="shared" si="32"/>
        <v>0</v>
      </c>
      <c r="G186" s="190">
        <f t="shared" si="38"/>
        <v>4.8497964381905849E-7</v>
      </c>
      <c r="H186" s="190">
        <f t="shared" si="44"/>
        <v>0</v>
      </c>
      <c r="I186" s="184">
        <f t="shared" si="50"/>
        <v>0</v>
      </c>
      <c r="J186" s="190">
        <f t="shared" si="56"/>
        <v>3.5883397685990152E-5</v>
      </c>
      <c r="K186" s="190">
        <f t="shared" si="62"/>
        <v>0</v>
      </c>
      <c r="L186" s="190">
        <f t="shared" si="68"/>
        <v>2.6174692700529074E-6</v>
      </c>
      <c r="M186" s="190">
        <f t="shared" ref="M186:M217" si="74">M19*M$168</f>
        <v>0</v>
      </c>
      <c r="N186" s="189">
        <f>$C186+SUM($D186:M186,O186:$FB186)-SUM(N$176:N185,N187:N$330)-N$331</f>
        <v>0</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0</v>
      </c>
      <c r="AM186" s="184">
        <f t="shared" si="75"/>
        <v>0</v>
      </c>
      <c r="AN186" s="184">
        <f t="shared" si="75"/>
        <v>0</v>
      </c>
      <c r="AO186" s="184">
        <f t="shared" si="75"/>
        <v>0</v>
      </c>
      <c r="AP186" s="184">
        <f t="shared" si="75"/>
        <v>0</v>
      </c>
      <c r="AQ186" s="184">
        <f t="shared" si="75"/>
        <v>0</v>
      </c>
      <c r="AR186" s="184">
        <f t="shared" si="75"/>
        <v>0</v>
      </c>
      <c r="AS186" s="184">
        <f t="shared" si="75"/>
        <v>0</v>
      </c>
      <c r="AT186" s="184">
        <f t="shared" si="75"/>
        <v>0</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2">
      <c r="B187" s="188" t="s">
        <v>3919</v>
      </c>
      <c r="C187" s="201">
        <v>6.6944902535023516</v>
      </c>
      <c r="D187" s="190">
        <f t="shared" si="20"/>
        <v>7.8718003984162108E-2</v>
      </c>
      <c r="E187" s="190">
        <f t="shared" si="26"/>
        <v>0</v>
      </c>
      <c r="F187" s="190">
        <f t="shared" si="32"/>
        <v>0</v>
      </c>
      <c r="G187" s="190">
        <f t="shared" si="38"/>
        <v>0</v>
      </c>
      <c r="H187" s="190">
        <f t="shared" si="44"/>
        <v>0</v>
      </c>
      <c r="I187" s="184">
        <f t="shared" si="50"/>
        <v>0</v>
      </c>
      <c r="J187" s="190">
        <f t="shared" si="56"/>
        <v>0</v>
      </c>
      <c r="K187" s="190">
        <f t="shared" si="62"/>
        <v>7.132578496344669E-3</v>
      </c>
      <c r="L187" s="190">
        <f t="shared" si="68"/>
        <v>0</v>
      </c>
      <c r="M187" s="190">
        <f t="shared" si="74"/>
        <v>0</v>
      </c>
      <c r="N187" s="190">
        <f t="shared" ref="N187:N218" si="80">N20*N$168</f>
        <v>0</v>
      </c>
      <c r="O187" s="189">
        <f>$C187+SUM($D187:N187,P187:$FB187)-SUM(O$176:O186,O188:O$330)-O$331</f>
        <v>6.7101880036221162E-16</v>
      </c>
      <c r="P187" s="184">
        <f t="shared" ref="P187:AU187" si="81">P20*P$168</f>
        <v>1.0151006534671968E-8</v>
      </c>
      <c r="Q187" s="184">
        <f t="shared" si="81"/>
        <v>1.5951901146485239E-5</v>
      </c>
      <c r="R187" s="184">
        <f t="shared" si="81"/>
        <v>2.1343228422034575E-7</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5.456636988412118</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0.76787752459125369</v>
      </c>
      <c r="AJ187" s="184">
        <f t="shared" si="81"/>
        <v>0</v>
      </c>
      <c r="AK187" s="184">
        <f t="shared" si="81"/>
        <v>0</v>
      </c>
      <c r="AL187" s="184">
        <f t="shared" si="81"/>
        <v>0</v>
      </c>
      <c r="AM187" s="184">
        <f t="shared" si="81"/>
        <v>8.3878053038652727</v>
      </c>
      <c r="AN187" s="184">
        <f t="shared" si="81"/>
        <v>0</v>
      </c>
      <c r="AO187" s="184">
        <f t="shared" si="81"/>
        <v>0</v>
      </c>
      <c r="AP187" s="184">
        <f t="shared" si="81"/>
        <v>0</v>
      </c>
      <c r="AQ187" s="184">
        <f t="shared" si="81"/>
        <v>0.28439908318194573</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2">
      <c r="B188" s="188" t="s">
        <v>3920</v>
      </c>
      <c r="C188" s="201">
        <v>6.6944902535023516</v>
      </c>
      <c r="D188" s="190">
        <f t="shared" si="20"/>
        <v>0</v>
      </c>
      <c r="E188" s="190">
        <f t="shared" si="26"/>
        <v>1.70918740466935E-2</v>
      </c>
      <c r="F188" s="190">
        <f t="shared" si="32"/>
        <v>0</v>
      </c>
      <c r="G188" s="190">
        <f t="shared" si="38"/>
        <v>0</v>
      </c>
      <c r="H188" s="190">
        <f t="shared" si="44"/>
        <v>2.6857795080270966E-3</v>
      </c>
      <c r="I188" s="184">
        <f t="shared" si="50"/>
        <v>0</v>
      </c>
      <c r="J188" s="190">
        <f t="shared" si="56"/>
        <v>0</v>
      </c>
      <c r="K188" s="190">
        <f t="shared" si="62"/>
        <v>0</v>
      </c>
      <c r="L188" s="190">
        <f t="shared" si="68"/>
        <v>7.2516267179959218E-7</v>
      </c>
      <c r="M188" s="190">
        <f t="shared" si="74"/>
        <v>0</v>
      </c>
      <c r="N188" s="190">
        <f t="shared" si="80"/>
        <v>0</v>
      </c>
      <c r="O188" s="190">
        <f t="shared" ref="O188:O219" si="86">O21*O$168</f>
        <v>0</v>
      </c>
      <c r="P188" s="189">
        <f>$C188+SUM($D188:O188,Q188:$FB188)-SUM(P$176:P187,P189:P$330)-P$331</f>
        <v>-8.8817841970012523E-16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8.0127670600996535E-10</v>
      </c>
      <c r="AC188" s="184">
        <f t="shared" si="87"/>
        <v>0</v>
      </c>
      <c r="AD188" s="184">
        <f t="shared" si="87"/>
        <v>0</v>
      </c>
      <c r="AE188" s="184">
        <f t="shared" si="87"/>
        <v>0</v>
      </c>
      <c r="AF188" s="184">
        <f t="shared" si="87"/>
        <v>0</v>
      </c>
      <c r="AG188" s="184">
        <f t="shared" si="87"/>
        <v>0</v>
      </c>
      <c r="AH188" s="184">
        <f t="shared" si="87"/>
        <v>0</v>
      </c>
      <c r="AI188" s="184">
        <f t="shared" si="87"/>
        <v>0</v>
      </c>
      <c r="AJ188" s="184">
        <f t="shared" si="87"/>
        <v>1.2906226065145702E-7</v>
      </c>
      <c r="AK188" s="184">
        <f t="shared" si="87"/>
        <v>0</v>
      </c>
      <c r="AL188" s="184">
        <f t="shared" si="87"/>
        <v>0</v>
      </c>
      <c r="AM188" s="184">
        <f t="shared" si="87"/>
        <v>0</v>
      </c>
      <c r="AN188" s="184">
        <f t="shared" si="87"/>
        <v>3.4823428363061601E-6</v>
      </c>
      <c r="AO188" s="184">
        <f t="shared" si="87"/>
        <v>0</v>
      </c>
      <c r="AP188" s="184">
        <f t="shared" si="87"/>
        <v>0</v>
      </c>
      <c r="AQ188" s="184">
        <f t="shared" si="87"/>
        <v>0</v>
      </c>
      <c r="AR188" s="184">
        <f t="shared" si="87"/>
        <v>4.7800837278317414E-8</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2">
      <c r="B189" s="188" t="s">
        <v>3921</v>
      </c>
      <c r="C189" s="201">
        <v>0</v>
      </c>
      <c r="D189" s="190">
        <f t="shared" si="20"/>
        <v>0</v>
      </c>
      <c r="E189" s="190">
        <f t="shared" si="26"/>
        <v>0</v>
      </c>
      <c r="F189" s="190">
        <f t="shared" si="32"/>
        <v>2.1068694766726851E-2</v>
      </c>
      <c r="G189" s="190">
        <f t="shared" si="38"/>
        <v>0</v>
      </c>
      <c r="H189" s="190">
        <f t="shared" si="44"/>
        <v>0</v>
      </c>
      <c r="I189" s="184">
        <f t="shared" si="50"/>
        <v>2.9396626915378235E-3</v>
      </c>
      <c r="J189" s="190">
        <f t="shared" si="56"/>
        <v>0</v>
      </c>
      <c r="K189" s="190">
        <f t="shared" si="62"/>
        <v>0</v>
      </c>
      <c r="L189" s="190">
        <f t="shared" si="68"/>
        <v>0</v>
      </c>
      <c r="M189" s="190">
        <f t="shared" si="74"/>
        <v>3.8974341247619204E-3</v>
      </c>
      <c r="N189" s="190">
        <f t="shared" si="80"/>
        <v>0</v>
      </c>
      <c r="O189" s="190">
        <f t="shared" si="86"/>
        <v>0</v>
      </c>
      <c r="P189" s="190">
        <f t="shared" ref="P189:P220" si="92">P22*P$168</f>
        <v>6.0576004847880585</v>
      </c>
      <c r="Q189" s="189">
        <f>$C189+SUM($D189:P189,R189:$FB189)-SUM(Q$176:Q188,Q190:Q$330)-Q$331</f>
        <v>0</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2.3516197354957922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0.16408203121962883</v>
      </c>
      <c r="AL189" s="184">
        <f t="shared" si="93"/>
        <v>0</v>
      </c>
      <c r="AM189" s="184">
        <f t="shared" si="93"/>
        <v>0</v>
      </c>
      <c r="AN189" s="184">
        <f t="shared" si="93"/>
        <v>0</v>
      </c>
      <c r="AO189" s="184">
        <f t="shared" si="93"/>
        <v>5.5345910661774047</v>
      </c>
      <c r="AP189" s="184">
        <f t="shared" si="93"/>
        <v>0</v>
      </c>
      <c r="AQ189" s="184">
        <f t="shared" si="93"/>
        <v>0</v>
      </c>
      <c r="AR189" s="184">
        <f t="shared" si="93"/>
        <v>0</v>
      </c>
      <c r="AS189" s="184">
        <f t="shared" si="93"/>
        <v>6.0771122673936598E-2</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2">
      <c r="B190" s="188" t="s">
        <v>3922</v>
      </c>
      <c r="C190" s="201">
        <v>0</v>
      </c>
      <c r="D190" s="190">
        <f t="shared" si="20"/>
        <v>0</v>
      </c>
      <c r="E190" s="190">
        <f t="shared" si="26"/>
        <v>0</v>
      </c>
      <c r="F190" s="190">
        <f t="shared" si="32"/>
        <v>0</v>
      </c>
      <c r="G190" s="190">
        <f t="shared" si="38"/>
        <v>5.3347760820096447E-6</v>
      </c>
      <c r="H190" s="190">
        <f t="shared" si="44"/>
        <v>0</v>
      </c>
      <c r="I190" s="184">
        <f t="shared" si="50"/>
        <v>0</v>
      </c>
      <c r="J190" s="190">
        <f t="shared" si="56"/>
        <v>3.9471737454589169E-4</v>
      </c>
      <c r="K190" s="190">
        <f t="shared" si="62"/>
        <v>0</v>
      </c>
      <c r="L190" s="190">
        <f t="shared" si="68"/>
        <v>0</v>
      </c>
      <c r="M190" s="190">
        <f t="shared" si="74"/>
        <v>0</v>
      </c>
      <c r="N190" s="190">
        <f t="shared" si="80"/>
        <v>2.9382587113912493E-6</v>
      </c>
      <c r="O190" s="190">
        <f t="shared" si="86"/>
        <v>0</v>
      </c>
      <c r="P190" s="190">
        <f t="shared" si="92"/>
        <v>0.64929172641640331</v>
      </c>
      <c r="Q190" s="190">
        <f t="shared" ref="Q190:Q221" si="98">Q23*Q$168</f>
        <v>0</v>
      </c>
      <c r="R190" s="189">
        <f>$C190+SUM($D190:Q190,S190:$FB190)-SUM(R$176:R189,R191:R$330)-R$331</f>
        <v>-3.5527136788005009E-15</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18.863831084643401</v>
      </c>
      <c r="AE190" s="184">
        <f t="shared" si="99"/>
        <v>0</v>
      </c>
      <c r="AF190" s="184">
        <f t="shared" si="99"/>
        <v>0</v>
      </c>
      <c r="AG190" s="184">
        <f t="shared" si="99"/>
        <v>0</v>
      </c>
      <c r="AH190" s="184">
        <f t="shared" si="99"/>
        <v>0</v>
      </c>
      <c r="AI190" s="184">
        <f t="shared" si="99"/>
        <v>0</v>
      </c>
      <c r="AJ190" s="184">
        <f t="shared" si="99"/>
        <v>0</v>
      </c>
      <c r="AK190" s="184">
        <f t="shared" si="99"/>
        <v>0</v>
      </c>
      <c r="AL190" s="184">
        <f t="shared" si="99"/>
        <v>2.9871136736692134E-2</v>
      </c>
      <c r="AM190" s="184">
        <f t="shared" si="99"/>
        <v>0</v>
      </c>
      <c r="AN190" s="184">
        <f t="shared" si="99"/>
        <v>0</v>
      </c>
      <c r="AO190" s="184">
        <f t="shared" si="99"/>
        <v>0</v>
      </c>
      <c r="AP190" s="184">
        <f t="shared" si="99"/>
        <v>1.5243628229317641</v>
      </c>
      <c r="AQ190" s="184">
        <f t="shared" si="99"/>
        <v>0</v>
      </c>
      <c r="AR190" s="184">
        <f t="shared" si="99"/>
        <v>0</v>
      </c>
      <c r="AS190" s="184">
        <f t="shared" si="99"/>
        <v>0</v>
      </c>
      <c r="AT190" s="184">
        <f t="shared" si="99"/>
        <v>1.106338397655264E-2</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2">
      <c r="B191" s="188" t="s">
        <v>3923</v>
      </c>
      <c r="C191" s="201">
        <v>0</v>
      </c>
      <c r="D191" s="190">
        <f t="shared" si="20"/>
        <v>1.2523397086893961E-2</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15.965906889283215</v>
      </c>
      <c r="P191" s="190">
        <f t="shared" si="92"/>
        <v>0</v>
      </c>
      <c r="Q191" s="190">
        <f t="shared" si="98"/>
        <v>0</v>
      </c>
      <c r="R191" s="190">
        <f t="shared" ref="R191:R222" si="104">R24*R$168</f>
        <v>0</v>
      </c>
      <c r="S191" s="189">
        <f>$C191+SUM($D191:R191,T191:$FB191)-SUM(S$176:S190,S192:S$330)-S$331</f>
        <v>-1.0008345391328716E-15</v>
      </c>
      <c r="T191" s="184">
        <f t="shared" ref="T191:AY191" si="105">T24*T$168</f>
        <v>3.2391660730347843E-13</v>
      </c>
      <c r="U191" s="184">
        <f t="shared" si="105"/>
        <v>1.0762164885874083E-6</v>
      </c>
      <c r="V191" s="184">
        <f t="shared" si="105"/>
        <v>9.4513547724913811E-9</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0.40174818476001223</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99.489421005331366</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2">
      <c r="B192" s="188" t="s">
        <v>3924</v>
      </c>
      <c r="C192" s="201">
        <v>0</v>
      </c>
      <c r="D192" s="190">
        <f t="shared" si="20"/>
        <v>0</v>
      </c>
      <c r="E192" s="190">
        <f t="shared" si="26"/>
        <v>1.9754691616869096E-3</v>
      </c>
      <c r="F192" s="190">
        <f t="shared" si="32"/>
        <v>0</v>
      </c>
      <c r="G192" s="190">
        <f t="shared" si="38"/>
        <v>0</v>
      </c>
      <c r="H192" s="190">
        <f t="shared" si="44"/>
        <v>4.2728577408585391E-4</v>
      </c>
      <c r="I192" s="184">
        <f t="shared" si="50"/>
        <v>0</v>
      </c>
      <c r="J192" s="190">
        <f t="shared" si="56"/>
        <v>0</v>
      </c>
      <c r="K192" s="190">
        <f t="shared" si="62"/>
        <v>0</v>
      </c>
      <c r="L192" s="190">
        <f t="shared" si="68"/>
        <v>0</v>
      </c>
      <c r="M192" s="190">
        <f t="shared" si="74"/>
        <v>0</v>
      </c>
      <c r="N192" s="190">
        <f t="shared" si="80"/>
        <v>0</v>
      </c>
      <c r="O192" s="190">
        <f t="shared" si="86"/>
        <v>0</v>
      </c>
      <c r="P192" s="190">
        <f t="shared" si="92"/>
        <v>7.3741226383046673E-3</v>
      </c>
      <c r="Q192" s="190">
        <f t="shared" si="98"/>
        <v>0</v>
      </c>
      <c r="R192" s="190">
        <f t="shared" si="104"/>
        <v>0</v>
      </c>
      <c r="S192" s="190">
        <f t="shared" ref="S192:S223" si="110">S25*S$168</f>
        <v>0</v>
      </c>
      <c r="T192" s="189">
        <f>$C192+SUM($D192:S192,U192:$FB192)-SUM(T$176:T191,T193:T$330)-T$331</f>
        <v>3.4694469519536142E-18</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5.1438887283925378E-17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2.4981454158162382E-10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2">
      <c r="B193" s="188" t="s">
        <v>3925</v>
      </c>
      <c r="C193" s="201">
        <v>0</v>
      </c>
      <c r="D193" s="190">
        <f t="shared" si="20"/>
        <v>0</v>
      </c>
      <c r="E193" s="190">
        <f t="shared" si="26"/>
        <v>0</v>
      </c>
      <c r="F193" s="190">
        <f t="shared" si="32"/>
        <v>3.1139801875758465E-3</v>
      </c>
      <c r="G193" s="190">
        <f t="shared" si="38"/>
        <v>0</v>
      </c>
      <c r="H193" s="190">
        <f t="shared" si="44"/>
        <v>0</v>
      </c>
      <c r="I193" s="184">
        <f t="shared" si="50"/>
        <v>4.6767653299571282E-4</v>
      </c>
      <c r="J193" s="190">
        <f t="shared" si="56"/>
        <v>0</v>
      </c>
      <c r="K193" s="190">
        <f t="shared" si="62"/>
        <v>0</v>
      </c>
      <c r="L193" s="190">
        <f t="shared" si="68"/>
        <v>0</v>
      </c>
      <c r="M193" s="190">
        <f t="shared" si="74"/>
        <v>0</v>
      </c>
      <c r="N193" s="190">
        <f t="shared" si="80"/>
        <v>0</v>
      </c>
      <c r="O193" s="190">
        <f t="shared" si="86"/>
        <v>0</v>
      </c>
      <c r="P193" s="190">
        <f t="shared" si="92"/>
        <v>0</v>
      </c>
      <c r="Q193" s="190">
        <f t="shared" si="98"/>
        <v>11.588139064486993</v>
      </c>
      <c r="R193" s="190">
        <f t="shared" si="104"/>
        <v>0</v>
      </c>
      <c r="S193" s="190">
        <f t="shared" si="110"/>
        <v>0</v>
      </c>
      <c r="T193" s="190">
        <f t="shared" ref="T193:T224" si="116">T26*T$168</f>
        <v>9.6136477867621323E-3</v>
      </c>
      <c r="U193" s="189">
        <f>$C193+SUM($D193:T193,V193:$FB193)-SUM(U$176:U192,U194:U$330)-U$331</f>
        <v>0</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4.7869894860510361E-2</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3.1461903683751262</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2">
      <c r="B194" s="188" t="s">
        <v>3926</v>
      </c>
      <c r="C194" s="201">
        <v>0</v>
      </c>
      <c r="D194" s="190">
        <f t="shared" si="20"/>
        <v>0</v>
      </c>
      <c r="E194" s="190">
        <f t="shared" si="26"/>
        <v>0</v>
      </c>
      <c r="F194" s="190">
        <f t="shared" si="32"/>
        <v>0</v>
      </c>
      <c r="G194" s="190">
        <f t="shared" si="38"/>
        <v>8.4871968118136082E-7</v>
      </c>
      <c r="H194" s="190">
        <f t="shared" si="44"/>
        <v>0</v>
      </c>
      <c r="I194" s="184">
        <f t="shared" si="50"/>
        <v>0</v>
      </c>
      <c r="J194" s="190">
        <f t="shared" si="56"/>
        <v>6.2796338427598011E-5</v>
      </c>
      <c r="K194" s="190">
        <f t="shared" si="62"/>
        <v>0</v>
      </c>
      <c r="L194" s="190">
        <f t="shared" si="68"/>
        <v>0</v>
      </c>
      <c r="M194" s="190">
        <f t="shared" si="74"/>
        <v>0</v>
      </c>
      <c r="N194" s="190">
        <f t="shared" si="80"/>
        <v>0</v>
      </c>
      <c r="O194" s="190">
        <f t="shared" si="86"/>
        <v>0</v>
      </c>
      <c r="P194" s="190">
        <f t="shared" si="92"/>
        <v>0</v>
      </c>
      <c r="Q194" s="190">
        <f t="shared" si="98"/>
        <v>0</v>
      </c>
      <c r="R194" s="190">
        <f t="shared" si="104"/>
        <v>0.15504628368020132</v>
      </c>
      <c r="S194" s="190">
        <f t="shared" si="110"/>
        <v>0</v>
      </c>
      <c r="T194" s="190">
        <f t="shared" si="116"/>
        <v>1.5879279379779916E-4</v>
      </c>
      <c r="U194" s="190">
        <f t="shared" ref="U194:U225" si="122">U27*U$168</f>
        <v>0</v>
      </c>
      <c r="V194" s="189">
        <f>$C194+SUM($D194:U194,W194:$FB194)-SUM(V$176:V193,V195:V$330)-V$331</f>
        <v>-5.5511151231257827E-17</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0.25204180732607684</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1.2759256848478547E-4</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2">
      <c r="B195" s="188" t="s">
        <v>3927</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2.3619957182261588E-5</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2.7019727112709668E-20</v>
      </c>
      <c r="Y195" s="184">
        <f t="shared" si="129"/>
        <v>2.7544220812951496E-9</v>
      </c>
      <c r="Z195" s="184">
        <f t="shared" si="129"/>
        <v>1.2449660489237084E-9</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2">
      <c r="B196" s="188" t="s">
        <v>3928</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5.3176577800325747E-11</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-8.569987659094767E-28</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2">
      <c r="B197" s="188" t="s">
        <v>3929</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7.9753384952556235E-5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3.2058182922334224E-11</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2">
      <c r="B198" s="188" t="s">
        <v>3930</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3.6047575631734535E-5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2.1117612530370012E-11</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2">
      <c r="B199" s="188" t="s">
        <v>3931</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5.7111690222337801</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-1.7763568394002505E-15</v>
      </c>
      <c r="AB199" s="184">
        <f t="shared" ref="AB199:BG199" si="151">AB32*AB$168</f>
        <v>3.0219693293141294E-15</v>
      </c>
      <c r="AC199" s="184">
        <f t="shared" si="151"/>
        <v>8.8689995123728301E-6</v>
      </c>
      <c r="AD199" s="184">
        <f t="shared" si="151"/>
        <v>7.114386146955565E-5</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2">
      <c r="B200" s="188" t="s">
        <v>3932</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5.9482331837766444E-6</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6.6096900821815368E-23</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2">
      <c r="B201" s="188" t="s">
        <v>3933</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2.6084152155497069</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3.5854857134832306E-6</v>
      </c>
      <c r="AC201" s="189">
        <f>$C201+SUM($D201:AB201,AD201:$FB201)-SUM(AC$176:AC200,AC202:AC$330)-AC$331</f>
        <v>0</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2">
      <c r="B202" s="188" t="s">
        <v>3934</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20.923776648001667</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2.3618586934247563E-6</v>
      </c>
      <c r="AC202" s="190">
        <f t="shared" ref="AC202:AC233" si="165">AC35*AC$168</f>
        <v>0</v>
      </c>
      <c r="AD202" s="189">
        <f>$C202+SUM($D202:AC202,AE202:$FB202)-SUM(AD$176:AD201,AD203:AD$330)-AD$331</f>
        <v>0</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2">
      <c r="B203" s="188" t="s">
        <v>3935</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0.41001297607382986</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5.8980598183211441E-17</v>
      </c>
      <c r="AF203" s="184">
        <f t="shared" ref="AF203:BK203" si="171">AF36*AF$168</f>
        <v>5.7866854276832226E-22</v>
      </c>
      <c r="AG203" s="184">
        <f t="shared" si="171"/>
        <v>5.3851869206472544E-7</v>
      </c>
      <c r="AH203" s="184">
        <f t="shared" si="171"/>
        <v>2.8353775336748541E-6</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2">
      <c r="B204" s="188" t="s">
        <v>3936</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5.6942082711441035E-11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-1.4704297939841662E-27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2">
      <c r="B205" s="188" t="s">
        <v>3937</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5.2794073351101506E-2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3.4328736774586679E-11</v>
      </c>
      <c r="AG205" s="189">
        <f>$C205+SUM($D205:AF205,AH205:$FB205)-SUM(AG$176:AG204,AG206:AG$330)-AG$331</f>
        <v>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2">
      <c r="B206" s="188" t="s">
        <v>3938</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0.27796830784484855</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2.2613289206661026E-11</v>
      </c>
      <c r="AG206" s="190">
        <f t="shared" ref="AG206:AG237" si="185">AG39*AG$168</f>
        <v>0</v>
      </c>
      <c r="AH206" s="189">
        <f>$C206+SUM($D206:AG206,AI206:$FB206)-SUM(AH$176:AH205,AH207:AH$330)-AH$331</f>
        <v>8.3266726846886741E-17</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2">
      <c r="B207" s="188" t="s">
        <v>3939</v>
      </c>
      <c r="C207" s="201">
        <v>0</v>
      </c>
      <c r="D207" s="190">
        <f t="shared" si="20"/>
        <v>0.77286767548060453</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9.6277152916712794E-17</v>
      </c>
      <c r="AJ207" s="184">
        <f t="shared" ref="AJ207:BO207" si="191">AJ40*AJ$168</f>
        <v>9.1499798846089634E-14</v>
      </c>
      <c r="AK207" s="184">
        <f t="shared" si="191"/>
        <v>1.1632736614926437E-7</v>
      </c>
      <c r="AL207" s="184">
        <f t="shared" si="191"/>
        <v>1.5700269468805388E-4</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2">
      <c r="B208" s="188" t="s">
        <v>3940</v>
      </c>
      <c r="C208" s="201">
        <v>0</v>
      </c>
      <c r="D208" s="190">
        <f t="shared" si="20"/>
        <v>0</v>
      </c>
      <c r="E208" s="190">
        <f t="shared" si="26"/>
        <v>9.092314511882274E-2</v>
      </c>
      <c r="F208" s="190">
        <f t="shared" si="32"/>
        <v>0</v>
      </c>
      <c r="G208" s="190">
        <f t="shared" si="38"/>
        <v>0</v>
      </c>
      <c r="H208" s="190">
        <f t="shared" si="44"/>
        <v>2.6369471533356951E-2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1.7379465335348317E-17</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2">
      <c r="B209" s="188" t="s">
        <v>3941</v>
      </c>
      <c r="C209" s="201">
        <v>0</v>
      </c>
      <c r="D209" s="190">
        <f t="shared" ref="D209:D240" si="200">D42*D$168</f>
        <v>0</v>
      </c>
      <c r="E209" s="190">
        <f t="shared" si="26"/>
        <v>0</v>
      </c>
      <c r="F209" s="190">
        <f t="shared" si="32"/>
        <v>4.51332996203807E-2</v>
      </c>
      <c r="G209" s="190">
        <f t="shared" si="38"/>
        <v>0</v>
      </c>
      <c r="H209" s="190">
        <f t="shared" si="44"/>
        <v>0</v>
      </c>
      <c r="I209" s="184">
        <f t="shared" si="50"/>
        <v>2.886214278964409E-2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9.1192132040569349E-2</v>
      </c>
      <c r="AK209" s="189">
        <f>$C209+SUM($D209:AJ209,AL209:$FB209)-SUM(AK$176:AK208,AK210:AK$330)-AK$331</f>
        <v>-4.3584927333917278E-17</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2">
      <c r="B210" s="188" t="s">
        <v>3942</v>
      </c>
      <c r="C210" s="201">
        <v>0</v>
      </c>
      <c r="D210" s="190">
        <f t="shared" si="200"/>
        <v>0</v>
      </c>
      <c r="E210" s="190">
        <f t="shared" ref="E210:E241" si="206">E43*E$168</f>
        <v>0</v>
      </c>
      <c r="F210" s="190">
        <f t="shared" si="32"/>
        <v>0</v>
      </c>
      <c r="G210" s="190">
        <f t="shared" si="38"/>
        <v>5.2377801532458329E-5</v>
      </c>
      <c r="H210" s="190">
        <f t="shared" si="44"/>
        <v>0</v>
      </c>
      <c r="I210" s="184">
        <f t="shared" si="50"/>
        <v>0</v>
      </c>
      <c r="J210" s="190">
        <f t="shared" si="56"/>
        <v>3.8754069500869372E-3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2.6100354679760795E-2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2">
      <c r="B211" s="188" t="s">
        <v>3943</v>
      </c>
      <c r="C211" s="201">
        <v>6.6944902535023516</v>
      </c>
      <c r="D211" s="190">
        <f t="shared" si="200"/>
        <v>1.7174837232902318</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-1.366962099069724E-15</v>
      </c>
      <c r="AN211" s="184">
        <f t="shared" ref="AN211:BS211" si="214">AN44*AN$168</f>
        <v>5.4256982256458705E-12</v>
      </c>
      <c r="AO211" s="184">
        <f t="shared" si="214"/>
        <v>8.6232235994566927E-6</v>
      </c>
      <c r="AP211" s="184">
        <f t="shared" si="214"/>
        <v>3.204820398931741E-2</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2">
      <c r="B212" s="188" t="s">
        <v>3944</v>
      </c>
      <c r="C212" s="201">
        <v>6.6944902535023516</v>
      </c>
      <c r="D212" s="190">
        <f t="shared" si="200"/>
        <v>0</v>
      </c>
      <c r="E212" s="190">
        <f t="shared" si="206"/>
        <v>0.20205143359738378</v>
      </c>
      <c r="F212" s="190">
        <f t="shared" si="212"/>
        <v>0</v>
      </c>
      <c r="G212" s="190">
        <f t="shared" ref="G212:G243" si="218">G45*G$168</f>
        <v>0</v>
      </c>
      <c r="H212" s="190">
        <f t="shared" si="44"/>
        <v>5.8598825629682112E-2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7.8060777649767085E-16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2">
      <c r="B213" s="188" t="s">
        <v>3945</v>
      </c>
      <c r="C213" s="201">
        <v>0</v>
      </c>
      <c r="D213" s="190">
        <f t="shared" si="200"/>
        <v>0</v>
      </c>
      <c r="E213" s="190">
        <f t="shared" si="206"/>
        <v>0</v>
      </c>
      <c r="F213" s="190">
        <f t="shared" si="212"/>
        <v>0.10029622137862375</v>
      </c>
      <c r="G213" s="190">
        <f t="shared" si="218"/>
        <v>0</v>
      </c>
      <c r="H213" s="190">
        <f t="shared" ref="H213:H244" si="224">H46*H$168</f>
        <v>0</v>
      </c>
      <c r="I213" s="184">
        <f t="shared" si="50"/>
        <v>6.4138095088097979E-2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5.4074543905571248</v>
      </c>
      <c r="AO213" s="189">
        <f>$C213+SUM($D213:AN213,AP213:$FB213)-SUM(AO$176:AO212,AO214:AO$330)-AO$331</f>
        <v>1.6237011735142914E-15</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2">
      <c r="B214" s="188" t="s">
        <v>3946</v>
      </c>
      <c r="C214" s="201">
        <v>0</v>
      </c>
      <c r="D214" s="190">
        <f t="shared" si="200"/>
        <v>0</v>
      </c>
      <c r="E214" s="190">
        <f t="shared" si="206"/>
        <v>0</v>
      </c>
      <c r="F214" s="190">
        <f t="shared" si="212"/>
        <v>0</v>
      </c>
      <c r="G214" s="190">
        <f t="shared" si="218"/>
        <v>1.1639511451657407E-4</v>
      </c>
      <c r="H214" s="190">
        <f t="shared" si="224"/>
        <v>0</v>
      </c>
      <c r="I214" s="184">
        <f t="shared" ref="I214:I245" si="230">I47*I$168</f>
        <v>0</v>
      </c>
      <c r="J214" s="190">
        <f t="shared" si="56"/>
        <v>8.6120154446376364E-3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1.5476826163619271</v>
      </c>
      <c r="AO214" s="190">
        <f t="shared" ref="AO214:AO245" si="231">AO47*AO$168</f>
        <v>0</v>
      </c>
      <c r="AP214" s="189">
        <f>$C214+SUM($D214:AO214,AQ214:$FB214)-SUM(AP$176:AP213,AP215:AP$330)-AP$331</f>
        <v>-2.2204460492503131E-16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2">
      <c r="B215" s="188" t="s">
        <v>3947</v>
      </c>
      <c r="C215" s="201">
        <v>0</v>
      </c>
      <c r="D215" s="190">
        <f t="shared" si="200"/>
        <v>0.28624728721503861</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-4.1850203857940471E-17</v>
      </c>
      <c r="AR215" s="184">
        <f t="shared" ref="AR215:BW215" si="238">AR48*AR$168</f>
        <v>3.3888814387440602E-14</v>
      </c>
      <c r="AS215" s="184">
        <f t="shared" si="238"/>
        <v>4.3084209684912728E-8</v>
      </c>
      <c r="AT215" s="184">
        <f t="shared" si="238"/>
        <v>5.8149146180760681E-5</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2">
      <c r="B216" s="188" t="s">
        <v>3948</v>
      </c>
      <c r="C216" s="201">
        <v>0</v>
      </c>
      <c r="D216" s="190">
        <f t="shared" si="200"/>
        <v>0</v>
      </c>
      <c r="E216" s="190">
        <f t="shared" si="206"/>
        <v>3.3675238932897311E-2</v>
      </c>
      <c r="F216" s="190">
        <f t="shared" si="212"/>
        <v>0</v>
      </c>
      <c r="G216" s="190">
        <f t="shared" si="218"/>
        <v>0</v>
      </c>
      <c r="H216" s="190">
        <f t="shared" si="224"/>
        <v>9.766470938280352E-3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1.4146721182158003E-17</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2">
      <c r="B217" s="188" t="s">
        <v>3949</v>
      </c>
      <c r="C217" s="201">
        <v>0</v>
      </c>
      <c r="D217" s="190">
        <f t="shared" si="200"/>
        <v>0</v>
      </c>
      <c r="E217" s="190">
        <f t="shared" si="206"/>
        <v>0</v>
      </c>
      <c r="F217" s="190">
        <f t="shared" si="212"/>
        <v>1.6716036896437296E-2</v>
      </c>
      <c r="G217" s="190">
        <f t="shared" si="218"/>
        <v>0</v>
      </c>
      <c r="H217" s="190">
        <f t="shared" si="224"/>
        <v>0</v>
      </c>
      <c r="I217" s="184">
        <f t="shared" si="230"/>
        <v>1.0689682514682997E-2</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3.3774863718729391E-2</v>
      </c>
      <c r="AS217" s="189">
        <f>$C217+SUM($D217:AR217,AT217:$FB217)-SUM(AS$176:AS216,AS218:AS$330)-AS$331</f>
        <v>8.1315162936412833E-19</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2">
      <c r="B218" s="188" t="s">
        <v>3950</v>
      </c>
      <c r="C218" s="201">
        <v>0</v>
      </c>
      <c r="D218" s="190">
        <f t="shared" si="200"/>
        <v>0</v>
      </c>
      <c r="E218" s="190">
        <f t="shared" si="206"/>
        <v>0</v>
      </c>
      <c r="F218" s="190">
        <f t="shared" si="212"/>
        <v>0</v>
      </c>
      <c r="G218" s="190">
        <f t="shared" si="218"/>
        <v>1.9399185752762342E-5</v>
      </c>
      <c r="H218" s="190">
        <f t="shared" si="224"/>
        <v>0</v>
      </c>
      <c r="I218" s="184">
        <f t="shared" si="230"/>
        <v>0</v>
      </c>
      <c r="J218" s="190">
        <f t="shared" si="236"/>
        <v>1.4353359074396064E-3</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9.6667980295410353E-3</v>
      </c>
      <c r="AS218" s="190">
        <f t="shared" ref="AS218:AS249" si="255">AS51*AS$168</f>
        <v>0</v>
      </c>
      <c r="AT218" s="189">
        <f>$C218+SUM($D218:AS218,AU218:$FB218)-SUM(AT$176:AT217,AT219:AT$330)-AT$331</f>
        <v>3.4694469519536142E-18</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2">
      <c r="B219" s="207" t="s">
        <v>3951</v>
      </c>
      <c r="C219" s="201">
        <v>0</v>
      </c>
      <c r="D219" s="190">
        <f t="shared" si="200"/>
        <v>3.9445960519841909</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-7.694582818129625E-16</v>
      </c>
      <c r="AV219" s="184">
        <f t="shared" ref="AV219:CA219" si="262">AV52*AV$168</f>
        <v>0</v>
      </c>
      <c r="AW219" s="184">
        <f t="shared" si="262"/>
        <v>0</v>
      </c>
      <c r="AX219" s="184">
        <f t="shared" si="262"/>
        <v>0</v>
      </c>
      <c r="AY219" s="184">
        <f t="shared" si="262"/>
        <v>0</v>
      </c>
      <c r="AZ219" s="184">
        <f t="shared" si="262"/>
        <v>0</v>
      </c>
      <c r="BA219" s="184">
        <f t="shared" si="262"/>
        <v>0</v>
      </c>
      <c r="BB219" s="184">
        <f t="shared" si="262"/>
        <v>1.1701124439087684E-21</v>
      </c>
      <c r="BC219" s="184">
        <f t="shared" si="262"/>
        <v>0</v>
      </c>
      <c r="BD219" s="184">
        <f t="shared" si="262"/>
        <v>0</v>
      </c>
      <c r="BE219" s="184">
        <f t="shared" si="262"/>
        <v>0</v>
      </c>
      <c r="BF219" s="184">
        <f t="shared" si="262"/>
        <v>5.1921495426027132E-19</v>
      </c>
      <c r="BG219" s="184">
        <f t="shared" si="262"/>
        <v>0</v>
      </c>
      <c r="BH219" s="184">
        <f t="shared" si="262"/>
        <v>0</v>
      </c>
      <c r="BI219" s="184">
        <f t="shared" si="262"/>
        <v>0</v>
      </c>
      <c r="BJ219" s="184">
        <f t="shared" si="262"/>
        <v>2.2043490363311584E-15</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8.970454164735668E-19</v>
      </c>
      <c r="CA219" s="184">
        <f t="shared" si="262"/>
        <v>0</v>
      </c>
      <c r="CB219" s="184">
        <f t="shared" ref="CB219:DG219" si="263">CB52*CB$168</f>
        <v>0</v>
      </c>
      <c r="CC219" s="184">
        <f t="shared" si="263"/>
        <v>0</v>
      </c>
      <c r="CD219" s="184">
        <f t="shared" si="263"/>
        <v>1.9936218747893451E-18</v>
      </c>
      <c r="CE219" s="184">
        <f t="shared" si="263"/>
        <v>0</v>
      </c>
      <c r="CF219" s="184">
        <f t="shared" si="263"/>
        <v>0</v>
      </c>
      <c r="CG219" s="184">
        <f t="shared" si="263"/>
        <v>0</v>
      </c>
      <c r="CH219" s="184">
        <f t="shared" si="263"/>
        <v>3.3223904313835789E-19</v>
      </c>
      <c r="CI219" s="184">
        <f t="shared" si="263"/>
        <v>0</v>
      </c>
      <c r="CJ219" s="184">
        <f t="shared" si="263"/>
        <v>0</v>
      </c>
      <c r="CK219" s="184">
        <f t="shared" si="263"/>
        <v>0</v>
      </c>
      <c r="CL219" s="184">
        <f t="shared" si="263"/>
        <v>8.1986766484113838E-3</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2">
      <c r="B220" s="207" t="s">
        <v>3952</v>
      </c>
      <c r="C220" s="201">
        <v>0</v>
      </c>
      <c r="D220" s="190">
        <f t="shared" si="200"/>
        <v>0</v>
      </c>
      <c r="E220" s="190">
        <f t="shared" si="206"/>
        <v>0.95270441683129614</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-3.7729557976137751E-16</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4.8914587408105385E-5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2">
      <c r="B221" s="207" t="s">
        <v>3953</v>
      </c>
      <c r="C221" s="201">
        <v>0</v>
      </c>
      <c r="D221" s="190">
        <f t="shared" si="200"/>
        <v>0</v>
      </c>
      <c r="E221" s="190">
        <f t="shared" si="206"/>
        <v>0</v>
      </c>
      <c r="F221" s="190">
        <f t="shared" si="212"/>
        <v>5.7846216647423283</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0.84321459460856552</v>
      </c>
      <c r="AW221" s="189">
        <f>$C221+SUM($D221:AV221,AX221:$FB221)-SUM(AW$176:AW220,AW222:AW$330)-AW$331</f>
        <v>4.7553107285214224E-16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0.27373274209216747</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2">
      <c r="B222" s="207" t="s">
        <v>3954</v>
      </c>
      <c r="C222" s="201">
        <v>0</v>
      </c>
      <c r="D222" s="190">
        <f t="shared" si="200"/>
        <v>0</v>
      </c>
      <c r="E222" s="190">
        <f t="shared" si="206"/>
        <v>0</v>
      </c>
      <c r="F222" s="190">
        <f t="shared" si="212"/>
        <v>0</v>
      </c>
      <c r="G222" s="190">
        <f t="shared" si="218"/>
        <v>1.835425498154755E-3</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2.6213268491839504E-3</v>
      </c>
      <c r="AW222" s="190">
        <f t="shared" ref="AW222:AW253" si="279">AW55*AW$168</f>
        <v>0</v>
      </c>
      <c r="AX222" s="189">
        <f>$C222+SUM($D222:AW222,AY222:$FB222)-SUM(AX$176:AX221,AX223:AX$330)-AX$331</f>
        <v>-1.4516953575856631E-18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2.3965847800248583E-7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2">
      <c r="B223" s="207" t="s">
        <v>3955</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1.5651025327729242E-2</v>
      </c>
      <c r="AW223" s="190">
        <f t="shared" si="279"/>
        <v>0</v>
      </c>
      <c r="AX223" s="190">
        <f t="shared" ref="AX223:AX254" si="285">AX56*AX$168</f>
        <v>0</v>
      </c>
      <c r="AY223" s="189">
        <f>$C223+SUM($D223:AX223,AZ223:$FB223)-SUM(AY$176:AY222,AY224:AY$330)-AY$331</f>
        <v>0</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2">
      <c r="B224" s="207" t="s">
        <v>3956</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0.46310587560573935</v>
      </c>
      <c r="AX224" s="190">
        <f t="shared" si="285"/>
        <v>0</v>
      </c>
      <c r="AY224" s="190">
        <f t="shared" ref="AY224:AY255" si="291">AY57*AY$168</f>
        <v>0</v>
      </c>
      <c r="AZ224" s="189">
        <f>$C224+SUM($D224:AY224,BA224:$FB224)-SUM(AZ$176:AZ223,AZ225:AZ$330)-AZ$331</f>
        <v>-1.1102230246251565E-16</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2">
      <c r="B225" s="207" t="s">
        <v>3957</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4.3010542194773871E-3</v>
      </c>
      <c r="AY225" s="190">
        <f t="shared" si="291"/>
        <v>0</v>
      </c>
      <c r="AZ225" s="190">
        <f t="shared" ref="AZ225:AZ256" si="297">AZ58*AZ$168</f>
        <v>0</v>
      </c>
      <c r="BA225" s="189">
        <f>$C225+SUM($D225:AZ225,BB225:$FB225)-SUM(BA$176:BA224,BA226:BA$330)-BA$331</f>
        <v>0</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2">
      <c r="B226" s="207" t="s">
        <v>3958</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3.9355536227094435E-3</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-5.7384902453328289E-19</v>
      </c>
      <c r="BC226" s="184">
        <f t="shared" ref="BC226:CH226" si="304">BC59*BC$168</f>
        <v>2.348027892721337E-13</v>
      </c>
      <c r="BD226" s="184">
        <f t="shared" si="304"/>
        <v>1.6348384670321113E-7</v>
      </c>
      <c r="BE226" s="184">
        <f t="shared" si="304"/>
        <v>1.8481892305707767E-12</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2">
      <c r="B227" s="207" t="s">
        <v>3959</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1.2056529824734504E-4</v>
      </c>
      <c r="AW227" s="190">
        <f t="shared" si="279"/>
        <v>0</v>
      </c>
      <c r="AX227" s="190">
        <f t="shared" si="285"/>
        <v>0</v>
      </c>
      <c r="AY227" s="190">
        <f t="shared" si="291"/>
        <v>1.8945365881311142E-5</v>
      </c>
      <c r="AZ227" s="190">
        <f t="shared" si="297"/>
        <v>0</v>
      </c>
      <c r="BA227" s="190">
        <f t="shared" si="303"/>
        <v>0</v>
      </c>
      <c r="BB227" s="190">
        <f t="shared" ref="BB227:BB258" si="309">BB60*BB$168</f>
        <v>0</v>
      </c>
      <c r="BC227" s="189">
        <f>$C227+SUM($D227:BB227,BD227:$FB227)-SUM(BC$176:BC226,BC228:BC$330)-BC$331</f>
        <v>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0</v>
      </c>
      <c r="CB227" s="184">
        <f t="shared" si="310"/>
        <v>0</v>
      </c>
      <c r="CC227" s="184">
        <f t="shared" si="310"/>
        <v>0</v>
      </c>
      <c r="CD227" s="184">
        <f t="shared" si="310"/>
        <v>0</v>
      </c>
      <c r="CE227" s="184">
        <f t="shared" si="310"/>
        <v>0</v>
      </c>
      <c r="CF227" s="184">
        <f t="shared" si="310"/>
        <v>0</v>
      </c>
      <c r="CG227" s="184">
        <f t="shared" si="310"/>
        <v>0</v>
      </c>
      <c r="CH227" s="184">
        <f t="shared" si="310"/>
        <v>0</v>
      </c>
      <c r="CI227" s="184">
        <f t="shared" si="310"/>
        <v>0</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2">
      <c r="B228" s="207" t="s">
        <v>3960</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4.0213853650242857E-3</v>
      </c>
      <c r="AX228" s="190">
        <f t="shared" si="285"/>
        <v>0</v>
      </c>
      <c r="AY228" s="190">
        <f t="shared" si="291"/>
        <v>0</v>
      </c>
      <c r="AZ228" s="190">
        <f t="shared" si="297"/>
        <v>5.6058373629944472E-4</v>
      </c>
      <c r="BA228" s="190">
        <f t="shared" si="303"/>
        <v>0</v>
      </c>
      <c r="BB228" s="190">
        <f t="shared" si="309"/>
        <v>0</v>
      </c>
      <c r="BC228" s="190">
        <f t="shared" ref="BC228:BC259" si="315">BC61*BC$168</f>
        <v>1.39301858588038E-4</v>
      </c>
      <c r="BD228" s="189">
        <f>$C228+SUM($D228:BC228,BE228:$FB228)-SUM(BD$176:BD227,BD229:BD$330)-BD$331</f>
        <v>8.6736173798840355E-19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0</v>
      </c>
      <c r="CC228" s="184">
        <f t="shared" si="316"/>
        <v>0</v>
      </c>
      <c r="CD228" s="184">
        <f t="shared" si="316"/>
        <v>0</v>
      </c>
      <c r="CE228" s="184">
        <f t="shared" si="316"/>
        <v>0</v>
      </c>
      <c r="CF228" s="184">
        <f t="shared" si="316"/>
        <v>0</v>
      </c>
      <c r="CG228" s="184">
        <f t="shared" si="316"/>
        <v>0</v>
      </c>
      <c r="CH228" s="184">
        <f t="shared" si="316"/>
        <v>0</v>
      </c>
      <c r="CI228" s="184">
        <f t="shared" si="316"/>
        <v>0</v>
      </c>
      <c r="CJ228" s="184">
        <f t="shared" si="316"/>
        <v>0</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2">
      <c r="B229" s="207" t="s">
        <v>3961</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7.0366357752054806E-8</v>
      </c>
      <c r="AY229" s="190">
        <f t="shared" si="291"/>
        <v>0</v>
      </c>
      <c r="AZ229" s="190">
        <f t="shared" si="297"/>
        <v>0</v>
      </c>
      <c r="BA229" s="190">
        <f t="shared" si="303"/>
        <v>5.2063710943581122E-6</v>
      </c>
      <c r="BB229" s="190">
        <f t="shared" si="309"/>
        <v>0</v>
      </c>
      <c r="BC229" s="190">
        <f t="shared" si="315"/>
        <v>2.0317234417102987E-7</v>
      </c>
      <c r="BD229" s="190">
        <f t="shared" ref="BD229:BD260" si="321">BD62*BD$168</f>
        <v>0</v>
      </c>
      <c r="BE229" s="189">
        <f>$C229+SUM($D229:BD229,BF229:$FB229)-SUM(BE$176:BE228,BE230:BE$330)-BE$331</f>
        <v>0</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0</v>
      </c>
      <c r="CD229" s="184">
        <f t="shared" si="322"/>
        <v>0</v>
      </c>
      <c r="CE229" s="184">
        <f t="shared" si="322"/>
        <v>0</v>
      </c>
      <c r="CF229" s="184">
        <f t="shared" si="322"/>
        <v>0</v>
      </c>
      <c r="CG229" s="184">
        <f t="shared" si="322"/>
        <v>0</v>
      </c>
      <c r="CH229" s="184">
        <f t="shared" si="322"/>
        <v>0</v>
      </c>
      <c r="CI229" s="184">
        <f t="shared" si="322"/>
        <v>0</v>
      </c>
      <c r="CJ229" s="184">
        <f t="shared" si="322"/>
        <v>0</v>
      </c>
      <c r="CK229" s="184">
        <f t="shared" si="322"/>
        <v>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2">
      <c r="B230" s="207" t="s">
        <v>3962</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4.3291089849803871E-2</v>
      </c>
      <c r="AV230" s="190">
        <f t="shared" si="273"/>
        <v>0</v>
      </c>
      <c r="AW230" s="190">
        <f t="shared" si="279"/>
        <v>0</v>
      </c>
      <c r="AX230" s="190">
        <f t="shared" si="285"/>
        <v>0</v>
      </c>
      <c r="AY230" s="190">
        <f t="shared" si="291"/>
        <v>0</v>
      </c>
      <c r="AZ230" s="190">
        <f t="shared" si="297"/>
        <v>0</v>
      </c>
      <c r="BA230" s="190">
        <f t="shared" si="303"/>
        <v>0</v>
      </c>
      <c r="BB230" s="190">
        <f t="shared" si="309"/>
        <v>3.8115354208481549E-3</v>
      </c>
      <c r="BC230" s="190">
        <f t="shared" si="315"/>
        <v>0</v>
      </c>
      <c r="BD230" s="190">
        <f t="shared" si="321"/>
        <v>0</v>
      </c>
      <c r="BE230" s="190">
        <f t="shared" ref="BE230:BE261" si="326">BE63*BE$168</f>
        <v>0</v>
      </c>
      <c r="BF230" s="189">
        <f>$C230+SUM($D230:BE230,BG230:$FB230)-SUM(BF$176:BF229,BF231:BF$330)-BF$331</f>
        <v>2.1844497820658187E-16</v>
      </c>
      <c r="BG230" s="184">
        <f t="shared" ref="BG230:CL230" si="327">BG63*BG$168</f>
        <v>2.3201635046888019E-12</v>
      </c>
      <c r="BH230" s="184">
        <f t="shared" si="327"/>
        <v>8.5670847492747156E-7</v>
      </c>
      <c r="BI230" s="184">
        <f t="shared" si="327"/>
        <v>8.9750921976696541E-10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0.52072903872102505</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0.42222320945606912</v>
      </c>
      <c r="CA230" s="184">
        <f t="shared" si="327"/>
        <v>0</v>
      </c>
      <c r="CB230" s="184">
        <f t="shared" si="327"/>
        <v>0</v>
      </c>
      <c r="CC230" s="184">
        <f t="shared" si="327"/>
        <v>0</v>
      </c>
      <c r="CD230" s="184">
        <f t="shared" si="327"/>
        <v>0.93836210626263949</v>
      </c>
      <c r="CE230" s="184">
        <f t="shared" si="327"/>
        <v>0</v>
      </c>
      <c r="CF230" s="184">
        <f t="shared" si="327"/>
        <v>0</v>
      </c>
      <c r="CG230" s="184">
        <f t="shared" si="327"/>
        <v>0</v>
      </c>
      <c r="CH230" s="184">
        <f t="shared" si="327"/>
        <v>0.15637896646521071</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2">
      <c r="B231" s="207" t="s">
        <v>3963</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1.3262182807207952E-3</v>
      </c>
      <c r="AW231" s="190">
        <f t="shared" si="279"/>
        <v>0</v>
      </c>
      <c r="AX231" s="190">
        <f t="shared" si="285"/>
        <v>0</v>
      </c>
      <c r="AY231" s="190">
        <f t="shared" si="291"/>
        <v>2.0839902469442249E-4</v>
      </c>
      <c r="AZ231" s="190">
        <f t="shared" si="297"/>
        <v>0</v>
      </c>
      <c r="BA231" s="190">
        <f t="shared" si="303"/>
        <v>0</v>
      </c>
      <c r="BB231" s="190">
        <f t="shared" si="309"/>
        <v>0</v>
      </c>
      <c r="BC231" s="190">
        <f t="shared" si="315"/>
        <v>5.6288339894004658E-9</v>
      </c>
      <c r="BD231" s="190">
        <f t="shared" si="321"/>
        <v>0</v>
      </c>
      <c r="BE231" s="190">
        <f t="shared" si="326"/>
        <v>0</v>
      </c>
      <c r="BF231" s="190">
        <f t="shared" ref="BF231:BF262" si="331">BF64*BF$168</f>
        <v>0</v>
      </c>
      <c r="BG231" s="189">
        <f>$C231+SUM($D231:BF231,BH231:$FB231)-SUM(BG$176:BG230,BG232:BG$330)-BG$331</f>
        <v>-4.3368086899420177E-19</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8.0633504238422625E-14</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1.0014392158490484E-8</v>
      </c>
      <c r="CB231" s="184">
        <f t="shared" si="332"/>
        <v>0</v>
      </c>
      <c r="CC231" s="184">
        <f t="shared" si="332"/>
        <v>0</v>
      </c>
      <c r="CD231" s="184">
        <f t="shared" si="332"/>
        <v>0</v>
      </c>
      <c r="CE231" s="184">
        <f t="shared" si="332"/>
        <v>1.0126260702610562E-8</v>
      </c>
      <c r="CF231" s="184">
        <f t="shared" si="332"/>
        <v>0</v>
      </c>
      <c r="CG231" s="184">
        <f t="shared" si="332"/>
        <v>0</v>
      </c>
      <c r="CH231" s="184">
        <f t="shared" si="332"/>
        <v>0</v>
      </c>
      <c r="CI231" s="184">
        <f t="shared" si="332"/>
        <v>3.7090341327742533E-9</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2">
      <c r="B232" s="207" t="s">
        <v>3964</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4.4235239015267137E-2</v>
      </c>
      <c r="AX232" s="190">
        <f t="shared" si="285"/>
        <v>0</v>
      </c>
      <c r="AY232" s="190">
        <f t="shared" si="291"/>
        <v>0</v>
      </c>
      <c r="AZ232" s="190">
        <f t="shared" si="297"/>
        <v>6.16642109929389E-3</v>
      </c>
      <c r="BA232" s="190">
        <f t="shared" si="303"/>
        <v>0</v>
      </c>
      <c r="BB232" s="190">
        <f t="shared" si="309"/>
        <v>0</v>
      </c>
      <c r="BC232" s="190">
        <f t="shared" si="315"/>
        <v>0</v>
      </c>
      <c r="BD232" s="190">
        <f t="shared" si="321"/>
        <v>3.9191333113783493E-3</v>
      </c>
      <c r="BE232" s="190">
        <f t="shared" si="326"/>
        <v>0</v>
      </c>
      <c r="BF232" s="190">
        <f t="shared" si="331"/>
        <v>0</v>
      </c>
      <c r="BG232" s="190">
        <f t="shared" ref="BG232:BG263" si="336">BG65*BG$168</f>
        <v>1.3845546766998141E-3</v>
      </c>
      <c r="BH232" s="189">
        <f>$C232+SUM($D232:BG232,BI232:$FB232)-SUM(BH$176:BH231,BH233:BH$330)-BH$331</f>
        <v>1.1102230246251565E-16</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0.12617111137893972</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0.16159948955130346</v>
      </c>
      <c r="CC232" s="184">
        <f t="shared" si="337"/>
        <v>0</v>
      </c>
      <c r="CD232" s="184">
        <f t="shared" si="337"/>
        <v>0</v>
      </c>
      <c r="CE232" s="184">
        <f t="shared" si="337"/>
        <v>0</v>
      </c>
      <c r="CF232" s="184">
        <f t="shared" si="337"/>
        <v>0.35910953725485395</v>
      </c>
      <c r="CG232" s="184">
        <f t="shared" si="337"/>
        <v>0</v>
      </c>
      <c r="CH232" s="184">
        <f t="shared" si="337"/>
        <v>0</v>
      </c>
      <c r="CI232" s="184">
        <f t="shared" si="337"/>
        <v>0</v>
      </c>
      <c r="CJ232" s="184">
        <f t="shared" si="337"/>
        <v>5.9851662796779039E-2</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2">
      <c r="B233" s="207" t="s">
        <v>3965</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7.7402993527260271E-7</v>
      </c>
      <c r="AY233" s="190">
        <f t="shared" si="291"/>
        <v>0</v>
      </c>
      <c r="AZ233" s="190">
        <f t="shared" si="297"/>
        <v>0</v>
      </c>
      <c r="BA233" s="190">
        <f t="shared" si="303"/>
        <v>5.7270082037939212E-5</v>
      </c>
      <c r="BB233" s="190">
        <f t="shared" si="309"/>
        <v>0</v>
      </c>
      <c r="BC233" s="190">
        <f t="shared" si="315"/>
        <v>0</v>
      </c>
      <c r="BD233" s="190">
        <f t="shared" si="321"/>
        <v>0</v>
      </c>
      <c r="BE233" s="190">
        <f t="shared" si="326"/>
        <v>4.4305906212313146E-8</v>
      </c>
      <c r="BF233" s="190">
        <f t="shared" si="331"/>
        <v>0</v>
      </c>
      <c r="BG233" s="190">
        <f t="shared" si="336"/>
        <v>1.4840528004609412E-4</v>
      </c>
      <c r="BH233" s="190">
        <f t="shared" ref="BH233:BH264" si="341">BH66*BH$168</f>
        <v>0</v>
      </c>
      <c r="BI233" s="189">
        <f>$C233+SUM($D233:BH233,BJ233:$FB233)-SUM(BI$176:BI232,BI234:BI$330)-BI$331</f>
        <v>-1.3877787807814457E-17</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7.9246752798027439E-2</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2.5815368843236678E-3</v>
      </c>
      <c r="CD233" s="184">
        <f t="shared" si="342"/>
        <v>0</v>
      </c>
      <c r="CE233" s="184">
        <f t="shared" si="342"/>
        <v>0</v>
      </c>
      <c r="CF233" s="184">
        <f t="shared" si="342"/>
        <v>0</v>
      </c>
      <c r="CG233" s="184">
        <f t="shared" si="342"/>
        <v>5.6481568499610196E-3</v>
      </c>
      <c r="CH233" s="184">
        <f t="shared" si="342"/>
        <v>0</v>
      </c>
      <c r="CI233" s="184">
        <f t="shared" si="342"/>
        <v>0</v>
      </c>
      <c r="CJ233" s="184">
        <f t="shared" si="342"/>
        <v>0</v>
      </c>
      <c r="CK233" s="184">
        <f t="shared" si="342"/>
        <v>9.5612477197172833E-4</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2">
      <c r="B234" s="207" t="s">
        <v>3966</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115.45958758605548</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1.6769931124900135</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1.539770413376341</v>
      </c>
      <c r="BG234" s="190">
        <f t="shared" si="336"/>
        <v>0</v>
      </c>
      <c r="BH234" s="190">
        <f t="shared" si="341"/>
        <v>0</v>
      </c>
      <c r="BI234" s="190">
        <f t="shared" ref="BI234:BI265" si="346">BI67*BI$168</f>
        <v>0</v>
      </c>
      <c r="BJ234" s="189">
        <f>$C234+SUM($D234:BI234,BK234:$FB234)-SUM(BJ$176:BJ233,BJ235:BJ$330)-BJ$331</f>
        <v>-2.0974107675409571E-11</v>
      </c>
      <c r="BK234" s="184">
        <f t="shared" ref="BK234:CP234" si="347">BK67*BK$168</f>
        <v>1.5048862639921966E-12</v>
      </c>
      <c r="BL234" s="184">
        <f t="shared" si="347"/>
        <v>1.8952694424016488E-2</v>
      </c>
      <c r="BM234" s="184">
        <f t="shared" si="347"/>
        <v>7.6861940255587417E-7</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1418.2163686341737</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189944.42808254488</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2">
      <c r="B235" s="207" t="s">
        <v>3967</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4.4371860660915394E-6</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3.7323319494234605E-2</v>
      </c>
      <c r="AW235" s="190">
        <f t="shared" si="279"/>
        <v>0</v>
      </c>
      <c r="AX235" s="190">
        <f t="shared" si="285"/>
        <v>0</v>
      </c>
      <c r="AY235" s="190">
        <f t="shared" si="291"/>
        <v>8.0728789752047836E-3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1.685465393609549E-6</v>
      </c>
      <c r="BH235" s="190">
        <f t="shared" si="341"/>
        <v>0</v>
      </c>
      <c r="BI235" s="190">
        <f t="shared" si="346"/>
        <v>0</v>
      </c>
      <c r="BJ235" s="190">
        <f t="shared" ref="BJ235:BJ266" si="351">BJ68*BJ$168</f>
        <v>0</v>
      </c>
      <c r="BK235" s="189">
        <f>$C235+SUM($D235:BJ235,BL235:$FB235)-SUM(BK$176:BK234,BK236:BK$330)-BK$331</f>
        <v>6.9388939039072284E-18</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5.2572683611411263E-18</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1.0551131524951275E-9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2">
      <c r="B236" s="207" t="s">
        <v>3968</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14.742599482662374</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1.5920673592292576</v>
      </c>
      <c r="AX236" s="190">
        <f t="shared" si="285"/>
        <v>0</v>
      </c>
      <c r="AY236" s="190">
        <f t="shared" si="291"/>
        <v>0</v>
      </c>
      <c r="AZ236" s="190">
        <f t="shared" si="297"/>
        <v>0.23887238108596159</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0.62234945252099438</v>
      </c>
      <c r="BI236" s="190">
        <f t="shared" si="346"/>
        <v>0</v>
      </c>
      <c r="BJ236" s="190">
        <f t="shared" si="351"/>
        <v>0</v>
      </c>
      <c r="BK236" s="190">
        <f t="shared" ref="BK236:BK267" si="356">BK69*BK$168</f>
        <v>4.466410852347167E-2</v>
      </c>
      <c r="BL236" s="189">
        <f>$C236+SUM($D236:BK236,BM236:$FB236)-SUM(BL$176:BL235,BL237:BL$330)-BL$331</f>
        <v>1.8189894035458565E-12</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42.084018113520187</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5996.6912443383881</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2">
      <c r="B237" s="207" t="s">
        <v>3969</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0.1294698041304663</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2.9984065423548736E-5</v>
      </c>
      <c r="AY237" s="190">
        <f t="shared" si="291"/>
        <v>0</v>
      </c>
      <c r="AZ237" s="190">
        <f t="shared" si="297"/>
        <v>0</v>
      </c>
      <c r="BA237" s="190">
        <f t="shared" si="303"/>
        <v>2.2185057817341422E-3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6.5198884790045226E-4</v>
      </c>
      <c r="BJ237" s="190">
        <f t="shared" si="351"/>
        <v>0</v>
      </c>
      <c r="BK237" s="190">
        <f t="shared" si="356"/>
        <v>7.377364692615656E-4</v>
      </c>
      <c r="BL237" s="190">
        <f t="shared" ref="BL237:BL268" si="361">BL70*BL$168</f>
        <v>0</v>
      </c>
      <c r="BM237" s="189">
        <f>$C237+SUM($D237:BL237,BN237:$FB237)-SUM(BM$176:BM236,BM238:BM$330)-BM$331</f>
        <v>2.2204460492503131E-16</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1.023230011498496</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0.21764712433521863</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2">
      <c r="B238" s="207" t="s">
        <v>3970</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1.2418168778452861E-4</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9.3941361758219484E-22</v>
      </c>
      <c r="BP238" s="184">
        <f t="shared" si="367"/>
        <v>2.7901271377116227E-8</v>
      </c>
      <c r="BQ238" s="184">
        <f t="shared" si="367"/>
        <v>1.8910869976038657E-10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2">
      <c r="B239" s="207" t="s">
        <v>3971</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4.1276549414721287E-12</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4.5379839870420908E-28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2">
      <c r="B240" s="207" t="s">
        <v>3972</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8.0197416468671501E-4</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1.114589109895772E-12</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2">
      <c r="B241" s="207" t="s">
        <v>3973</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5.4356020418796532E-6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3.0130388297439983E-12</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2">
      <c r="B242" s="207" t="s">
        <v>3974</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0.54502639040747369</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-2.3592239273284576E-16</v>
      </c>
      <c r="BS242" s="184">
        <f t="shared" ref="BS242:CX242" si="389">BS75*BS$168</f>
        <v>3.0940346852217299E-19</v>
      </c>
      <c r="BT242" s="184">
        <f t="shared" si="389"/>
        <v>4.8413844662526127E-7</v>
      </c>
      <c r="BU242" s="184">
        <f t="shared" si="389"/>
        <v>3.0408228460875033E-7</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2">
      <c r="B243" s="207" t="s">
        <v>3975</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1.3595571535924962E-9</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5.641617649778588E-26</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2">
      <c r="B244" s="207" t="s">
        <v>3976</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0.14008683985504594</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3.670989329134562E-10</v>
      </c>
      <c r="BT244" s="189">
        <f>$C244+SUM($D244:BS244,BU244:$FB244)-SUM(BT$176:BT243,BT245:BT$330)-BT$331</f>
        <v>-9.7144514654701197E-17</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2">
      <c r="B245" s="207" t="s">
        <v>3977</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8.7987075256799718E-2</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9.9236869390305018E-10</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2">
      <c r="B246" s="207" t="s">
        <v>3978</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1447.4764912133835</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3.1974423109204508E-14</v>
      </c>
      <c r="BW246" s="184">
        <f t="shared" ref="BW246:DB246" si="413">BW79*BW$168</f>
        <v>6.0208793989909244E-23</v>
      </c>
      <c r="BX246" s="184">
        <f t="shared" si="413"/>
        <v>4.819666417627121E-4</v>
      </c>
      <c r="BY246" s="184">
        <f t="shared" si="413"/>
        <v>1.1718527709556202E-5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2">
      <c r="B247" s="207" t="s">
        <v>3979</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1.3227379545141792E-11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-7.0663371143138765E-27</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2">
      <c r="B248" s="207" t="s">
        <v>3980</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46.486462074924482</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3.5718061163425271E-12</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2">
      <c r="B249" s="207" t="s">
        <v>3981</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1.1302709497638301</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9.6555676215637173E-12</v>
      </c>
      <c r="BX249" s="190">
        <f t="shared" ref="BX249:BX280" si="430">BX82*BX$168</f>
        <v>0</v>
      </c>
      <c r="BY249" s="189">
        <f>$C249+SUM($D249:BX249,BZ249:$FB249)-SUM(BY$176:BY248,BY250:BY$330)-BY$331</f>
        <v>2.0816681711721685E-16</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2">
      <c r="B250" s="207" t="s">
        <v>3982</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0.42503979125249397</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-1.9428902930940239E-16</v>
      </c>
      <c r="CA250" s="184">
        <f t="shared" ref="CA250:DF250" si="437">CA83*CA$168</f>
        <v>7.0997893841509437E-15</v>
      </c>
      <c r="CB250" s="184">
        <f t="shared" si="437"/>
        <v>1.1456734689861565E-7</v>
      </c>
      <c r="CC250" s="184">
        <f t="shared" si="437"/>
        <v>1.3568557864005199E-5</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2">
      <c r="B251" s="207" t="s">
        <v>3983</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7.0550448047878023E-3</v>
      </c>
      <c r="AW251" s="190">
        <f t="shared" si="279"/>
        <v>0</v>
      </c>
      <c r="AX251" s="190">
        <f t="shared" si="285"/>
        <v>0</v>
      </c>
      <c r="AY251" s="190">
        <f t="shared" si="291"/>
        <v>2.0460995151816031E-3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3.9531707875165051E-18</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2">
      <c r="B252" s="207" t="s">
        <v>3984</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9.5069346083244882E-2</v>
      </c>
      <c r="AX252" s="190">
        <f t="shared" si="285"/>
        <v>0</v>
      </c>
      <c r="AY252" s="190">
        <f t="shared" si="291"/>
        <v>0</v>
      </c>
      <c r="AZ252" s="190">
        <f t="shared" si="297"/>
        <v>6.0543043520340026E-2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7.0759164407430269E-3</v>
      </c>
      <c r="CB252" s="189">
        <f>$C252+SUM($D252:CA252,CC252:$FB252)-SUM(CB$176:CB251,CB253:CB$330)-CB$331</f>
        <v>-2.9707139526102821E-17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2">
      <c r="B253" s="207" t="s">
        <v>3985</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7.5995666372219176E-6</v>
      </c>
      <c r="AY253" s="190">
        <f t="shared" si="291"/>
        <v>0</v>
      </c>
      <c r="AZ253" s="190">
        <f t="shared" si="297"/>
        <v>0</v>
      </c>
      <c r="BA253" s="190">
        <f t="shared" si="303"/>
        <v>5.6228807819067614E-4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2.0252177973597747E-3</v>
      </c>
      <c r="CB253" s="190">
        <f t="shared" ref="CB253:CB284" si="454">CB86*CB$168</f>
        <v>0</v>
      </c>
      <c r="CC253" s="189">
        <f>$C253+SUM($D253:CB253,CD253:$FB253)-SUM(CC$176:CC252,CC254:CC$330)-CC$331</f>
        <v>-4.3368086899420177E-19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2">
      <c r="B254" s="207" t="s">
        <v>3986</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0.94453286944998649</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1.0148132334464322E-16</v>
      </c>
      <c r="CE254" s="184">
        <f t="shared" ref="CE254:DJ254" si="461">CE87*CE$168</f>
        <v>1.5777319267295499E-14</v>
      </c>
      <c r="CF254" s="184">
        <f t="shared" si="461"/>
        <v>5.5951411755969615E-7</v>
      </c>
      <c r="CG254" s="184">
        <f t="shared" si="461"/>
        <v>1.1874684961358049E-4</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2">
      <c r="B255" s="207" t="s">
        <v>3987</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1.5677877343972895E-2</v>
      </c>
      <c r="AW255" s="190">
        <f t="shared" si="459"/>
        <v>0</v>
      </c>
      <c r="AX255" s="190">
        <f t="shared" ref="AX255:AX286" si="465">AX88*AX$168</f>
        <v>0</v>
      </c>
      <c r="AY255" s="190">
        <f t="shared" si="291"/>
        <v>4.5468878115146735E-3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3.2262568082906073E-18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2">
      <c r="B256" s="207" t="s">
        <v>3988</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0.21126521351832195</v>
      </c>
      <c r="AX256" s="190">
        <f t="shared" si="465"/>
        <v>0</v>
      </c>
      <c r="AY256" s="190">
        <f t="shared" ref="AY256:AY287" si="471">AY89*AY$168</f>
        <v>0</v>
      </c>
      <c r="AZ256" s="190">
        <f t="shared" si="297"/>
        <v>0.13454009671186673</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1.5724268249917774E-2</v>
      </c>
      <c r="CF256" s="189">
        <f>$C256+SUM($D256:CE256,CG256:$FB256)-SUM(CF$176:CF255,CF257:CF$330)-CF$331</f>
        <v>1.1145598333150986E-16</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2">
      <c r="B257" s="207" t="s">
        <v>3989</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1.6887925860493148E-5</v>
      </c>
      <c r="AY257" s="190">
        <f t="shared" si="471"/>
        <v>0</v>
      </c>
      <c r="AZ257" s="190">
        <f t="shared" ref="AZ257:AZ288" si="477">AZ90*AZ$168</f>
        <v>0</v>
      </c>
      <c r="BA257" s="190">
        <f t="shared" si="303"/>
        <v>1.2495290626459469E-3</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4.5004867110681607E-3</v>
      </c>
      <c r="CF257" s="190">
        <f t="shared" ref="CF257:CF288" si="478">CF90*CF$168</f>
        <v>0</v>
      </c>
      <c r="CG257" s="189">
        <f>$C257+SUM($D257:CF257,CH257:$FB257)-SUM(CG$176:CG256,CG258:CG$330)-CG$331</f>
        <v>8.6736173798840355E-19</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2">
      <c r="B258" s="207" t="s">
        <v>3990</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0.15742214490833106</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-2.211772431870429E-17</v>
      </c>
      <c r="CI258" s="184">
        <f t="shared" ref="CI258:DN258" si="485">CI91*CI$168</f>
        <v>2.6295516237596089E-15</v>
      </c>
      <c r="CJ258" s="184">
        <f t="shared" si="485"/>
        <v>4.2432350703190968E-8</v>
      </c>
      <c r="CK258" s="184">
        <f t="shared" si="485"/>
        <v>5.0253918014834047E-6</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2">
      <c r="B259" s="207" t="s">
        <v>3991</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2.6129795573288151E-3</v>
      </c>
      <c r="AW259" s="190">
        <f t="shared" si="459"/>
        <v>0</v>
      </c>
      <c r="AX259" s="190">
        <f t="shared" si="465"/>
        <v>0</v>
      </c>
      <c r="AY259" s="190">
        <f t="shared" si="471"/>
        <v>7.5781463525244547E-4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9.6620744627540353E-19</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2">
      <c r="B260" s="207" t="s">
        <v>3992</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3.5210868919720313E-2</v>
      </c>
      <c r="AX260" s="190">
        <f t="shared" si="465"/>
        <v>0</v>
      </c>
      <c r="AY260" s="190">
        <f t="shared" si="471"/>
        <v>0</v>
      </c>
      <c r="AZ260" s="190">
        <f t="shared" si="477"/>
        <v>2.2423349451977784E-2</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2.6207097928677876E-3</v>
      </c>
      <c r="CJ260" s="189">
        <f>$C260+SUM($D260:CI260,CK260:$FB260)-SUM(CJ$176:CJ259,CJ261:CJ$330)-CJ$331</f>
        <v>-7.5352050987742558E-18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2">
      <c r="B261" s="207" t="s">
        <v>3993</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2.8146543100821914E-6</v>
      </c>
      <c r="AY261" s="190">
        <f t="shared" si="471"/>
        <v>0</v>
      </c>
      <c r="AZ261" s="190">
        <f t="shared" si="477"/>
        <v>0</v>
      </c>
      <c r="BA261" s="190">
        <f t="shared" si="483"/>
        <v>2.0825484377432442E-4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7.5008066568880538E-4</v>
      </c>
      <c r="CJ261" s="190">
        <f t="shared" ref="CJ261:CJ292" si="502">CJ94*CJ$168</f>
        <v>0</v>
      </c>
      <c r="CK261" s="189">
        <f>$C261+SUM($D261:CJ261,CL261:$FB261)-SUM(CK$176:CK260,CK262:CK$330)-CK$331</f>
        <v>3.2526065174565133E-19</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2">
      <c r="B262" s="207" t="s">
        <v>3994</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0.57617195463631476</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6.4594732557612944E-17</v>
      </c>
      <c r="CM262" s="184">
        <f t="shared" ref="CM262:DR262" si="508">CM95*CM$168</f>
        <v>0</v>
      </c>
      <c r="CN262" s="184">
        <f t="shared" si="508"/>
        <v>0</v>
      </c>
      <c r="CO262" s="184">
        <f t="shared" si="508"/>
        <v>0</v>
      </c>
      <c r="CP262" s="184">
        <f t="shared" si="508"/>
        <v>0</v>
      </c>
      <c r="CQ262" s="184">
        <f t="shared" si="508"/>
        <v>0</v>
      </c>
      <c r="CR262" s="184">
        <f t="shared" si="508"/>
        <v>0</v>
      </c>
      <c r="CS262" s="184">
        <f t="shared" si="508"/>
        <v>2.3025064226923759E-14</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5.3352191348139291E-19</v>
      </c>
      <c r="DF262" s="184">
        <f t="shared" si="508"/>
        <v>0</v>
      </c>
      <c r="DG262" s="184">
        <f t="shared" si="508"/>
        <v>0</v>
      </c>
      <c r="DH262" s="184">
        <f t="shared" si="508"/>
        <v>0</v>
      </c>
      <c r="DI262" s="184">
        <f t="shared" si="508"/>
        <v>1.9277377248139648E-3</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1.9784108446406555E-3</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2">
      <c r="B263" s="207" t="s">
        <v>3995</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2.2297220138262394E-2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1.2809520442649174E-18</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1.7859803109244116E-6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1.6939779907244088E-6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2">
      <c r="B264" s="207" t="s">
        <v>3996</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3.6599727751843134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1.9931451661020769E-2</v>
      </c>
      <c r="CN264" s="189">
        <f>$C264+SUM($D264:CM264,CO264:$FB264)-SUM(CN$176:CN263,CN265:CN$330)-CN$331</f>
        <v>-1.0817085074887878E-15</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0.35450000303617929</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0.36206322905685784</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2">
      <c r="B265" s="207" t="s">
        <v>3997</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8.0324039169056167E-5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6.1961509817675366E-5</v>
      </c>
      <c r="CN265" s="190">
        <f t="shared" ref="CN265:CN296" si="522">CN98*CN$168</f>
        <v>0</v>
      </c>
      <c r="CO265" s="189">
        <f>$C265+SUM($D265:CN265,CP265:$FB265)-SUM(CO$176:CO264,CO266:CO$330)-CO$331</f>
        <v>-3.3916059475899241E-20</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2.7050047974852428E-8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5.5992674969854803E-9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2">
      <c r="B266" s="207" t="s">
        <v>3998</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3.699504927448018E-4</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2">
      <c r="B267" s="207" t="s">
        <v>3999</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0.37320059457305915</v>
      </c>
      <c r="CO267" s="190">
        <f t="shared" si="527"/>
        <v>0</v>
      </c>
      <c r="CP267" s="190">
        <f t="shared" ref="CP267:CP298" si="532">CP100*CP$168</f>
        <v>0</v>
      </c>
      <c r="CQ267" s="189">
        <f>$C267+SUM($D267:CP267,CR267:$FB267)-SUM(CQ$176:CQ266,CQ268:CQ$330)-CQ$331</f>
        <v>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2">
      <c r="B268" s="207" t="s">
        <v>4000</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1.3827234169659514E-4</v>
      </c>
      <c r="CP268" s="190">
        <f t="shared" si="532"/>
        <v>0</v>
      </c>
      <c r="CQ268" s="190">
        <f t="shared" ref="CQ268:CQ299" si="537">CQ101*CQ$168</f>
        <v>0</v>
      </c>
      <c r="CR268" s="189">
        <f>$C268+SUM($D268:CQ268,CS268:$FB268)-SUM(CR$176:CR267,CR269:CR$330)-CR$331</f>
        <v>2.7105054312137611E-20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2">
      <c r="B269" s="207" t="s">
        <v>4001</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189934.37384351101</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0.25280085943104258</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1.4938351397063953E-9</v>
      </c>
      <c r="CT269" s="184">
        <f t="shared" ref="CT269:DY269" si="543">CT102*CT$168</f>
        <v>1.738704740046256E-14</v>
      </c>
      <c r="CU269" s="184">
        <f t="shared" si="543"/>
        <v>9.8818552934048315E-2</v>
      </c>
      <c r="CV269" s="184">
        <f t="shared" si="543"/>
        <v>3.5865734954036504E-6</v>
      </c>
      <c r="CW269" s="184">
        <f t="shared" si="543"/>
        <v>7797366.5206477456</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0.25111920811190597</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1210532.6293187451</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2">
      <c r="B270" s="207" t="s">
        <v>4002</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4.7691873219130347E-7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8.5519555540057492E-4</v>
      </c>
      <c r="CN270" s="190">
        <f t="shared" si="522"/>
        <v>0</v>
      </c>
      <c r="CO270" s="190">
        <f t="shared" si="527"/>
        <v>0</v>
      </c>
      <c r="CP270" s="190">
        <f t="shared" si="532"/>
        <v>1.849752463724009E-4</v>
      </c>
      <c r="CQ270" s="190">
        <f t="shared" si="537"/>
        <v>0</v>
      </c>
      <c r="CR270" s="190">
        <f t="shared" si="542"/>
        <v>0</v>
      </c>
      <c r="CS270" s="190">
        <f t="shared" ref="CS270:CS301" si="547">CS103*CS$168</f>
        <v>0</v>
      </c>
      <c r="CT270" s="189">
        <f>$C270+SUM($D270:CS270,CU270:$FB270)-SUM(CT$176:CT269,CT271:CT$330)-CT$331</f>
        <v>0</v>
      </c>
      <c r="CU270" s="184">
        <f t="shared" ref="CU270:DZ270" si="548">CU103*CU$168</f>
        <v>0</v>
      </c>
      <c r="CV270" s="184">
        <f t="shared" si="548"/>
        <v>0</v>
      </c>
      <c r="CW270" s="184">
        <f t="shared" si="548"/>
        <v>0</v>
      </c>
      <c r="CX270" s="184">
        <f t="shared" si="548"/>
        <v>6.0095065836037504E-14</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9.0533947300320093E-10</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4.6006338882220536E-11</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2">
      <c r="B271" s="207" t="s">
        <v>4003</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6006.3642100982042</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1.2436776540752574</v>
      </c>
      <c r="CO271" s="190">
        <f t="shared" si="527"/>
        <v>0</v>
      </c>
      <c r="CP271" s="190">
        <f t="shared" si="532"/>
        <v>0</v>
      </c>
      <c r="CQ271" s="190">
        <f t="shared" si="537"/>
        <v>0.18660029728652958</v>
      </c>
      <c r="CR271" s="190">
        <f t="shared" si="542"/>
        <v>0</v>
      </c>
      <c r="CS271" s="190">
        <f t="shared" si="547"/>
        <v>0</v>
      </c>
      <c r="CT271" s="190">
        <f t="shared" ref="CT271:CT302" si="552">CT104*CT$168</f>
        <v>1.0320739720713307E-3</v>
      </c>
      <c r="CU271" s="189">
        <f>$C271+SUM($D271:CT271,CV271:$FB271)-SUM(CU$176:CU270,CU272:CU$330)-CU$331</f>
        <v>5.8207660913467407E-11</v>
      </c>
      <c r="CV271" s="184">
        <f t="shared" ref="CV271:EA271" si="553">CV104*CV$168</f>
        <v>0</v>
      </c>
      <c r="CW271" s="184">
        <f t="shared" si="553"/>
        <v>0</v>
      </c>
      <c r="CX271" s="184">
        <f t="shared" si="553"/>
        <v>0</v>
      </c>
      <c r="CY271" s="184">
        <f t="shared" si="553"/>
        <v>246584.22531067391</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0.4770399594773776</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38275.034163631884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2">
      <c r="B272" s="207" t="s">
        <v>4004</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0.2435858441767832</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9.3440525912382565E-7</v>
      </c>
      <c r="CP272" s="190">
        <f t="shared" si="532"/>
        <v>0</v>
      </c>
      <c r="CQ272" s="190">
        <f t="shared" si="537"/>
        <v>0</v>
      </c>
      <c r="CR272" s="190">
        <f t="shared" si="542"/>
        <v>6.9136170848297556E-5</v>
      </c>
      <c r="CS272" s="190">
        <f t="shared" si="547"/>
        <v>0</v>
      </c>
      <c r="CT272" s="190">
        <f t="shared" si="552"/>
        <v>8.523606911045103E-6</v>
      </c>
      <c r="CU272" s="190">
        <f t="shared" ref="CU272:CU303" si="557">CU105*CU$168</f>
        <v>0</v>
      </c>
      <c r="CV272" s="189">
        <f>$C272+SUM($D272:CU272,CW272:$FB272)-SUM(CV$176:CV271,CV273:CV$330)-CV$331</f>
        <v>0</v>
      </c>
      <c r="CW272" s="184">
        <f t="shared" ref="CW272:EB272" si="558">CW105*CW$168</f>
        <v>0</v>
      </c>
      <c r="CX272" s="184">
        <f t="shared" si="558"/>
        <v>0</v>
      </c>
      <c r="CY272" s="184">
        <f t="shared" si="558"/>
        <v>0</v>
      </c>
      <c r="CZ272" s="184">
        <f t="shared" si="558"/>
        <v>18.057788117686442</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2.5183439350031923E-4</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2.785866676182454</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2">
      <c r="B273" s="207" t="s">
        <v>4005</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7797363.4346322175</v>
      </c>
      <c r="CT273" s="190">
        <f t="shared" si="552"/>
        <v>0</v>
      </c>
      <c r="CU273" s="190">
        <f t="shared" si="557"/>
        <v>0</v>
      </c>
      <c r="CV273" s="190">
        <f t="shared" ref="CV273:CV304" si="563">CV106*CV$168</f>
        <v>0</v>
      </c>
      <c r="CW273" s="189">
        <f>$C273+SUM($D273:CV273,CX273:$FB273)-SUM(CW$176:CW272,CW274:CW$330)-CW$331</f>
        <v>-1.7525827897081611E-9</v>
      </c>
      <c r="CX273" s="184">
        <f t="shared" ref="CX273:EC273" si="564">CX106*CX$168</f>
        <v>7.237117978619388E-19</v>
      </c>
      <c r="CY273" s="184">
        <f t="shared" si="564"/>
        <v>2.9695601550862381</v>
      </c>
      <c r="CZ273" s="184">
        <f t="shared" si="564"/>
        <v>2.1746601193044834E-4</v>
      </c>
      <c r="DA273" s="184">
        <f t="shared" si="564"/>
        <v>15118.323949404608</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1210527.8524586351</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2">
      <c r="B274" s="207" t="s">
        <v>4006</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4.3313504136136903E-8</v>
      </c>
      <c r="CU274" s="190">
        <f t="shared" si="557"/>
        <v>0</v>
      </c>
      <c r="CV274" s="190">
        <f t="shared" si="563"/>
        <v>0</v>
      </c>
      <c r="CW274" s="190">
        <f t="shared" ref="CW274:CW305" si="569">CW107*CW$168</f>
        <v>0</v>
      </c>
      <c r="CX274" s="189">
        <f>$C274+SUM($D274:CW274,CY274:$FB274)-SUM(CX$176:CX273,CX275:CX$330)-CX$331</f>
        <v>-6.6174449004242214E-24</v>
      </c>
      <c r="CY274" s="184">
        <f t="shared" ref="CY274:ED274" si="570">CY107*CY$168</f>
        <v>0</v>
      </c>
      <c r="CZ274" s="184">
        <f t="shared" si="570"/>
        <v>0</v>
      </c>
      <c r="DA274" s="184">
        <f t="shared" si="570"/>
        <v>0</v>
      </c>
      <c r="DB274" s="184">
        <f t="shared" si="570"/>
        <v>1.8612352737689324E-25</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1.3525689497574518E-16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2">
      <c r="B275" s="207" t="s">
        <v>4007</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246653.49958816063</v>
      </c>
      <c r="CV275" s="190">
        <f t="shared" si="563"/>
        <v>0</v>
      </c>
      <c r="CW275" s="190">
        <f t="shared" si="569"/>
        <v>0</v>
      </c>
      <c r="CX275" s="190">
        <f t="shared" ref="CX275:CX306" si="575">CX108*CX$168</f>
        <v>4.2958651497918172E-8</v>
      </c>
      <c r="CY275" s="189">
        <f>$C275+SUM($D275:CX275,CZ275:$FB275)-SUM(CY$176:CY274,CY276:CY$330)-CY$331</f>
        <v>5.8207660913467407E-11</v>
      </c>
      <c r="CZ275" s="184">
        <f t="shared" ref="CZ275:EE275" si="576">CZ108*CZ$168</f>
        <v>0</v>
      </c>
      <c r="DA275" s="184">
        <f t="shared" si="576"/>
        <v>0</v>
      </c>
      <c r="DB275" s="184">
        <f t="shared" si="576"/>
        <v>0</v>
      </c>
      <c r="DC275" s="184">
        <f t="shared" si="576"/>
        <v>485.41983628983871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38215.5958361249</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2">
      <c r="B276" s="207" t="s">
        <v>4008</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19.482843288404339</v>
      </c>
      <c r="CW276" s="190">
        <f t="shared" si="569"/>
        <v>0</v>
      </c>
      <c r="CX276" s="190">
        <f t="shared" si="575"/>
        <v>3.5478334761408595E-10</v>
      </c>
      <c r="CY276" s="190">
        <f t="shared" ref="CY276:CY307" si="581">CY109*CY$168</f>
        <v>0</v>
      </c>
      <c r="CZ276" s="189">
        <f>$C276+SUM($D276:CY276,DA276:$FB276)-SUM(CZ$176:CZ275,CZ277:CZ$330)-CZ$331</f>
        <v>0</v>
      </c>
      <c r="DA276" s="184">
        <f t="shared" ref="DA276:EF276" si="582">DA109*DA$168</f>
        <v>0</v>
      </c>
      <c r="DB276" s="184">
        <f t="shared" si="582"/>
        <v>0</v>
      </c>
      <c r="DC276" s="184">
        <f t="shared" si="582"/>
        <v>0</v>
      </c>
      <c r="DD276" s="184">
        <f t="shared" si="582"/>
        <v>21.31240547382896</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1.3854171163670721</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2">
      <c r="B277" s="207" t="s">
        <v>4009</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15119.31723079778</v>
      </c>
      <c r="CX277" s="190">
        <f t="shared" si="575"/>
        <v>0</v>
      </c>
      <c r="CY277" s="190">
        <f t="shared" si="581"/>
        <v>0</v>
      </c>
      <c r="CZ277" s="190">
        <f t="shared" ref="CZ277:CZ308" si="587">CZ110*CZ$168</f>
        <v>0</v>
      </c>
      <c r="DA277" s="189">
        <f>$C277+SUM($D277:CZ277,DB277:$FB277)-SUM(DA$176:DA276,DA278:DA$330)-DA$331</f>
        <v>-4.9199533336263812E-12</v>
      </c>
      <c r="DB277" s="184">
        <f t="shared" ref="DB277:EG277" si="588">DB110*DB$168</f>
        <v>1.9303259250942848E-30</v>
      </c>
      <c r="DC277" s="184">
        <f t="shared" si="588"/>
        <v>5.0343903736998902E-3</v>
      </c>
      <c r="DD277" s="184">
        <f t="shared" si="588"/>
        <v>2.2103540262777548E-4</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2">
      <c r="B278" s="207" t="s">
        <v>4010</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4.2407681610975839E-19</v>
      </c>
      <c r="CY278" s="190">
        <f t="shared" si="581"/>
        <v>0</v>
      </c>
      <c r="CZ278" s="190">
        <f t="shared" si="587"/>
        <v>0</v>
      </c>
      <c r="DA278" s="190">
        <f t="shared" ref="DA278:DA309" si="593">DA111*DA$168</f>
        <v>0</v>
      </c>
      <c r="DB278" s="189">
        <f>$C278+SUM($D278:DA278,DC278:$FB278)-SUM(DB$176:DB277,DB279:DB$330)-DB$331</f>
        <v>-4.1483282588285641E-36</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2">
      <c r="B279" s="207" t="s">
        <v>4011</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485.57509358210706</v>
      </c>
      <c r="CZ279" s="190">
        <f t="shared" si="587"/>
        <v>0</v>
      </c>
      <c r="DA279" s="190">
        <f t="shared" si="593"/>
        <v>0</v>
      </c>
      <c r="DB279" s="190">
        <f t="shared" ref="DB279:DB310" si="599">DB112*DB$168</f>
        <v>1.1451400184069202E-19</v>
      </c>
      <c r="DC279" s="189">
        <f>$C279+SUM($D279:DB279,DD279:$FB279)-SUM(DC$176:DC278,DC280:DC$330)-DC$331</f>
        <v>8.762435221854048E-14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2">
      <c r="B280" s="207" t="s">
        <v>4012</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21.319222060458141</v>
      </c>
      <c r="DA280" s="190">
        <f t="shared" si="593"/>
        <v>0</v>
      </c>
      <c r="DB280" s="190">
        <f t="shared" si="599"/>
        <v>3.09562628086009E-19</v>
      </c>
      <c r="DC280" s="190">
        <f t="shared" ref="DC280:DC311" si="605">DC113*DC$168</f>
        <v>0</v>
      </c>
      <c r="DD280" s="189">
        <f>$C280+SUM($D280:DC280,DE280:$FB280)-SUM(DD$176:DD279,DD281:DD$330)-DD$331</f>
        <v>4.6065581904564112E-15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2">
      <c r="B281" s="207" t="s">
        <v>4013</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0.25280085943096875</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2.1250362580715887E-17</v>
      </c>
      <c r="DF281" s="184">
        <f t="shared" ref="DF281:EK281" si="612">DF114*DF$168</f>
        <v>6.4184819984619174E-16</v>
      </c>
      <c r="DG281" s="184">
        <f t="shared" si="612"/>
        <v>3.3820157893874634E-7</v>
      </c>
      <c r="DH281" s="184">
        <f t="shared" si="612"/>
        <v>1.323641572237678E-6</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2">
      <c r="B282" s="207" t="s">
        <v>4014</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6.3780311820176711E-4</v>
      </c>
      <c r="CN282" s="190">
        <f t="shared" si="522"/>
        <v>0</v>
      </c>
      <c r="CO282" s="190">
        <f t="shared" si="527"/>
        <v>0</v>
      </c>
      <c r="CP282" s="190">
        <f t="shared" si="532"/>
        <v>1.849752463724009E-4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-6.7570130495405051E-20</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2">
      <c r="B283" s="207" t="s">
        <v>4015</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0.2930141468030022</v>
      </c>
      <c r="CO283" s="190">
        <f t="shared" si="527"/>
        <v>0</v>
      </c>
      <c r="CP283" s="190">
        <f t="shared" si="532"/>
        <v>0</v>
      </c>
      <c r="CQ283" s="190">
        <f t="shared" si="537"/>
        <v>0.18660029728652958</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6.3968999416961114E-4</v>
      </c>
      <c r="DG283" s="189">
        <f>$C283+SUM($D283:DF283,DH283:$FB283)-SUM(DG$176:DG282,DG284:DG$330)-DG$331</f>
        <v>-1.5785983631388945E-16</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2">
      <c r="B284" s="207" t="s">
        <v>4016</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9.3440525912382565E-7</v>
      </c>
      <c r="CP284" s="190">
        <f t="shared" si="532"/>
        <v>0</v>
      </c>
      <c r="CQ284" s="190">
        <f t="shared" si="537"/>
        <v>0</v>
      </c>
      <c r="CR284" s="190">
        <f t="shared" si="542"/>
        <v>6.9136170848297556E-5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1.8308745896513555E-4</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2">
      <c r="B285" s="207" t="s">
        <v>4017</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2.4250752469035308E-2</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-7.4536781776010294E-18</v>
      </c>
      <c r="DJ285" s="184">
        <f t="shared" ref="DJ285:FB285" si="633">DJ118*DJ$168</f>
        <v>0</v>
      </c>
      <c r="DK285" s="184">
        <f t="shared" si="633"/>
        <v>0</v>
      </c>
      <c r="DL285" s="184">
        <f t="shared" si="633"/>
        <v>0</v>
      </c>
      <c r="DM285" s="184">
        <f t="shared" si="633"/>
        <v>0</v>
      </c>
      <c r="DN285" s="184">
        <f t="shared" si="633"/>
        <v>0</v>
      </c>
      <c r="DO285" s="184">
        <f t="shared" si="633"/>
        <v>0</v>
      </c>
      <c r="DP285" s="184">
        <f t="shared" si="633"/>
        <v>4.1079772873729054E-20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1.1643764946236066E-25</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2">
      <c r="B286" s="207" t="s">
        <v>4018</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1.4468378278936054E-4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5.3907360520080814E-21</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2">
      <c r="B287" s="207" t="s">
        <v>4019</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0.80967029873457574</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1.3072458907093114E-4</v>
      </c>
      <c r="DK287" s="189">
        <f>$C287+SUM($D287:DJ287,DL287:$FB287)-SUM(DK$176:DK286,DK288:DK$330)-DK$331</f>
        <v>1.0950441942103595E-16</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2">
      <c r="B288" s="207" t="s">
        <v>4020</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7.0888250340622584E-7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3.8967982063696704E-7</v>
      </c>
      <c r="DK288" s="190">
        <f t="shared" ref="DK288:DK330" si="647">DK121*DK$168</f>
        <v>0</v>
      </c>
      <c r="DL288" s="189">
        <f>$C288+SUM($D288:DK288,DM288:$FB288)-SUM(DL$176:DL287,DL289:DL$330)-DL$331</f>
        <v>-1.1613648111987186E-22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2">
      <c r="B289" s="207" t="s">
        <v>4021</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1.6389063694824346E-6</v>
      </c>
      <c r="DK289" s="190">
        <f t="shared" si="647"/>
        <v>0</v>
      </c>
      <c r="DL289" s="190">
        <f t="shared" ref="DL289:DL330" si="652">DL122*DL$168</f>
        <v>0</v>
      </c>
      <c r="DM289" s="189">
        <f>$C289+SUM($D289:DL289,DN289:$FB289)-SUM(DM$176:DM288,DM290:DM$330)-DM$331</f>
        <v>2.1175823681357508E-22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2">
      <c r="B290" s="207" t="s">
        <v>4022</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5.5843197860905233E-2</v>
      </c>
      <c r="DL290" s="190">
        <f t="shared" si="652"/>
        <v>0</v>
      </c>
      <c r="DM290" s="190">
        <f t="shared" ref="DM290:DM330" si="657">DM123*DM$168</f>
        <v>0</v>
      </c>
      <c r="DN290" s="189">
        <f>$C290+SUM($D290:DM290,DO290:$FB290)-SUM(DN$176:DN289,DN291:DN$330)-DN$331</f>
        <v>-1.3877787807814457E-17</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2">
      <c r="B291" s="207" t="s">
        <v>4023</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1.0324275881576241E-6</v>
      </c>
      <c r="DM291" s="190">
        <f t="shared" si="657"/>
        <v>0</v>
      </c>
      <c r="DN291" s="190">
        <f t="shared" ref="DN291:DN330" si="662">DN124*DN$168</f>
        <v>0</v>
      </c>
      <c r="DO291" s="189">
        <f>$C291+SUM($D291:DN291,DP291:$FB291)-SUM(DO$176:DO290,DO292:DO$330)-DO$331</f>
        <v>4.2351647362715017E-22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2">
      <c r="B292" s="207" t="s">
        <v>4024</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1210526.2638373182</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1.3393196853872332E-2</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1.1358924909983574E-9</v>
      </c>
      <c r="DQ292" s="184">
        <f t="shared" ref="DQ292:FB292" si="668">DQ125*DQ$168</f>
        <v>1.4153795172701386E-16</v>
      </c>
      <c r="DR292" s="184">
        <f t="shared" si="668"/>
        <v>7.9016066687064193E-2</v>
      </c>
      <c r="DS292" s="184">
        <f t="shared" si="668"/>
        <v>1.3718880358957609E-6</v>
      </c>
      <c r="DT292" s="184">
        <f t="shared" si="668"/>
        <v>5541119.917230688</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8.8700421135155284E-3</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2">
      <c r="B293" s="207" t="s">
        <v>4025</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6.7242940227785223E-9</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6.8300464183396571E-6</v>
      </c>
      <c r="DK293" s="190">
        <f t="shared" si="647"/>
        <v>0</v>
      </c>
      <c r="DL293" s="190">
        <f t="shared" si="652"/>
        <v>0</v>
      </c>
      <c r="DM293" s="190">
        <f t="shared" si="657"/>
        <v>9.8334382168946069E-7</v>
      </c>
      <c r="DN293" s="190">
        <f t="shared" si="662"/>
        <v>0</v>
      </c>
      <c r="DO293" s="190">
        <f t="shared" si="667"/>
        <v>0</v>
      </c>
      <c r="DP293" s="190">
        <f t="shared" ref="DP293:DP330" si="672">DP126*DP$168</f>
        <v>0</v>
      </c>
      <c r="DQ293" s="189">
        <f>$C293+SUM($D293:DP293,DR293:$FB293)-SUM(DQ$176:DQ292,DQ294:DQ$330)-DQ$331</f>
        <v>-1.6940658945086007E-21</v>
      </c>
      <c r="DR293" s="184">
        <f t="shared" ref="DR293:FB293" si="673">DR126*DR$168</f>
        <v>0</v>
      </c>
      <c r="DS293" s="184">
        <f t="shared" si="673"/>
        <v>0</v>
      </c>
      <c r="DT293" s="184">
        <f t="shared" si="673"/>
        <v>0</v>
      </c>
      <c r="DU293" s="184">
        <f t="shared" si="673"/>
        <v>6.1913046706910976E-16</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1.658130956492657E-12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2">
      <c r="B294" s="207" t="s">
        <v>4026</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38217.242383336823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0.34606319847493072</v>
      </c>
      <c r="DL294" s="190">
        <f t="shared" si="652"/>
        <v>0</v>
      </c>
      <c r="DM294" s="190">
        <f t="shared" si="657"/>
        <v>0</v>
      </c>
      <c r="DN294" s="190">
        <f t="shared" si="662"/>
        <v>3.3505918716543147E-2</v>
      </c>
      <c r="DO294" s="190">
        <f t="shared" si="667"/>
        <v>0</v>
      </c>
      <c r="DP294" s="190">
        <f t="shared" si="672"/>
        <v>0</v>
      </c>
      <c r="DQ294" s="190">
        <f t="shared" ref="DQ294:DQ330" si="677">DQ127*DQ$168</f>
        <v>7.7533943573150123E-6</v>
      </c>
      <c r="DR294" s="189">
        <f>$C294+SUM($D294:DQ294,DS294:$FB294)-SUM(DR$176:DR293,DR295:DR$330)-DR$331</f>
        <v>0</v>
      </c>
      <c r="DS294" s="184">
        <f t="shared" ref="DS294:FB294" si="678">DS127*DS$168</f>
        <v>0</v>
      </c>
      <c r="DT294" s="184">
        <f t="shared" si="678"/>
        <v>0</v>
      </c>
      <c r="DU294" s="184">
        <f t="shared" si="678"/>
        <v>0</v>
      </c>
      <c r="DV294" s="184">
        <f t="shared" si="678"/>
        <v>174929.63817916432</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7.5041774149708612E-2</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2">
      <c r="B295" s="207" t="s">
        <v>4027</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1.3870770673091413</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2.3442225255167529E-8</v>
      </c>
      <c r="DM295" s="190">
        <f t="shared" si="657"/>
        <v>0</v>
      </c>
      <c r="DN295" s="190">
        <f t="shared" si="662"/>
        <v>0</v>
      </c>
      <c r="DO295" s="190">
        <f t="shared" si="667"/>
        <v>6.1945655289457416E-7</v>
      </c>
      <c r="DP295" s="190">
        <f t="shared" si="672"/>
        <v>0</v>
      </c>
      <c r="DQ295" s="190">
        <f t="shared" si="677"/>
        <v>6.6340726013628016E-8</v>
      </c>
      <c r="DR295" s="190">
        <f t="shared" ref="DR295:DR330" si="682">DR128*DR$168</f>
        <v>0</v>
      </c>
      <c r="DS295" s="189">
        <f>$C295+SUM($D295:DR295,DT295:$FB295)-SUM(DS$176:DS294,DS296:DS$330)-DS$331</f>
        <v>0</v>
      </c>
      <c r="DT295" s="184">
        <f t="shared" ref="DT295:FB295" si="683">DT128*DT$168</f>
        <v>0</v>
      </c>
      <c r="DU295" s="184">
        <f t="shared" si="683"/>
        <v>0</v>
      </c>
      <c r="DV295" s="184">
        <f t="shared" si="683"/>
        <v>0</v>
      </c>
      <c r="DW295" s="184">
        <f t="shared" si="683"/>
        <v>6.3416652178486004</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1.3641167644813398E-6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2">
      <c r="B296" s="207" t="s">
        <v>4028</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6751646.2823486598</v>
      </c>
      <c r="DQ296" s="190">
        <f t="shared" si="677"/>
        <v>0</v>
      </c>
      <c r="DR296" s="190">
        <f t="shared" si="682"/>
        <v>0</v>
      </c>
      <c r="DS296" s="190">
        <f t="shared" ref="DS296:DS330" si="687">DS129*DS$168</f>
        <v>0</v>
      </c>
      <c r="DT296" s="189">
        <f>$C296+SUM($D296:DS296,DU296:$FB296)-SUM(DT$176:DT295,DT297:DT$330)-DT$331</f>
        <v>-2.3287692929039168E-9</v>
      </c>
      <c r="DU296" s="184">
        <f t="shared" ref="DU296:FB296" si="688">DU129*DU$168</f>
        <v>6.8981016437630043E-21</v>
      </c>
      <c r="DV296" s="184">
        <f t="shared" si="688"/>
        <v>1.94899538764237</v>
      </c>
      <c r="DW296" s="184">
        <f t="shared" si="688"/>
        <v>7.0656272934720678E-5</v>
      </c>
      <c r="DX296" s="184">
        <f t="shared" si="688"/>
        <v>9939.9038273982042</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2">
      <c r="B297" s="207" t="s">
        <v>4029</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3.8110933180754634E-10</v>
      </c>
      <c r="DR297" s="190">
        <f t="shared" si="682"/>
        <v>0</v>
      </c>
      <c r="DS297" s="190">
        <f t="shared" si="687"/>
        <v>0</v>
      </c>
      <c r="DT297" s="190">
        <f t="shared" ref="DT297:DT330" si="692">DT130*DT$168</f>
        <v>0</v>
      </c>
      <c r="DU297" s="189">
        <f>$C297+SUM($D297:DT297,DV297:$FB297)-SUM(DU$176:DU296,DU298:DU$330)-DU$331</f>
        <v>-5.169878828456423E-26</v>
      </c>
      <c r="DV297" s="184">
        <f t="shared" ref="DV297:FB297" si="693">DV130*DV$168</f>
        <v>0</v>
      </c>
      <c r="DW297" s="184">
        <f t="shared" si="693"/>
        <v>0</v>
      </c>
      <c r="DX297" s="184">
        <f t="shared" si="693"/>
        <v>0</v>
      </c>
      <c r="DY297" s="184">
        <f t="shared" si="693"/>
        <v>1.8062299805113706E-27</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2">
      <c r="B298" s="207" t="s">
        <v>4030</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213147.25616507919</v>
      </c>
      <c r="DS298" s="190">
        <f t="shared" si="687"/>
        <v>0</v>
      </c>
      <c r="DT298" s="190">
        <f t="shared" si="692"/>
        <v>0</v>
      </c>
      <c r="DU298" s="190">
        <f t="shared" ref="DU298:DU330" si="697">DU131*DU$168</f>
        <v>3.7787534515189408E-10</v>
      </c>
      <c r="DV298" s="189">
        <f>$C298+SUM($D298:DU298,DW298:$FB298)-SUM(DV$176:DV297,DV299:DV$330)-DV$331</f>
        <v>0</v>
      </c>
      <c r="DW298" s="184">
        <f t="shared" ref="DW298:FB298" si="698">DW131*DW$168</f>
        <v>0</v>
      </c>
      <c r="DX298" s="184">
        <f t="shared" si="698"/>
        <v>0</v>
      </c>
      <c r="DY298" s="184">
        <f t="shared" si="698"/>
        <v>0</v>
      </c>
      <c r="DZ298" s="184">
        <f t="shared" si="698"/>
        <v>318.62172575475728</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2">
      <c r="B299" s="207" t="s">
        <v>4031</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7.7287429866259743</v>
      </c>
      <c r="DT299" s="190">
        <f t="shared" si="692"/>
        <v>0</v>
      </c>
      <c r="DU299" s="190">
        <f t="shared" si="697"/>
        <v>3.2332322573500717E-12</v>
      </c>
      <c r="DV299" s="190">
        <f t="shared" ref="DV299:DV330" si="702">DV132*DV$168</f>
        <v>0</v>
      </c>
      <c r="DW299" s="189">
        <f>$C299+SUM($D299:DV299,DX299:$FB299)-SUM(DW$176:DW298,DW300:DW$330)-DW$331</f>
        <v>0</v>
      </c>
      <c r="DX299" s="184">
        <f t="shared" ref="DX299:FB299" si="703">DX132*DX$168</f>
        <v>0</v>
      </c>
      <c r="DY299" s="184">
        <f t="shared" si="703"/>
        <v>0</v>
      </c>
      <c r="DZ299" s="184">
        <f t="shared" si="703"/>
        <v>0</v>
      </c>
      <c r="EA299" s="184">
        <f t="shared" si="703"/>
        <v>6.9251787402144709</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2">
      <c r="B300" s="207" t="s">
        <v>4032</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9940.3655522353729</v>
      </c>
      <c r="DU300" s="190">
        <f t="shared" si="697"/>
        <v>0</v>
      </c>
      <c r="DV300" s="190">
        <f t="shared" si="702"/>
        <v>0</v>
      </c>
      <c r="DW300" s="190">
        <f t="shared" ref="DW300:DW330" si="707">DW133*DW$168</f>
        <v>0</v>
      </c>
      <c r="DX300" s="189">
        <f>$C300+SUM($D300:DW300,DY300:$FB300)-SUM(DX$176:DX299,DX301:DX$330)-DX$331</f>
        <v>1.2722045639179669E-12</v>
      </c>
      <c r="DY300" s="184">
        <f t="shared" ref="DY300:FB300" si="708">DY133*DY$168</f>
        <v>1.8731097884053461E-32</v>
      </c>
      <c r="DZ300" s="184">
        <f t="shared" si="708"/>
        <v>3.304194259586328E-3</v>
      </c>
      <c r="EA300" s="184">
        <f t="shared" si="708"/>
        <v>7.1815993670306983E-5</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2">
      <c r="B301" s="207" t="s">
        <v>4033</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4.0421131601430169E-21</v>
      </c>
      <c r="DV301" s="190">
        <f t="shared" si="702"/>
        <v>0</v>
      </c>
      <c r="DW301" s="190">
        <f t="shared" si="707"/>
        <v>0</v>
      </c>
      <c r="DX301" s="190">
        <f t="shared" ref="DX301:DX330" si="712">DX134*DX$168</f>
        <v>0</v>
      </c>
      <c r="DY301" s="189">
        <f>$C301+SUM($D301:DX301,DZ301:$FB301)-SUM(DY$176:DY300,DY302:DY$330)-DY$331</f>
        <v>6.4182792801594191E-37</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2">
      <c r="B302" s="207" t="s">
        <v>4034</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318.69488015744707</v>
      </c>
      <c r="DW302" s="190">
        <f t="shared" si="707"/>
        <v>0</v>
      </c>
      <c r="DX302" s="190">
        <f t="shared" si="712"/>
        <v>0</v>
      </c>
      <c r="DY302" s="190">
        <f t="shared" ref="DY302:DY330" si="717">DY135*DY$168</f>
        <v>1.0254244494567246E-21</v>
      </c>
      <c r="DZ302" s="189">
        <f>$C302+SUM($D302:DY302,EA302:$FB302)-SUM(DZ$176:DZ301,DZ303:DZ$330)-DZ$331</f>
        <v>-1.0473566458557571E-13</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2">
      <c r="B303" s="207" t="s">
        <v>4035</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6.9267687363550703</v>
      </c>
      <c r="DX303" s="190">
        <f t="shared" si="712"/>
        <v>0</v>
      </c>
      <c r="DY303" s="190">
        <f t="shared" si="717"/>
        <v>3.0166869040416073E-21</v>
      </c>
      <c r="DZ303" s="190">
        <f t="shared" ref="DZ303:DZ330" si="722">DZ136*DZ$168</f>
        <v>0</v>
      </c>
      <c r="EA303" s="189">
        <f>$C303+SUM($D303:DZ303,EB303:$FB303)-SUM(EA$176:EA302,EA304:EA$330)-EA$331</f>
        <v>7.7260246811317046E-16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2">
      <c r="B304" s="207" t="s">
        <v>4036</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8.9287979025789808E-3</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6.6407383064737147E-19</v>
      </c>
      <c r="EC304" s="184">
        <f t="shared" ref="EC304:FB304" si="728">EC137*EC$168</f>
        <v>3.2907303665773465E-18</v>
      </c>
      <c r="ED304" s="184">
        <f t="shared" si="728"/>
        <v>1.4892807108470302E-7</v>
      </c>
      <c r="EE304" s="184">
        <f t="shared" si="728"/>
        <v>7.1697977141139229E-9</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2">
      <c r="B305" s="207" t="s">
        <v>4037</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3.313635816722239E-6</v>
      </c>
      <c r="DK305" s="190">
        <f t="shared" si="647"/>
        <v>0</v>
      </c>
      <c r="DL305" s="190">
        <f t="shared" si="652"/>
        <v>0</v>
      </c>
      <c r="DM305" s="190">
        <f t="shared" si="657"/>
        <v>6.5556254779297372E-7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-5.5496130706153692E-22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2">
      <c r="B306" s="207" t="s">
        <v>4038</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5.3207054002192146E-2</v>
      </c>
      <c r="DL306" s="190">
        <f t="shared" si="652"/>
        <v>0</v>
      </c>
      <c r="DM306" s="190">
        <f t="shared" si="657"/>
        <v>0</v>
      </c>
      <c r="DN306" s="190">
        <f t="shared" si="662"/>
        <v>2.2337279144362097E-2</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3.0265093184504931E-6</v>
      </c>
      <c r="ED306" s="189">
        <f>$C306+SUM($D306:EC306,EE306:$FB306)-SUM(ED$176:ED305,ED307:ED$330)-ED$331</f>
        <v>-1.463672932855431E-17</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2">
      <c r="B307" s="207" t="s">
        <v>4039</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1.5628150170111689E-8</v>
      </c>
      <c r="DM307" s="190">
        <f t="shared" si="657"/>
        <v>0</v>
      </c>
      <c r="DN307" s="190">
        <f t="shared" si="662"/>
        <v>0</v>
      </c>
      <c r="DO307" s="190">
        <f t="shared" si="667"/>
        <v>4.1297103526304944E-7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9.4268737676229264E-7</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2">
      <c r="B308" s="207" t="s">
        <v>4040</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4.2003535398145553E-2</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4.8323229640857834E-18</v>
      </c>
      <c r="EG308" s="190">
        <f t="shared" ref="EG308:FB308" si="752">EG141*EG$168</f>
        <v>0</v>
      </c>
      <c r="EH308" s="190">
        <f t="shared" si="752"/>
        <v>0</v>
      </c>
      <c r="EI308" s="190">
        <f t="shared" si="752"/>
        <v>0</v>
      </c>
      <c r="EJ308" s="190">
        <f t="shared" si="752"/>
        <v>0</v>
      </c>
      <c r="EK308" s="190">
        <f t="shared" si="752"/>
        <v>0</v>
      </c>
      <c r="EL308" s="190">
        <f t="shared" si="752"/>
        <v>0</v>
      </c>
      <c r="EM308" s="190">
        <f t="shared" si="752"/>
        <v>4.6844139474277525E-11</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1.2087956679329766E-17</v>
      </c>
      <c r="EZ308" s="190">
        <f t="shared" si="752"/>
        <v>0</v>
      </c>
      <c r="FA308" s="190">
        <f t="shared" si="752"/>
        <v>0</v>
      </c>
      <c r="FB308" s="191">
        <f t="shared" si="752"/>
        <v>0</v>
      </c>
    </row>
    <row r="309" spans="2:158" ht="12.75" customHeight="1" x14ac:dyDescent="0.2">
      <c r="B309" s="207" t="s">
        <v>4041</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2.5059966282243193E-4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-2.84066230059898E-20</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2">
      <c r="B310" s="207" t="s">
        <v>4042</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1.4023900947877561</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2.2512270619957738E-4</v>
      </c>
      <c r="EH310" s="189">
        <f>$C310+SUM($D310:EG310,EI310:$FB310)-SUM(EH$176:EH309,EH311:EH$330)-EH$331</f>
        <v>-9.1940344226770776E-17</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2">
      <c r="B311" s="207" t="s">
        <v>4043</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1.227820512496201E-6</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7.1659677783488036E-7</v>
      </c>
      <c r="EH311" s="190">
        <f t="shared" ref="EH311:EH330" si="769">EH144*EH$168</f>
        <v>0</v>
      </c>
      <c r="EI311" s="189">
        <f>$C311+SUM($D311:EH311,EJ311:$FB311)-SUM(EI$176:EI310,EI312:EI$330)-EI$331</f>
        <v>-1.6875615407075489E-23</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2">
      <c r="B312" s="207" t="s">
        <v>4044</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5.2979270014008513E-6</v>
      </c>
      <c r="EH312" s="190">
        <f t="shared" si="769"/>
        <v>0</v>
      </c>
      <c r="EI312" s="190">
        <f t="shared" ref="EI312:EI330" si="775">EI145*EI$168</f>
        <v>0</v>
      </c>
      <c r="EJ312" s="189">
        <f>$C312+SUM($D312:EI312,EK312:$FB312)-SUM(EJ$176:EJ311,EJ313:EJ$330)-EJ$331</f>
        <v>0</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2">
      <c r="B313" s="207" t="s">
        <v>4045</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0.21034356465134463</v>
      </c>
      <c r="EI313" s="190">
        <f t="shared" si="775"/>
        <v>0</v>
      </c>
      <c r="EJ313" s="190">
        <f t="shared" ref="EJ313:EJ330" si="781">EJ146*EJ$168</f>
        <v>0</v>
      </c>
      <c r="EK313" s="189">
        <f>$C313+SUM($D313:EJ313,EL313:$FB313)-SUM(EK$176:EK312,EK314:EK$330)-EK$331</f>
        <v>0</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2">
      <c r="B314" s="207" t="s">
        <v>4046</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1.9248050444544165E-6</v>
      </c>
      <c r="EJ314" s="190">
        <f t="shared" si="781"/>
        <v>0</v>
      </c>
      <c r="EK314" s="190">
        <f t="shared" ref="EK314:EK330" si="787">EK147*EK$168</f>
        <v>0</v>
      </c>
      <c r="EL314" s="189">
        <f>$C314+SUM($D314:EK314,EM314:$FB314)-SUM(EL$176:EL313,EL315:EL$330)-EL$331</f>
        <v>-4.2351647362715017E-22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2">
      <c r="B315" s="207" t="s">
        <v>4047</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2.8016318043323413E-2</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-7.6766778082724444E-10</v>
      </c>
      <c r="EN315" s="190">
        <f t="shared" ref="EN315:FB315" si="793">EN148*EN$168</f>
        <v>2.7373771634921213E-16</v>
      </c>
      <c r="EO315" s="190">
        <f t="shared" si="793"/>
        <v>0.22773645327360967</v>
      </c>
      <c r="EP315" s="190">
        <f t="shared" si="793"/>
        <v>1.6575906723285599E-5</v>
      </c>
      <c r="EQ315" s="190">
        <f t="shared" si="793"/>
        <v>17578197.028918657</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1.1926916764694453E-2</v>
      </c>
      <c r="EZ315" s="190">
        <f t="shared" si="793"/>
        <v>0</v>
      </c>
      <c r="FA315" s="190">
        <f t="shared" si="793"/>
        <v>0</v>
      </c>
      <c r="FB315" s="191">
        <f t="shared" si="793"/>
        <v>0</v>
      </c>
    </row>
    <row r="316" spans="2:158" ht="12.75" customHeight="1" x14ac:dyDescent="0.2">
      <c r="B316" s="207" t="s">
        <v>4048</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1.3419218207773E-5</v>
      </c>
      <c r="EH316" s="190">
        <f t="shared" si="769"/>
        <v>0</v>
      </c>
      <c r="EI316" s="190">
        <f t="shared" si="775"/>
        <v>0</v>
      </c>
      <c r="EJ316" s="190">
        <f t="shared" si="781"/>
        <v>3.7085489009805957E-6</v>
      </c>
      <c r="EK316" s="190">
        <f t="shared" si="787"/>
        <v>0</v>
      </c>
      <c r="EL316" s="190">
        <f t="shared" si="792"/>
        <v>0</v>
      </c>
      <c r="EM316" s="190">
        <f t="shared" ref="EM316:EM330" si="797">EM149*EM$168</f>
        <v>0</v>
      </c>
      <c r="EN316" s="189">
        <f>$C316+SUM($D316:EM316,EO316:$FB316)-SUM(EN$176:EN315,EN317:EN$330)-EN$331</f>
        <v>-3.3881317890172014E-21</v>
      </c>
      <c r="EO316" s="190">
        <f t="shared" ref="EO316:FB316" si="798">EO149*EO$168</f>
        <v>0</v>
      </c>
      <c r="EP316" s="190">
        <f t="shared" si="798"/>
        <v>0</v>
      </c>
      <c r="EQ316" s="190">
        <f t="shared" si="798"/>
        <v>0</v>
      </c>
      <c r="ER316" s="190">
        <f t="shared" si="798"/>
        <v>7.5311235403175961E-16</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1.1722068218128263E-11</v>
      </c>
      <c r="FA316" s="190">
        <f t="shared" si="798"/>
        <v>0</v>
      </c>
      <c r="FB316" s="191">
        <f t="shared" si="798"/>
        <v>0</v>
      </c>
    </row>
    <row r="317" spans="2:158" ht="12.75" customHeight="1" x14ac:dyDescent="0.2">
      <c r="B317" s="207" t="s">
        <v>4049</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0.75283586997516394</v>
      </c>
      <c r="EI317" s="190">
        <f t="shared" si="775"/>
        <v>0</v>
      </c>
      <c r="EJ317" s="190">
        <f t="shared" si="781"/>
        <v>0</v>
      </c>
      <c r="EK317" s="190">
        <f t="shared" si="787"/>
        <v>0.14724049525594124</v>
      </c>
      <c r="EL317" s="190">
        <f t="shared" si="792"/>
        <v>0</v>
      </c>
      <c r="EM317" s="190">
        <f t="shared" si="797"/>
        <v>0</v>
      </c>
      <c r="EN317" s="190">
        <f t="shared" ref="EN317:EN330" si="802">EN150*EN$168</f>
        <v>1.6989437053099911E-5</v>
      </c>
      <c r="EO317" s="189">
        <f>$C317+SUM($D317:EN317,EP317:$FB317)-SUM(EO$176:EO316,EO318:EO$330)-EO$331</f>
        <v>0</v>
      </c>
      <c r="EP317" s="190">
        <f t="shared" ref="EP317:FB317" si="803">EP150*EP$168</f>
        <v>0</v>
      </c>
      <c r="EQ317" s="190">
        <f t="shared" si="803"/>
        <v>0</v>
      </c>
      <c r="ER317" s="190">
        <f t="shared" si="803"/>
        <v>0</v>
      </c>
      <c r="ES317" s="190">
        <f t="shared" si="803"/>
        <v>556909.80181999248</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0.13921049678747904</v>
      </c>
      <c r="FB317" s="191">
        <f t="shared" si="803"/>
        <v>0</v>
      </c>
    </row>
    <row r="318" spans="2:158" ht="12.75" customHeight="1" x14ac:dyDescent="0.2">
      <c r="B318" s="207" t="s">
        <v>4050</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9.8054928610340433E-9</v>
      </c>
      <c r="EJ318" s="190">
        <f t="shared" si="781"/>
        <v>0</v>
      </c>
      <c r="EK318" s="190">
        <f t="shared" si="787"/>
        <v>0</v>
      </c>
      <c r="EL318" s="190">
        <f t="shared" si="792"/>
        <v>1.3473635311180916E-6</v>
      </c>
      <c r="EM318" s="190">
        <f t="shared" si="797"/>
        <v>0</v>
      </c>
      <c r="EN318" s="190">
        <f t="shared" si="802"/>
        <v>1.3767371332852587E-7</v>
      </c>
      <c r="EO318" s="190">
        <f t="shared" ref="EO318:EO330" si="807">EO151*EO$168</f>
        <v>0</v>
      </c>
      <c r="EP318" s="189">
        <f>$C318+SUM($D318:EO318,EQ318:$FB318)-SUM(EP$176:EP317,EP319:EP$330)-EP$331</f>
        <v>0</v>
      </c>
      <c r="EQ318" s="190">
        <f t="shared" ref="EQ318:FB318" si="808">EQ151*EQ$168</f>
        <v>0</v>
      </c>
      <c r="ER318" s="190">
        <f t="shared" si="808"/>
        <v>0</v>
      </c>
      <c r="ES318" s="190">
        <f t="shared" si="808"/>
        <v>0</v>
      </c>
      <c r="ET318" s="190">
        <f t="shared" si="808"/>
        <v>89.2041420628249</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1.8454660242311417E-6</v>
      </c>
    </row>
    <row r="319" spans="2:158" ht="12.75" customHeight="1" x14ac:dyDescent="0.2">
      <c r="B319" s="207" t="s">
        <v>4051</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1210526.7429355257</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16367664.667295456</v>
      </c>
      <c r="EN319" s="190">
        <f t="shared" si="802"/>
        <v>0</v>
      </c>
      <c r="EO319" s="190">
        <f t="shared" si="807"/>
        <v>0</v>
      </c>
      <c r="EP319" s="190">
        <f t="shared" ref="EP319:EP330" si="812">EP152*EP$168</f>
        <v>0</v>
      </c>
      <c r="EQ319" s="189">
        <f>$C319+SUM($D319:EP319,ER319:$FB319)-SUM(EQ$176:EQ318,EQ320:EQ$330)-EQ$331</f>
        <v>-3.2059103476204953E-9</v>
      </c>
      <c r="ER319" s="190">
        <f t="shared" ref="ER319:FB319" si="813">ER152*ER$168</f>
        <v>9.9423208349166966E-21</v>
      </c>
      <c r="ES319" s="190">
        <f t="shared" si="813"/>
        <v>7.3521246812142174</v>
      </c>
      <c r="ET319" s="190">
        <f t="shared" si="813"/>
        <v>1.1776412847885527E-3</v>
      </c>
      <c r="EU319" s="190">
        <f t="shared" si="813"/>
        <v>37362.812550485418</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2">
      <c r="B320" s="207" t="s">
        <v>4052</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9.3296479164289987E-15</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6.2205853387340473E-10</v>
      </c>
      <c r="EO320" s="190">
        <f t="shared" si="807"/>
        <v>0</v>
      </c>
      <c r="EP320" s="190">
        <f t="shared" si="812"/>
        <v>0</v>
      </c>
      <c r="EQ320" s="190">
        <f t="shared" ref="EQ320:EQ330" si="817">EQ153*EQ$168</f>
        <v>0</v>
      </c>
      <c r="ER320" s="189">
        <f>$C320+SUM($D320:EQ320,ES320:$FB320)-SUM(ER$176:ER319,ER321:ER$330)-ER$331</f>
        <v>1.0339757656912846E-25</v>
      </c>
      <c r="ES320" s="190">
        <f t="shared" ref="ES320:FB320" si="818">ES153*ES$168</f>
        <v>0</v>
      </c>
      <c r="ET320" s="190">
        <f t="shared" si="818"/>
        <v>0</v>
      </c>
      <c r="EU320" s="190">
        <f t="shared" si="818"/>
        <v>0</v>
      </c>
      <c r="EV320" s="190">
        <f t="shared" si="818"/>
        <v>2.5303830632673519E-27</v>
      </c>
      <c r="EW320" s="190">
        <f t="shared" si="818"/>
        <v>0</v>
      </c>
      <c r="EX320" s="190">
        <f t="shared" si="818"/>
        <v>0</v>
      </c>
      <c r="EY320" s="190">
        <f t="shared" si="818"/>
        <v>0</v>
      </c>
      <c r="EZ320" s="190">
        <f t="shared" si="818"/>
        <v>0</v>
      </c>
      <c r="FA320" s="190">
        <f t="shared" si="818"/>
        <v>0</v>
      </c>
      <c r="FB320" s="191">
        <f t="shared" si="818"/>
        <v>0</v>
      </c>
    </row>
    <row r="321" spans="2:158" ht="12.75" customHeight="1" x14ac:dyDescent="0.2">
      <c r="B321" s="207" t="s">
        <v>4053</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38281.745296207147</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518635.57922375877</v>
      </c>
      <c r="EP321" s="190">
        <f t="shared" si="812"/>
        <v>0</v>
      </c>
      <c r="EQ321" s="190">
        <f t="shared" si="817"/>
        <v>0</v>
      </c>
      <c r="ER321" s="190">
        <f t="shared" ref="ER321:ER330" si="822">ER154*ER$168</f>
        <v>6.1706671714559698E-10</v>
      </c>
      <c r="ES321" s="189">
        <f>$C321+SUM($D321:ER321,ET321:$FB321)-SUM(ES$176:ES320,ES322:ES$330)-ES$331</f>
        <v>-1.1641532182693481E-10</v>
      </c>
      <c r="ET321" s="190">
        <f t="shared" ref="ET321:FB321" si="823">ET154*ET$168</f>
        <v>0</v>
      </c>
      <c r="EU321" s="190">
        <f t="shared" si="823"/>
        <v>0</v>
      </c>
      <c r="EV321" s="190">
        <f t="shared" si="823"/>
        <v>0</v>
      </c>
      <c r="EW321" s="190">
        <f t="shared" si="823"/>
        <v>1202.0305735854397</v>
      </c>
      <c r="EX321" s="190">
        <f t="shared" si="823"/>
        <v>0</v>
      </c>
      <c r="EY321" s="190">
        <f t="shared" si="823"/>
        <v>0</v>
      </c>
      <c r="EZ321" s="190">
        <f t="shared" si="823"/>
        <v>0</v>
      </c>
      <c r="FA321" s="190">
        <f t="shared" si="823"/>
        <v>0</v>
      </c>
      <c r="FB321" s="191">
        <f t="shared" si="823"/>
        <v>0</v>
      </c>
    </row>
    <row r="322" spans="2:158" ht="12.75" customHeight="1" x14ac:dyDescent="0.2">
      <c r="B322" s="207" t="s">
        <v>4054</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2.8034382347986502</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86.418262151044487</v>
      </c>
      <c r="EQ322" s="190">
        <f t="shared" si="817"/>
        <v>0</v>
      </c>
      <c r="ER322" s="190">
        <f t="shared" si="822"/>
        <v>5.0003932476018504E-12</v>
      </c>
      <c r="ES322" s="190">
        <f t="shared" ref="ES322:ES330" si="827">ES155*ES$168</f>
        <v>0</v>
      </c>
      <c r="ET322" s="189">
        <f>$C322+SUM($D322:ES322,EU322:$FB322)-SUM(ET$176:ET321,ET323:ET$330)-ET$331</f>
        <v>5.6843418860808015E-14</v>
      </c>
      <c r="EU322" s="190">
        <f t="shared" ref="EU322:FB322" si="828">EU155*EU$168</f>
        <v>0</v>
      </c>
      <c r="EV322" s="190">
        <f t="shared" si="828"/>
        <v>0</v>
      </c>
      <c r="EW322" s="190">
        <f t="shared" si="828"/>
        <v>0</v>
      </c>
      <c r="EX322" s="190">
        <f t="shared" si="828"/>
        <v>115.43336631596763</v>
      </c>
      <c r="EY322" s="190">
        <f t="shared" si="828"/>
        <v>0</v>
      </c>
      <c r="EZ322" s="190">
        <f t="shared" si="828"/>
        <v>0</v>
      </c>
      <c r="FA322" s="190">
        <f t="shared" si="828"/>
        <v>0</v>
      </c>
      <c r="FB322" s="191">
        <f t="shared" si="828"/>
        <v>0</v>
      </c>
    </row>
    <row r="323" spans="2:158" ht="12.75" customHeight="1" x14ac:dyDescent="0.2">
      <c r="B323" s="207" t="s">
        <v>4055</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37364.547141947136</v>
      </c>
      <c r="ER323" s="190">
        <f t="shared" si="822"/>
        <v>0</v>
      </c>
      <c r="ES323" s="190">
        <f t="shared" si="827"/>
        <v>0</v>
      </c>
      <c r="ET323" s="190">
        <f t="shared" ref="ET323:ET330" si="832">ET156*ET$168</f>
        <v>0</v>
      </c>
      <c r="EU323" s="189">
        <f>$C323+SUM($D323:ET323,EV323:$FB323)-SUM(EU$176:EU322,EU324:EU$330)-EU$331</f>
        <v>-6.1715077492863202E-12</v>
      </c>
      <c r="EV323" s="190">
        <f t="shared" ref="EV323:FB323" si="833">EV156*EV$168</f>
        <v>2.6240763000065505E-32</v>
      </c>
      <c r="EW323" s="190">
        <f t="shared" si="833"/>
        <v>1.2465385126139567E-2</v>
      </c>
      <c r="EX323" s="190">
        <f t="shared" si="833"/>
        <v>1.1970755146794986E-3</v>
      </c>
      <c r="EY323" s="190">
        <f t="shared" si="833"/>
        <v>0</v>
      </c>
      <c r="EZ323" s="190">
        <f t="shared" si="833"/>
        <v>0</v>
      </c>
      <c r="FA323" s="190">
        <f t="shared" si="833"/>
        <v>0</v>
      </c>
      <c r="FB323" s="191">
        <f t="shared" si="833"/>
        <v>0</v>
      </c>
    </row>
    <row r="324" spans="2:158" ht="12.75" customHeight="1" x14ac:dyDescent="0.2">
      <c r="B324" s="207" t="s">
        <v>4056</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5.8259486398721451E-21</v>
      </c>
      <c r="ES324" s="190">
        <f t="shared" si="827"/>
        <v>0</v>
      </c>
      <c r="ET324" s="190">
        <f t="shared" si="832"/>
        <v>0</v>
      </c>
      <c r="EU324" s="190">
        <f t="shared" ref="EU324:EU330" si="837">EU157*EU$168</f>
        <v>0</v>
      </c>
      <c r="EV324" s="189">
        <f>$C324+SUM($D324:EU324,EW324:$FB324)-SUM(EV$176:EV323,EV325:EV$330)-EV$331</f>
        <v>3.9876924812780493E-37</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2">
      <c r="B325" s="207" t="s">
        <v>4057</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1202.2011488783048</v>
      </c>
      <c r="ET325" s="190">
        <f t="shared" si="832"/>
        <v>0</v>
      </c>
      <c r="EU325" s="190">
        <f t="shared" si="837"/>
        <v>0</v>
      </c>
      <c r="EV325" s="190">
        <f t="shared" ref="EV325:EV330" si="842">EV158*EV$168</f>
        <v>1.6277023032097807E-21</v>
      </c>
      <c r="EW325" s="189">
        <f>$C325+SUM($D325:EV325,EX325:$FB325)-SUM(EW$176:EW324,EW326:EW$330)-EW$331</f>
        <v>-7.0360384185619296E-14</v>
      </c>
      <c r="EX325" s="190">
        <f>EX158*EX$168</f>
        <v>0</v>
      </c>
      <c r="EY325" s="190">
        <f>EY158*EY$168</f>
        <v>0</v>
      </c>
      <c r="EZ325" s="190">
        <f>EZ158*EZ$168</f>
        <v>0</v>
      </c>
      <c r="FA325" s="190">
        <f>FA158*FA$168</f>
        <v>0</v>
      </c>
      <c r="FB325" s="191">
        <f>FB158*FB$168</f>
        <v>0</v>
      </c>
    </row>
    <row r="326" spans="2:158" ht="12.75" customHeight="1" x14ac:dyDescent="0.2">
      <c r="B326" s="207" t="s">
        <v>4058</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115.44974699770604</v>
      </c>
      <c r="EU326" s="190">
        <f t="shared" si="837"/>
        <v>0</v>
      </c>
      <c r="EV326" s="190">
        <f t="shared" si="842"/>
        <v>4.1982438059202242E-21</v>
      </c>
      <c r="EW326" s="190">
        <f>EW159*EW$168</f>
        <v>0</v>
      </c>
      <c r="EX326" s="189">
        <f>$C326+SUM($D326:EW326,EY326:$FB326)-SUM(EX$176:EX325,EX327:EX$330)-EX$331</f>
        <v>-8.6198409521287545E-15</v>
      </c>
      <c r="EY326" s="190">
        <f>EY159*EY$168</f>
        <v>0</v>
      </c>
      <c r="EZ326" s="190">
        <f>EZ159*EZ$168</f>
        <v>0</v>
      </c>
      <c r="FA326" s="190">
        <f>FA159*FA$168</f>
        <v>0</v>
      </c>
      <c r="FB326" s="191">
        <f>FB159*FB$168</f>
        <v>0</v>
      </c>
    </row>
    <row r="327" spans="2:158" ht="12.75" customHeight="1" x14ac:dyDescent="0.2">
      <c r="B327" s="207" t="s">
        <v>4059</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1.2006993447125002E-2</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-6.1799523831673753E-18</v>
      </c>
      <c r="EZ327" s="190">
        <f>EZ160*EZ$168</f>
        <v>4.4751422160989283E-18</v>
      </c>
      <c r="FA327" s="190">
        <f>FA160*FA$168</f>
        <v>5.3146489126747977E-8</v>
      </c>
      <c r="FB327" s="191">
        <f>FB160*FB$168</f>
        <v>9.6997694233588825E-9</v>
      </c>
    </row>
    <row r="328" spans="2:158" ht="12.75" customHeight="1" x14ac:dyDescent="0.2">
      <c r="B328" s="207" t="s">
        <v>4060</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4.347684203031482E-6</v>
      </c>
      <c r="EH328" s="190">
        <f t="shared" si="769"/>
        <v>0</v>
      </c>
      <c r="EI328" s="190">
        <f t="shared" si="775"/>
        <v>0</v>
      </c>
      <c r="EJ328" s="190">
        <f t="shared" si="781"/>
        <v>1.5893781004202556E-6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3.5318598982984158E-22</v>
      </c>
      <c r="FA328" s="190">
        <f>FA161*FA$168</f>
        <v>0</v>
      </c>
      <c r="FB328" s="191">
        <f>FB161*FB$168</f>
        <v>0</v>
      </c>
    </row>
    <row r="329" spans="2:158" ht="12.75" customHeight="1" x14ac:dyDescent="0.2">
      <c r="B329" s="207" t="s">
        <v>4061</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7.7040741827737291E-2</v>
      </c>
      <c r="EI329" s="190">
        <f t="shared" si="775"/>
        <v>0</v>
      </c>
      <c r="EJ329" s="190">
        <f t="shared" si="781"/>
        <v>0</v>
      </c>
      <c r="EK329" s="190">
        <f t="shared" si="787"/>
        <v>6.3103069395403402E-2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4.6635285761672312E-6</v>
      </c>
      <c r="FA329" s="189">
        <f>$C329+SUM($D329:EZ329,FB329:$FB329)-SUM(FA$176:FA328,FA330:FA$330)-FA$331</f>
        <v>2.4936649967166602E-18</v>
      </c>
      <c r="FB329" s="191">
        <f>FB162*FB$168</f>
        <v>0</v>
      </c>
    </row>
    <row r="330" spans="2:158" ht="12.75" customHeight="1" x14ac:dyDescent="0.2">
      <c r="B330" s="354" t="s">
        <v>4062</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4.2023540833003043E-9</v>
      </c>
      <c r="EJ330" s="190">
        <f t="shared" si="781"/>
        <v>0</v>
      </c>
      <c r="EK330" s="190">
        <f t="shared" si="787"/>
        <v>0</v>
      </c>
      <c r="EL330" s="190">
        <f t="shared" si="792"/>
        <v>5.7744151333632512E-7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1.2735219262348753E-6</v>
      </c>
      <c r="FA330" s="190">
        <f>FA163*FA$168</f>
        <v>0</v>
      </c>
      <c r="FB330" s="404">
        <f>$C330+SUM($D330:FA330)-SUM(FB$176:FB329)-FB$331</f>
        <v>2.1175823681357508E-22</v>
      </c>
    </row>
    <row r="331" spans="2:158" ht="12.75" customHeight="1" x14ac:dyDescent="0.2">
      <c r="B331" s="186" t="s">
        <v>4071</v>
      </c>
      <c r="C331" s="203"/>
      <c r="D331" s="685">
        <f t="shared" ref="D331:J331" si="858">D338</f>
        <v>1.5339551290628894E-4</v>
      </c>
      <c r="E331" s="685">
        <f>E338</f>
        <v>3.704830120549673E-5</v>
      </c>
      <c r="F331" s="685">
        <f t="shared" si="858"/>
        <v>2.2494952475187859E-4</v>
      </c>
      <c r="G331" s="685">
        <f t="shared" si="858"/>
        <v>7.137512484937657E-8</v>
      </c>
      <c r="H331" s="685">
        <f t="shared" si="858"/>
        <v>0</v>
      </c>
      <c r="I331" s="685">
        <f t="shared" si="858"/>
        <v>0</v>
      </c>
      <c r="J331" s="685">
        <f t="shared" si="858"/>
        <v>0</v>
      </c>
      <c r="K331" s="685">
        <f>K338</f>
        <v>1.2080228059492751E-15</v>
      </c>
      <c r="L331" s="204">
        <f t="shared" ref="L331:BN331" si="859">L338</f>
        <v>0</v>
      </c>
      <c r="M331" s="204">
        <f t="shared" si="859"/>
        <v>0</v>
      </c>
      <c r="N331" s="204">
        <f t="shared" si="859"/>
        <v>0</v>
      </c>
      <c r="O331" s="204">
        <f t="shared" si="859"/>
        <v>8.9106011457856352E-13</v>
      </c>
      <c r="P331" s="204">
        <f t="shared" si="859"/>
        <v>0</v>
      </c>
      <c r="Q331" s="204">
        <f t="shared" si="859"/>
        <v>0</v>
      </c>
      <c r="R331" s="204">
        <f t="shared" si="859"/>
        <v>0</v>
      </c>
      <c r="S331" s="204">
        <f t="shared" si="859"/>
        <v>3.4206134770398096E-13</v>
      </c>
      <c r="T331" s="204">
        <f t="shared" si="859"/>
        <v>0</v>
      </c>
      <c r="U331" s="204">
        <f t="shared" si="859"/>
        <v>0</v>
      </c>
      <c r="V331" s="204">
        <f t="shared" si="859"/>
        <v>0</v>
      </c>
      <c r="W331" s="204">
        <f t="shared" si="859"/>
        <v>2.3623956570391837E-5</v>
      </c>
      <c r="X331" s="204">
        <f t="shared" si="859"/>
        <v>7.8232060178304165E-16</v>
      </c>
      <c r="Y331" s="204">
        <f t="shared" si="859"/>
        <v>7.9750662588657864E-5</v>
      </c>
      <c r="Z331" s="204">
        <f t="shared" si="859"/>
        <v>3.6046351783298136E-5</v>
      </c>
      <c r="AA331" s="204">
        <f t="shared" si="859"/>
        <v>0.2546120466826487</v>
      </c>
      <c r="AB331" s="204">
        <f t="shared" si="859"/>
        <v>8.7497140678629016E-11</v>
      </c>
      <c r="AC331" s="204">
        <f t="shared" si="859"/>
        <v>0.25679019654011592</v>
      </c>
      <c r="AD331" s="204">
        <f t="shared" si="859"/>
        <v>2.0598767813554923</v>
      </c>
      <c r="AE331" s="204">
        <f t="shared" si="859"/>
        <v>8.2681652100433066E-3</v>
      </c>
      <c r="AF331" s="204">
        <f t="shared" si="859"/>
        <v>5.2907273777178756E-18</v>
      </c>
      <c r="AG331" s="204">
        <f t="shared" si="859"/>
        <v>4.9236400062278186E-3</v>
      </c>
      <c r="AH331" s="204">
        <f t="shared" si="859"/>
        <v>2.5923665163851278E-2</v>
      </c>
      <c r="AI331" s="204">
        <f t="shared" si="859"/>
        <v>5.147269911496514E-3</v>
      </c>
      <c r="AJ331" s="204">
        <f t="shared" si="859"/>
        <v>8.6949737337468278E-10</v>
      </c>
      <c r="AK331" s="204">
        <f t="shared" si="859"/>
        <v>1.1054269035991762E-3</v>
      </c>
      <c r="AL331" s="204">
        <f t="shared" si="859"/>
        <v>0</v>
      </c>
      <c r="AM331" s="204">
        <f t="shared" si="859"/>
        <v>5.6225500145653785E-2</v>
      </c>
      <c r="AN331" s="204">
        <f t="shared" si="859"/>
        <v>2.3462102590622338E-8</v>
      </c>
      <c r="AO331" s="204">
        <f t="shared" si="859"/>
        <v>3.7289017622841467E-2</v>
      </c>
      <c r="AP331" s="204">
        <f t="shared" si="859"/>
        <v>0</v>
      </c>
      <c r="AQ331" s="204">
        <f t="shared" si="859"/>
        <v>1.9063962635172268E-3</v>
      </c>
      <c r="AR331" s="204">
        <f t="shared" si="859"/>
        <v>3.2203606421284542E-10</v>
      </c>
      <c r="AS331" s="204">
        <f t="shared" si="859"/>
        <v>4.0941737170339861E-4</v>
      </c>
      <c r="AT331" s="204">
        <f t="shared" si="859"/>
        <v>0</v>
      </c>
      <c r="AU331" s="204">
        <f t="shared" si="859"/>
        <v>1.5274919089624313E-4</v>
      </c>
      <c r="AV331" s="204">
        <f t="shared" si="859"/>
        <v>5.9112254734870336E-6</v>
      </c>
      <c r="AW331" s="204">
        <f t="shared" si="859"/>
        <v>9.7029693238811685E-4</v>
      </c>
      <c r="AX331" s="204">
        <f t="shared" si="859"/>
        <v>2.1294740040472905E-8</v>
      </c>
      <c r="AY331" s="204">
        <f t="shared" si="859"/>
        <v>0</v>
      </c>
      <c r="AZ331" s="204">
        <f t="shared" si="859"/>
        <v>0</v>
      </c>
      <c r="BA331" s="204">
        <f t="shared" si="859"/>
        <v>0</v>
      </c>
      <c r="BB331" s="204">
        <f t="shared" si="859"/>
        <v>6.4554799031342325E-15</v>
      </c>
      <c r="BC331" s="204">
        <f t="shared" si="859"/>
        <v>0</v>
      </c>
      <c r="BD331" s="204">
        <f t="shared" si="859"/>
        <v>0</v>
      </c>
      <c r="BE331" s="204">
        <f t="shared" si="859"/>
        <v>0</v>
      </c>
      <c r="BF331" s="204">
        <f t="shared" si="859"/>
        <v>8.5934861732705566E-14</v>
      </c>
      <c r="BG331" s="204">
        <f t="shared" si="859"/>
        <v>0</v>
      </c>
      <c r="BH331" s="204">
        <f t="shared" si="859"/>
        <v>0</v>
      </c>
      <c r="BI331" s="204">
        <f t="shared" si="859"/>
        <v>0</v>
      </c>
      <c r="BJ331" s="204">
        <f t="shared" si="859"/>
        <v>2.4322672539048052E-8</v>
      </c>
      <c r="BK331" s="204">
        <f t="shared" si="859"/>
        <v>0</v>
      </c>
      <c r="BL331" s="204">
        <f t="shared" si="859"/>
        <v>0</v>
      </c>
      <c r="BM331" s="204">
        <f t="shared" si="859"/>
        <v>0</v>
      </c>
      <c r="BN331" s="204">
        <f t="shared" si="859"/>
        <v>1.242097781646055E-4</v>
      </c>
      <c r="BO331" s="204">
        <f t="shared" ref="BO331:DX331" si="860">BO338</f>
        <v>2.700089294448671E-17</v>
      </c>
      <c r="BP331" s="204">
        <f t="shared" si="860"/>
        <v>8.0194626452992715E-4</v>
      </c>
      <c r="BQ331" s="204">
        <f t="shared" si="860"/>
        <v>5.4354159462187214E-6</v>
      </c>
      <c r="BR331" s="204">
        <f t="shared" si="860"/>
        <v>2.4298139907180119E-2</v>
      </c>
      <c r="BS331" s="204">
        <f t="shared" si="860"/>
        <v>8.8929623478543003E-15</v>
      </c>
      <c r="BT331" s="204">
        <f t="shared" si="860"/>
        <v>1.391524470475862E-2</v>
      </c>
      <c r="BU331" s="204">
        <f t="shared" si="860"/>
        <v>8.7400193688563638E-3</v>
      </c>
      <c r="BV331" s="204">
        <f t="shared" si="860"/>
        <v>29.260616264379191</v>
      </c>
      <c r="BW331" s="204">
        <f t="shared" si="860"/>
        <v>5.4990698510783771E-19</v>
      </c>
      <c r="BX331" s="204">
        <f t="shared" si="860"/>
        <v>4.4019619947661042</v>
      </c>
      <c r="BY331" s="204">
        <f t="shared" si="860"/>
        <v>0.10702921974727998</v>
      </c>
      <c r="BZ331" s="204">
        <f t="shared" si="860"/>
        <v>2.8302649216430387E-3</v>
      </c>
      <c r="CA331" s="204">
        <f t="shared" si="860"/>
        <v>6.746734199292204E-11</v>
      </c>
      <c r="CB331" s="204">
        <f t="shared" si="860"/>
        <v>1.0887019256776173E-3</v>
      </c>
      <c r="CC331" s="204">
        <f t="shared" si="860"/>
        <v>0</v>
      </c>
      <c r="CD331" s="204">
        <f t="shared" si="860"/>
        <v>6.2900695510938005E-3</v>
      </c>
      <c r="CE331" s="204">
        <f t="shared" si="860"/>
        <v>6.8225151466146059E-11</v>
      </c>
      <c r="CF331" s="204">
        <f t="shared" si="860"/>
        <v>2.4194817111348739E-3</v>
      </c>
      <c r="CG331" s="204">
        <f t="shared" si="860"/>
        <v>0</v>
      </c>
      <c r="CH331" s="204">
        <f t="shared" si="860"/>
        <v>1.048246267275199E-3</v>
      </c>
      <c r="CI331" s="204">
        <f t="shared" si="860"/>
        <v>2.4987904441822973E-11</v>
      </c>
      <c r="CJ331" s="204">
        <f t="shared" si="860"/>
        <v>4.0322293543615444E-4</v>
      </c>
      <c r="CK331" s="204">
        <f t="shared" si="860"/>
        <v>0</v>
      </c>
      <c r="CL331" s="204">
        <f t="shared" si="860"/>
        <v>2.3419828188810741E-5</v>
      </c>
      <c r="CM331" s="204">
        <f t="shared" si="860"/>
        <v>1.397263585515798E-7</v>
      </c>
      <c r="CN331" s="204">
        <f t="shared" si="860"/>
        <v>7.819278725540161E-4</v>
      </c>
      <c r="CO331" s="204">
        <f t="shared" si="860"/>
        <v>6.8459345568868762E-10</v>
      </c>
      <c r="CP331" s="204">
        <f t="shared" si="860"/>
        <v>0</v>
      </c>
      <c r="CQ331" s="204">
        <f t="shared" si="860"/>
        <v>0</v>
      </c>
      <c r="CR331" s="204">
        <f t="shared" si="860"/>
        <v>0</v>
      </c>
      <c r="CS331" s="204">
        <f t="shared" si="860"/>
        <v>1.2702868015722964E-7</v>
      </c>
      <c r="CT331" s="204">
        <f t="shared" si="860"/>
        <v>0</v>
      </c>
      <c r="CU331" s="204">
        <f t="shared" si="860"/>
        <v>0</v>
      </c>
      <c r="CV331" s="204">
        <f t="shared" si="860"/>
        <v>0</v>
      </c>
      <c r="CW331" s="204">
        <f t="shared" si="860"/>
        <v>3.8108619129670153E-6</v>
      </c>
      <c r="CX331" s="204">
        <f t="shared" si="860"/>
        <v>0</v>
      </c>
      <c r="CY331" s="204">
        <f t="shared" si="860"/>
        <v>0</v>
      </c>
      <c r="CZ331" s="204">
        <f t="shared" si="860"/>
        <v>0</v>
      </c>
      <c r="DA331" s="204">
        <f t="shared" si="860"/>
        <v>0.99853681895311597</v>
      </c>
      <c r="DB331" s="204">
        <f t="shared" si="860"/>
        <v>5.7599657663592296E-29</v>
      </c>
      <c r="DC331" s="204">
        <f t="shared" si="860"/>
        <v>0.1502229018945774</v>
      </c>
      <c r="DD331" s="204">
        <f t="shared" si="860"/>
        <v>6.5955512265485914E-3</v>
      </c>
      <c r="DE331" s="204">
        <f t="shared" si="860"/>
        <v>1.683313162214629E-3</v>
      </c>
      <c r="DF331" s="204">
        <f t="shared" si="860"/>
        <v>6.0993065658021682E-12</v>
      </c>
      <c r="DG331" s="204">
        <f t="shared" si="860"/>
        <v>3.2138364047450321E-3</v>
      </c>
      <c r="DH331" s="204">
        <f t="shared" si="860"/>
        <v>0</v>
      </c>
      <c r="DI331" s="204">
        <f t="shared" si="860"/>
        <v>1.0199877700378265E-6</v>
      </c>
      <c r="DJ331" s="204">
        <f t="shared" si="860"/>
        <v>9.4498232369605905E-10</v>
      </c>
      <c r="DK331" s="204">
        <f t="shared" si="860"/>
        <v>1.8756994943913848E-4</v>
      </c>
      <c r="DL331" s="204">
        <f t="shared" si="860"/>
        <v>1.4312485437275229E-11</v>
      </c>
      <c r="DM331" s="204">
        <f t="shared" si="860"/>
        <v>0</v>
      </c>
      <c r="DN331" s="204">
        <f t="shared" si="860"/>
        <v>0</v>
      </c>
      <c r="DO331" s="204">
        <f t="shared" si="860"/>
        <v>0</v>
      </c>
      <c r="DP331" s="204">
        <f t="shared" si="860"/>
        <v>2.2147171874388606E-8</v>
      </c>
      <c r="DQ331" s="204">
        <f t="shared" si="860"/>
        <v>0</v>
      </c>
      <c r="DR331" s="204">
        <f t="shared" si="860"/>
        <v>0</v>
      </c>
      <c r="DS331" s="204">
        <f t="shared" si="860"/>
        <v>0</v>
      </c>
      <c r="DT331" s="204">
        <f t="shared" si="860"/>
        <v>5.4528983029372789E-7</v>
      </c>
      <c r="DU331" s="204">
        <f t="shared" si="860"/>
        <v>0</v>
      </c>
      <c r="DV331" s="204">
        <f t="shared" si="860"/>
        <v>0</v>
      </c>
      <c r="DW331" s="204">
        <f t="shared" si="860"/>
        <v>0</v>
      </c>
      <c r="DX331" s="204">
        <f t="shared" si="860"/>
        <v>0.46510084741985447</v>
      </c>
      <c r="DY331" s="204">
        <f t="shared" ref="DY331:FB331" si="861">DY338</f>
        <v>3.9597281168724125E-31</v>
      </c>
      <c r="DZ331" s="204">
        <f t="shared" si="861"/>
        <v>6.9850208430286928E-2</v>
      </c>
      <c r="EA331" s="204">
        <f t="shared" si="861"/>
        <v>1.5181801469285096E-3</v>
      </c>
      <c r="EB331" s="204">
        <f t="shared" si="861"/>
        <v>5.8911886932254439E-5</v>
      </c>
      <c r="EC331" s="204">
        <f t="shared" si="861"/>
        <v>1.1168179939453145E-14</v>
      </c>
      <c r="ED331" s="204">
        <f t="shared" si="861"/>
        <v>5.0543657809301666E-4</v>
      </c>
      <c r="EE331" s="204">
        <f t="shared" si="861"/>
        <v>0</v>
      </c>
      <c r="EF331" s="204">
        <f t="shared" si="861"/>
        <v>1.8131099006287148E-6</v>
      </c>
      <c r="EG331" s="204">
        <f t="shared" si="861"/>
        <v>1.5524420899479171E-9</v>
      </c>
      <c r="EH331" s="204">
        <f t="shared" si="861"/>
        <v>3.3181198285224013E-4</v>
      </c>
      <c r="EI331" s="204">
        <f t="shared" si="861"/>
        <v>5.1314353449659193E-12</v>
      </c>
      <c r="EJ331" s="204">
        <f t="shared" si="861"/>
        <v>0</v>
      </c>
      <c r="EK331" s="204">
        <f t="shared" si="861"/>
        <v>0</v>
      </c>
      <c r="EL331" s="204">
        <f t="shared" si="861"/>
        <v>0</v>
      </c>
      <c r="EM331" s="204">
        <f t="shared" si="861"/>
        <v>7.1974869538397666E-7</v>
      </c>
      <c r="EN331" s="204">
        <f t="shared" si="861"/>
        <v>0</v>
      </c>
      <c r="EO331" s="204">
        <f t="shared" si="861"/>
        <v>0</v>
      </c>
      <c r="EP331" s="204">
        <f t="shared" si="861"/>
        <v>0</v>
      </c>
      <c r="EQ331" s="204">
        <f t="shared" si="861"/>
        <v>2.3189412727974574E-5</v>
      </c>
      <c r="ER331" s="204">
        <f t="shared" si="861"/>
        <v>0</v>
      </c>
      <c r="ES331" s="204">
        <f t="shared" si="861"/>
        <v>0</v>
      </c>
      <c r="ET331" s="204">
        <f t="shared" si="861"/>
        <v>0</v>
      </c>
      <c r="EU331" s="204">
        <f t="shared" si="861"/>
        <v>1.7482539223626969</v>
      </c>
      <c r="EV331" s="204">
        <f t="shared" si="861"/>
        <v>3.3283565449093896E-31</v>
      </c>
      <c r="EW331" s="204">
        <f t="shared" si="861"/>
        <v>0.15810990773896025</v>
      </c>
      <c r="EX331" s="204">
        <f t="shared" si="861"/>
        <v>1.5183606223738004E-2</v>
      </c>
      <c r="EY331" s="204">
        <f t="shared" si="861"/>
        <v>8.013952868909859E-5</v>
      </c>
      <c r="EZ331" s="204">
        <f t="shared" si="861"/>
        <v>7.8976937449693766E-14</v>
      </c>
      <c r="FA331" s="204">
        <f t="shared" si="861"/>
        <v>9.3792481774867848E-4</v>
      </c>
      <c r="FB331" s="205">
        <f t="shared" si="861"/>
        <v>0</v>
      </c>
    </row>
    <row r="332" spans="2:158" ht="12.75" customHeight="1" x14ac:dyDescent="0.2">
      <c r="BF332" s="32"/>
      <c r="BG332" s="32"/>
      <c r="BH332" s="32"/>
      <c r="BI332" s="32"/>
    </row>
    <row r="334" spans="2:158" ht="12.75" customHeight="1" x14ac:dyDescent="0.2">
      <c r="B334" s="186" t="s">
        <v>4072</v>
      </c>
      <c r="C334" s="187"/>
      <c r="D334" s="187" t="s">
        <v>3593</v>
      </c>
      <c r="E334" s="187" t="s">
        <v>3594</v>
      </c>
      <c r="F334" s="187" t="s">
        <v>3595</v>
      </c>
      <c r="G334" s="187" t="s">
        <v>3596</v>
      </c>
      <c r="H334" s="187" t="s">
        <v>3597</v>
      </c>
      <c r="I334" s="187" t="s">
        <v>3598</v>
      </c>
      <c r="J334" s="187" t="s">
        <v>3599</v>
      </c>
      <c r="K334" s="187" t="s">
        <v>3600</v>
      </c>
      <c r="L334" s="187" t="s">
        <v>3601</v>
      </c>
      <c r="M334" s="187" t="s">
        <v>3602</v>
      </c>
      <c r="N334" s="187" t="s">
        <v>3603</v>
      </c>
      <c r="O334" s="187" t="s">
        <v>3604</v>
      </c>
      <c r="P334" s="187" t="s">
        <v>3605</v>
      </c>
      <c r="Q334" s="187" t="s">
        <v>3606</v>
      </c>
      <c r="R334" s="187" t="s">
        <v>3607</v>
      </c>
      <c r="S334" s="187" t="s">
        <v>3608</v>
      </c>
      <c r="T334" s="187" t="s">
        <v>3609</v>
      </c>
      <c r="U334" s="187" t="s">
        <v>3610</v>
      </c>
      <c r="V334" s="187" t="s">
        <v>3611</v>
      </c>
      <c r="W334" s="187" t="s">
        <v>3612</v>
      </c>
      <c r="X334" s="187" t="s">
        <v>3613</v>
      </c>
      <c r="Y334" s="187" t="s">
        <v>3614</v>
      </c>
      <c r="Z334" s="187" t="s">
        <v>3615</v>
      </c>
      <c r="AA334" s="187" t="s">
        <v>3616</v>
      </c>
      <c r="AB334" s="187" t="s">
        <v>3617</v>
      </c>
      <c r="AC334" s="187" t="s">
        <v>3618</v>
      </c>
      <c r="AD334" s="187" t="s">
        <v>3619</v>
      </c>
      <c r="AE334" s="187" t="s">
        <v>3620</v>
      </c>
      <c r="AF334" s="187" t="s">
        <v>3621</v>
      </c>
      <c r="AG334" s="187" t="s">
        <v>3622</v>
      </c>
      <c r="AH334" s="187" t="s">
        <v>3623</v>
      </c>
      <c r="AI334" s="187" t="s">
        <v>3624</v>
      </c>
      <c r="AJ334" s="187" t="s">
        <v>3625</v>
      </c>
      <c r="AK334" s="187" t="s">
        <v>3626</v>
      </c>
      <c r="AL334" s="187" t="s">
        <v>3627</v>
      </c>
      <c r="AM334" s="187" t="s">
        <v>3628</v>
      </c>
      <c r="AN334" s="187" t="s">
        <v>3629</v>
      </c>
      <c r="AO334" s="187" t="s">
        <v>3630</v>
      </c>
      <c r="AP334" s="187" t="s">
        <v>3631</v>
      </c>
      <c r="AQ334" s="187" t="s">
        <v>3632</v>
      </c>
      <c r="AR334" s="187" t="s">
        <v>3633</v>
      </c>
      <c r="AS334" s="187" t="s">
        <v>3634</v>
      </c>
      <c r="AT334" s="187" t="s">
        <v>3635</v>
      </c>
      <c r="AU334" s="187" t="s">
        <v>3636</v>
      </c>
      <c r="AV334" s="187" t="s">
        <v>3637</v>
      </c>
      <c r="AW334" s="187" t="s">
        <v>3638</v>
      </c>
      <c r="AX334" s="187" t="s">
        <v>3639</v>
      </c>
      <c r="AY334" s="187" t="s">
        <v>3640</v>
      </c>
      <c r="AZ334" s="187" t="s">
        <v>3641</v>
      </c>
      <c r="BA334" s="187" t="s">
        <v>3642</v>
      </c>
      <c r="BB334" s="187" t="s">
        <v>3643</v>
      </c>
      <c r="BC334" s="187" t="s">
        <v>3644</v>
      </c>
      <c r="BD334" s="187" t="s">
        <v>3645</v>
      </c>
      <c r="BE334" s="187" t="s">
        <v>3646</v>
      </c>
      <c r="BF334" s="187" t="s">
        <v>3647</v>
      </c>
      <c r="BG334" s="187" t="s">
        <v>3648</v>
      </c>
      <c r="BH334" s="187" t="s">
        <v>3649</v>
      </c>
      <c r="BI334" s="187" t="s">
        <v>3650</v>
      </c>
      <c r="BJ334" s="187" t="s">
        <v>3651</v>
      </c>
      <c r="BK334" s="187" t="s">
        <v>3652</v>
      </c>
      <c r="BL334" s="187" t="s">
        <v>3653</v>
      </c>
      <c r="BM334" s="187" t="s">
        <v>3654</v>
      </c>
      <c r="BN334" s="187" t="s">
        <v>3655</v>
      </c>
      <c r="BO334" s="187" t="s">
        <v>3656</v>
      </c>
      <c r="BP334" s="187" t="s">
        <v>3657</v>
      </c>
      <c r="BQ334" s="187" t="s">
        <v>3658</v>
      </c>
      <c r="BR334" s="187" t="s">
        <v>3659</v>
      </c>
      <c r="BS334" s="187" t="s">
        <v>3660</v>
      </c>
      <c r="BT334" s="187" t="s">
        <v>3661</v>
      </c>
      <c r="BU334" s="187" t="s">
        <v>3662</v>
      </c>
      <c r="BV334" s="187" t="s">
        <v>3663</v>
      </c>
      <c r="BW334" s="187" t="s">
        <v>3664</v>
      </c>
      <c r="BX334" s="187" t="s">
        <v>3665</v>
      </c>
      <c r="BY334" s="187" t="s">
        <v>3666</v>
      </c>
      <c r="BZ334" s="187" t="s">
        <v>3667</v>
      </c>
      <c r="CA334" s="187" t="s">
        <v>3668</v>
      </c>
      <c r="CB334" s="187" t="s">
        <v>3669</v>
      </c>
      <c r="CC334" s="187" t="s">
        <v>3670</v>
      </c>
      <c r="CD334" s="187" t="s">
        <v>3671</v>
      </c>
      <c r="CE334" s="187" t="s">
        <v>3672</v>
      </c>
      <c r="CF334" s="187" t="s">
        <v>3673</v>
      </c>
      <c r="CG334" s="187" t="s">
        <v>3674</v>
      </c>
      <c r="CH334" s="187" t="s">
        <v>3675</v>
      </c>
      <c r="CI334" s="187" t="s">
        <v>3676</v>
      </c>
      <c r="CJ334" s="187" t="s">
        <v>3677</v>
      </c>
      <c r="CK334" s="187" t="s">
        <v>3678</v>
      </c>
      <c r="CL334" s="187" t="s">
        <v>3679</v>
      </c>
      <c r="CM334" s="187" t="s">
        <v>3680</v>
      </c>
      <c r="CN334" s="187" t="s">
        <v>3681</v>
      </c>
      <c r="CO334" s="187" t="s">
        <v>3682</v>
      </c>
      <c r="CP334" s="187" t="s">
        <v>3683</v>
      </c>
      <c r="CQ334" s="187" t="s">
        <v>3684</v>
      </c>
      <c r="CR334" s="187" t="s">
        <v>3685</v>
      </c>
      <c r="CS334" s="187" t="s">
        <v>3686</v>
      </c>
      <c r="CT334" s="187" t="s">
        <v>3687</v>
      </c>
      <c r="CU334" s="187" t="s">
        <v>3688</v>
      </c>
      <c r="CV334" s="187" t="s">
        <v>3689</v>
      </c>
      <c r="CW334" s="187" t="s">
        <v>3690</v>
      </c>
      <c r="CX334" s="187" t="s">
        <v>3691</v>
      </c>
      <c r="CY334" s="187" t="s">
        <v>3692</v>
      </c>
      <c r="CZ334" s="187" t="s">
        <v>3693</v>
      </c>
      <c r="DA334" s="187" t="s">
        <v>3694</v>
      </c>
      <c r="DB334" s="187" t="s">
        <v>3695</v>
      </c>
      <c r="DC334" s="187" t="s">
        <v>3696</v>
      </c>
      <c r="DD334" s="187" t="s">
        <v>3697</v>
      </c>
      <c r="DE334" s="187" t="s">
        <v>3698</v>
      </c>
      <c r="DF334" s="187" t="s">
        <v>3699</v>
      </c>
      <c r="DG334" s="187" t="s">
        <v>3700</v>
      </c>
      <c r="DH334" s="187" t="s">
        <v>3701</v>
      </c>
      <c r="DI334" s="187" t="s">
        <v>3702</v>
      </c>
      <c r="DJ334" s="187" t="s">
        <v>3703</v>
      </c>
      <c r="DK334" s="187" t="s">
        <v>3704</v>
      </c>
      <c r="DL334" s="187" t="s">
        <v>3705</v>
      </c>
      <c r="DM334" s="187" t="s">
        <v>3706</v>
      </c>
      <c r="DN334" s="187" t="s">
        <v>3707</v>
      </c>
      <c r="DO334" s="187" t="s">
        <v>3708</v>
      </c>
      <c r="DP334" s="187" t="s">
        <v>3709</v>
      </c>
      <c r="DQ334" s="187" t="s">
        <v>3710</v>
      </c>
      <c r="DR334" s="187" t="s">
        <v>3711</v>
      </c>
      <c r="DS334" s="187" t="s">
        <v>3712</v>
      </c>
      <c r="DT334" s="187" t="s">
        <v>3713</v>
      </c>
      <c r="DU334" s="187" t="s">
        <v>3714</v>
      </c>
      <c r="DV334" s="187" t="s">
        <v>3715</v>
      </c>
      <c r="DW334" s="187" t="s">
        <v>3716</v>
      </c>
      <c r="DX334" s="187" t="s">
        <v>3717</v>
      </c>
      <c r="DY334" s="187" t="s">
        <v>3718</v>
      </c>
      <c r="DZ334" s="187" t="s">
        <v>3719</v>
      </c>
      <c r="EA334" s="187" t="s">
        <v>3720</v>
      </c>
      <c r="EB334" s="187" t="s">
        <v>3721</v>
      </c>
      <c r="EC334" s="187" t="s">
        <v>3722</v>
      </c>
      <c r="ED334" s="187" t="s">
        <v>3723</v>
      </c>
      <c r="EE334" s="187" t="s">
        <v>3724</v>
      </c>
      <c r="EF334" s="187" t="s">
        <v>3725</v>
      </c>
      <c r="EG334" s="187" t="s">
        <v>3726</v>
      </c>
      <c r="EH334" s="187" t="s">
        <v>3727</v>
      </c>
      <c r="EI334" s="187" t="s">
        <v>3728</v>
      </c>
      <c r="EJ334" s="187" t="s">
        <v>3729</v>
      </c>
      <c r="EK334" s="187" t="s">
        <v>3730</v>
      </c>
      <c r="EL334" s="187" t="s">
        <v>3731</v>
      </c>
      <c r="EM334" s="187" t="s">
        <v>3732</v>
      </c>
      <c r="EN334" s="187" t="s">
        <v>3733</v>
      </c>
      <c r="EO334" s="187" t="s">
        <v>3734</v>
      </c>
      <c r="EP334" s="187" t="s">
        <v>3735</v>
      </c>
      <c r="EQ334" s="187" t="s">
        <v>3736</v>
      </c>
      <c r="ER334" s="187" t="s">
        <v>3737</v>
      </c>
      <c r="ES334" s="187" t="s">
        <v>3738</v>
      </c>
      <c r="ET334" s="187" t="s">
        <v>3739</v>
      </c>
      <c r="EU334" s="187" t="s">
        <v>3740</v>
      </c>
      <c r="EV334" s="187" t="s">
        <v>3741</v>
      </c>
      <c r="EW334" s="187" t="s">
        <v>3742</v>
      </c>
      <c r="EX334" s="187" t="s">
        <v>3743</v>
      </c>
      <c r="EY334" s="187" t="s">
        <v>3744</v>
      </c>
      <c r="EZ334" s="187" t="s">
        <v>3745</v>
      </c>
      <c r="FA334" s="187" t="s">
        <v>3746</v>
      </c>
      <c r="FB334" s="194" t="s">
        <v>3747</v>
      </c>
    </row>
    <row r="335" spans="2:158" ht="12.75" customHeight="1" x14ac:dyDescent="0.2">
      <c r="B335" s="188" t="s">
        <v>3750</v>
      </c>
      <c r="C335" s="176">
        <f>SUM(D335:EY335)</f>
        <v>40.16694152101411</v>
      </c>
      <c r="D335" s="176">
        <f t="shared" ref="D335:AI335" si="862">D5</f>
        <v>6.6944902535023516</v>
      </c>
      <c r="E335" s="176">
        <f t="shared" si="862"/>
        <v>6.6944902535023516</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6.6944902535023516</v>
      </c>
      <c r="P335" s="176">
        <f t="shared" si="862"/>
        <v>6.6944902535023516</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6.6944902535023516</v>
      </c>
      <c r="AN335" s="176">
        <f t="shared" si="863"/>
        <v>6.6944902535023516</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2">
      <c r="B336" s="188" t="s">
        <v>4073</v>
      </c>
      <c r="C336" s="176">
        <f>SUM(D336:EY336)</f>
        <v>69309948.600526616</v>
      </c>
      <c r="D336" s="185">
        <f>SUM($D$176:$FB$176)</f>
        <v>0.12525546323205558</v>
      </c>
      <c r="E336" s="185">
        <f>SUM($D$177:$FB$177)</f>
        <v>4.847248490197827E-3</v>
      </c>
      <c r="F336" s="185">
        <f>SUM($D$178:$FB$178)</f>
        <v>6.0804546846845344</v>
      </c>
      <c r="G336" s="185">
        <f>SUM($D$179:$FB$179)</f>
        <v>1.6446492863312082E-2</v>
      </c>
      <c r="H336" s="185">
        <f>SUM($D$180:$FB$180)</f>
        <v>9.8091995156889378E-2</v>
      </c>
      <c r="I336" s="185">
        <f>SUM($D$181:$FB$181)</f>
        <v>0.10736450167982572</v>
      </c>
      <c r="J336" s="185">
        <f>SUM($D$182:$FB$182)</f>
        <v>1.4416155412823671E-2</v>
      </c>
      <c r="K336" s="185">
        <f>SUM($D$183:$FB$183)</f>
        <v>7.1561984535281368E-3</v>
      </c>
      <c r="L336" s="185">
        <f>SUM($D$184:$FB$184)</f>
        <v>1.7979685049745993E-3</v>
      </c>
      <c r="M336" s="185">
        <f>SUM($D$185:$FB$185)</f>
        <v>3.9772037675825395E-3</v>
      </c>
      <c r="N336" s="185">
        <f>SUM($D$186:$FB$186)</f>
        <v>3.8985846599862121E-5</v>
      </c>
      <c r="O336" s="185">
        <f>SUM($D$187:$FB$187)</f>
        <v>14.982585658015534</v>
      </c>
      <c r="P336" s="185">
        <f>SUM($D$188:$FB$188)</f>
        <v>1.9782038724602449E-2</v>
      </c>
      <c r="Q336" s="185">
        <f>SUM($D$189:$FB$189)</f>
        <v>14.196570231937846</v>
      </c>
      <c r="R336" s="185">
        <f>SUM($D$190:$FB$190)</f>
        <v>21.078823145114146</v>
      </c>
      <c r="S336" s="185">
        <f>SUM($D$191:$FB$191)</f>
        <v>115.86960056212965</v>
      </c>
      <c r="T336" s="185">
        <f>SUM($D$192:$FB$192)</f>
        <v>9.776877823892029E-3</v>
      </c>
      <c r="U336" s="185">
        <f>SUM($D$193:$FB$193)</f>
        <v>14.795394632229964</v>
      </c>
      <c r="V336" s="185">
        <f>SUM($D$194:$FB$194)</f>
        <v>0.40743812142666941</v>
      </c>
      <c r="W336" s="185">
        <f>SUM($D$195:$FB$195)</f>
        <v>2.3623956570391833E-5</v>
      </c>
      <c r="X336" s="185">
        <f>SUM($D$196:$FB$196)</f>
        <v>5.3176577800325747E-11</v>
      </c>
      <c r="Y336" s="185">
        <f>SUM($D$197:$FB$197)</f>
        <v>7.9753417010739152E-5</v>
      </c>
      <c r="Z336" s="185">
        <f>SUM($D$198:$FB$198)</f>
        <v>3.6047596749347063E-5</v>
      </c>
      <c r="AA336" s="185">
        <f>SUM($D$199:$FB$199)</f>
        <v>5.7112490350947631</v>
      </c>
      <c r="AB336" s="185">
        <f>SUM($D$200:$FB$200)</f>
        <v>5.9482331837766444E-6</v>
      </c>
      <c r="AC336" s="185">
        <f>SUM($D$201:$FB$201)</f>
        <v>2.6084188010354206</v>
      </c>
      <c r="AD336" s="185">
        <f>SUM($D$202:$FB$202)</f>
        <v>20.923779009860361</v>
      </c>
      <c r="AE336" s="185">
        <f>SUM($D$203:$FB$203)</f>
        <v>0.41001634997005565</v>
      </c>
      <c r="AF336" s="185">
        <f>SUM($D$204:$FB$204)</f>
        <v>5.6942082711441035E-11</v>
      </c>
      <c r="AG336" s="185">
        <f>SUM($D$205:$FB$205)</f>
        <v>5.279407338543024E-2</v>
      </c>
      <c r="AH336" s="185">
        <f>SUM($D$206:$FB$206)</f>
        <v>0.27796830786746196</v>
      </c>
      <c r="AI336" s="185">
        <f>SUM($D$207:$FB$207)</f>
        <v>0.77302479450275041</v>
      </c>
      <c r="AJ336" s="185">
        <f>SUM($D$208:$FB$208)</f>
        <v>0.1172926166521797</v>
      </c>
      <c r="AK336" s="185">
        <f>SUM($D$209:$FB$209)</f>
        <v>0.16518757445059407</v>
      </c>
      <c r="AL336" s="185">
        <f>SUM($D$210:$FB$210)</f>
        <v>3.0028139431380194E-2</v>
      </c>
      <c r="AM336" s="185">
        <f>SUM($D$211:$FB$211)</f>
        <v>1.749540550508573</v>
      </c>
      <c r="AN336" s="185">
        <f>SUM($D$212:$FB$212)</f>
        <v>0.26065025922706669</v>
      </c>
      <c r="AO336" s="185">
        <f>SUM($D$213:$FB$213)</f>
        <v>5.5718887070238488</v>
      </c>
      <c r="AP336" s="185">
        <f>SUM($D$214:$FB$214)</f>
        <v>1.5564110269210811</v>
      </c>
      <c r="AQ336" s="185">
        <f>SUM($D$215:$FB$215)</f>
        <v>0.28630547944546286</v>
      </c>
      <c r="AR336" s="185">
        <f>SUM($D$216:$FB$216)</f>
        <v>4.3441709871177681E-2</v>
      </c>
      <c r="AS336" s="185">
        <f>SUM($D$217:$FB$217)</f>
        <v>6.1180583129849683E-2</v>
      </c>
      <c r="AT336" s="185">
        <f>SUM($D$218:$FB$218)</f>
        <v>1.1121533122733408E-2</v>
      </c>
      <c r="AU336" s="185">
        <f>SUM($D$219:$FB$219)</f>
        <v>3.9527947286326035</v>
      </c>
      <c r="AV336" s="185">
        <f>SUM($D$220:$FB$220)</f>
        <v>0.95275333141870389</v>
      </c>
      <c r="AW336" s="185">
        <f>SUM($D$221:$FB$221)</f>
        <v>6.901569001443062</v>
      </c>
      <c r="AX336" s="185">
        <f>SUM($D$222:$FB$222)</f>
        <v>4.4569920058167055E-3</v>
      </c>
      <c r="AY336" s="185">
        <f>SUM($D$223:$FB$223)</f>
        <v>1.5651025327729242E-2</v>
      </c>
      <c r="AZ336" s="185">
        <f>SUM($D$224:$FB$224)</f>
        <v>0.46310587560573924</v>
      </c>
      <c r="BA336" s="185">
        <f>SUM($D$225:$FB$225)</f>
        <v>4.3010542194773871E-3</v>
      </c>
      <c r="BB336" s="185">
        <f>SUM($D$226:$FB$226)</f>
        <v>3.9357171086391377E-3</v>
      </c>
      <c r="BC336" s="185">
        <f>SUM($D$227:$FB$227)</f>
        <v>1.3951066412865617E-4</v>
      </c>
      <c r="BD336" s="185">
        <f>SUM($D$228:$FB$228)</f>
        <v>4.7212709599117695E-3</v>
      </c>
      <c r="BE336" s="185">
        <f>SUM($D$229:$FB$229)</f>
        <v>5.4799097962811974E-6</v>
      </c>
      <c r="BF336" s="185">
        <f>SUM($D$230:$FB$230)</f>
        <v>2.0847968037839011</v>
      </c>
      <c r="BG336" s="185">
        <f>SUM($D$231:$FB$231)</f>
        <v>1.5346467840168338E-3</v>
      </c>
      <c r="BH336" s="185">
        <f>SUM($D$232:$FB$232)</f>
        <v>0.76243714908451543</v>
      </c>
      <c r="BI336" s="185">
        <f>SUM($D$233:$FB$233)</f>
        <v>8.8639065002209361E-2</v>
      </c>
      <c r="BJ336" s="185">
        <f>SUM($D$234:$FB$234)</f>
        <v>191481.33975575399</v>
      </c>
      <c r="BK336" s="185">
        <f>SUM($D$235:$FB$235)</f>
        <v>4.5402322176012248E-2</v>
      </c>
      <c r="BL336" s="185">
        <f>SUM($D$236:$FB$236)</f>
        <v>6056.0158152359318</v>
      </c>
      <c r="BM336" s="185">
        <f>SUM($D$237:$FB$237)</f>
        <v>1.3739851551285009</v>
      </c>
      <c r="BN336" s="185">
        <f>SUM($D$238:$FB$238)</f>
        <v>1.242097781646055E-4</v>
      </c>
      <c r="BO336" s="185">
        <f>SUM($D$239:$FB$239)</f>
        <v>4.1276549414721295E-12</v>
      </c>
      <c r="BP336" s="185">
        <f>SUM($D$240:$FB$240)</f>
        <v>8.0197416580130411E-4</v>
      </c>
      <c r="BQ336" s="185">
        <f>SUM($D$241:$FB$241)</f>
        <v>5.4356050549184827E-6</v>
      </c>
      <c r="BR336" s="185">
        <f>SUM($D$242:$FB$242)</f>
        <v>0.54502717862820471</v>
      </c>
      <c r="BS336" s="185">
        <f>SUM($D$243:$FB$243)</f>
        <v>1.3595571535924962E-9</v>
      </c>
      <c r="BT336" s="185">
        <f>SUM($D$244:$FB$244)</f>
        <v>0.14008684022214479</v>
      </c>
      <c r="BU336" s="185">
        <f>SUM($D$245:$FB$245)</f>
        <v>8.7987076249168406E-2</v>
      </c>
      <c r="BV336" s="185">
        <f>SUM($D$246:$FB$246)</f>
        <v>1447.4769848985529</v>
      </c>
      <c r="BW336" s="185">
        <f>SUM($D$247:$FB$247)</f>
        <v>1.3227379545141786E-11</v>
      </c>
      <c r="BX336" s="185">
        <f>SUM($D$248:$FB$248)</f>
        <v>46.486462074928056</v>
      </c>
      <c r="BY336" s="185">
        <f>SUM($D$249:$FB$249)</f>
        <v>1.130270949773486</v>
      </c>
      <c r="BZ336" s="185">
        <f>SUM($D$250:$FB$250)</f>
        <v>0.42505347437771179</v>
      </c>
      <c r="CA336" s="185">
        <f>SUM($D$251:$FB$251)</f>
        <v>9.1011443199694089E-3</v>
      </c>
      <c r="CB336" s="185">
        <f>SUM($D$252:$FB$252)</f>
        <v>0.16268830604432791</v>
      </c>
      <c r="CC336" s="185">
        <f>SUM($D$253:$FB$253)</f>
        <v>2.5951054421876722E-3</v>
      </c>
      <c r="CD336" s="185">
        <f>SUM($D$254:$FB$254)</f>
        <v>0.94465217581373351</v>
      </c>
      <c r="CE336" s="185">
        <f>SUM($D$255:$FB$255)</f>
        <v>2.0224765155487573E-2</v>
      </c>
      <c r="CF336" s="185">
        <f>SUM($D$256:$FB$256)</f>
        <v>0.36152957848010658</v>
      </c>
      <c r="CG336" s="185">
        <f>SUM($D$257:$FB$257)</f>
        <v>5.7669036995746017E-3</v>
      </c>
      <c r="CH336" s="185">
        <f>SUM($D$258:$FB$258)</f>
        <v>0.15742721273248586</v>
      </c>
      <c r="CI336" s="185">
        <f>SUM($D$259:$FB$259)</f>
        <v>3.3707941925812616E-3</v>
      </c>
      <c r="CJ336" s="185">
        <f>SUM($D$260:$FB$260)</f>
        <v>6.0254928164565881E-2</v>
      </c>
      <c r="CK336" s="185">
        <f>SUM($D$261:$FB$261)</f>
        <v>9.6115016377321236E-4</v>
      </c>
      <c r="CL336" s="185">
        <f>SUM($D$262:$FB$262)</f>
        <v>0.58007810320579245</v>
      </c>
      <c r="CM336" s="185">
        <f>SUM($D$263:$FB$263)</f>
        <v>2.2300700096564041E-2</v>
      </c>
      <c r="CN336" s="185">
        <f>SUM($D$264:$FB$264)</f>
        <v>4.3964674589383703</v>
      </c>
      <c r="CO336" s="185">
        <f>SUM($D$265:$FB$265)</f>
        <v>1.4231819830220333E-4</v>
      </c>
      <c r="CP336" s="185">
        <f>SUM($D$266:$FB$266)</f>
        <v>3.699504927448018E-4</v>
      </c>
      <c r="CQ336" s="185">
        <f>SUM($D$267:$FB$267)</f>
        <v>0.37320059457305915</v>
      </c>
      <c r="CR336" s="185">
        <f>SUM($D$268:$FB$268)</f>
        <v>1.3827234169659517E-4</v>
      </c>
      <c r="CS336" s="185">
        <f>SUM($D$269:$FB$269)</f>
        <v>9197834.1265522111</v>
      </c>
      <c r="CT336" s="185">
        <f>SUM($D$270:$FB$270)</f>
        <v>1.0406486719110744E-3</v>
      </c>
      <c r="CU336" s="185">
        <f>SUM($D$271:$FB$271)</f>
        <v>290867.53203438886</v>
      </c>
      <c r="CV336" s="185">
        <f>SUM($D$272:$FB$272)</f>
        <v>21.087571066622196</v>
      </c>
      <c r="CW336" s="185">
        <f>SUM($D$273:$FB$273)</f>
        <v>9023012.5808178764</v>
      </c>
      <c r="CX336" s="185">
        <f>SUM($D$274:$FB$274)</f>
        <v>4.3313504271393791E-8</v>
      </c>
      <c r="CY336" s="185">
        <f>SUM($D$275:$FB$275)</f>
        <v>285354.51526061835</v>
      </c>
      <c r="CZ336" s="185">
        <f>SUM($D$276:$FB$276)</f>
        <v>42.180665878955161</v>
      </c>
      <c r="DA336" s="185">
        <f>SUM($D$277:$FB$277)</f>
        <v>15119.322486223551</v>
      </c>
      <c r="DB336" s="185">
        <f>SUM($D$278:$FB$278)</f>
        <v>4.2407681610975839E-19</v>
      </c>
      <c r="DC336" s="185">
        <f>SUM($D$279:$FB$279)</f>
        <v>485.57509358210717</v>
      </c>
      <c r="DD336" s="185">
        <f>SUM($D$280:$FB$280)</f>
        <v>21.319222060458145</v>
      </c>
      <c r="DE336" s="185">
        <f>SUM($D$281:$FB$281)</f>
        <v>0.25280252127412062</v>
      </c>
      <c r="DF336" s="185">
        <f>SUM($D$282:$FB$282)</f>
        <v>8.2277836457416787E-4</v>
      </c>
      <c r="DG336" s="185">
        <f>SUM($D$283:$FB$283)</f>
        <v>0.48025413408370127</v>
      </c>
      <c r="DH336" s="185">
        <f>SUM($D$284:$FB$284)</f>
        <v>2.5315803507255691E-4</v>
      </c>
      <c r="DI336" s="185">
        <f>SUM($D$285:$FB$285)</f>
        <v>2.4250752469035301E-2</v>
      </c>
      <c r="DJ336" s="185">
        <f>SUM($D$286:$FB$286)</f>
        <v>1.4468378278936054E-4</v>
      </c>
      <c r="DK336" s="185">
        <f>SUM($D$287:$FB$287)</f>
        <v>0.80980102332364678</v>
      </c>
      <c r="DL336" s="185">
        <f>SUM($D$288:$FB$288)</f>
        <v>1.0985623240431926E-6</v>
      </c>
      <c r="DM336" s="185">
        <f>SUM($D$289:$FB$289)</f>
        <v>1.6389063694824348E-6</v>
      </c>
      <c r="DN336" s="185">
        <f>SUM($D$290:$FB$290)</f>
        <v>5.5843197860905219E-2</v>
      </c>
      <c r="DO336" s="185">
        <f>SUM($D$291:$FB$291)</f>
        <v>1.0324275881576245E-6</v>
      </c>
      <c r="DP336" s="185">
        <f>SUM($D$292:$FB$292)</f>
        <v>6751646.282348684</v>
      </c>
      <c r="DQ336" s="185">
        <f>SUM($D$293:$FB$293)</f>
        <v>7.820116192801982E-6</v>
      </c>
      <c r="DR336" s="185">
        <f>SUM($D$294:$FB$294)</f>
        <v>213147.33518114587</v>
      </c>
      <c r="DS336" s="185">
        <f>SUM($D$295:$FB$295)</f>
        <v>7.7287443585140103</v>
      </c>
      <c r="DT336" s="185">
        <f>SUM($D$296:$FB$296)</f>
        <v>6761588.1352420989</v>
      </c>
      <c r="DU336" s="185">
        <f>SUM($D$297:$FB$297)</f>
        <v>3.8110933180754629E-10</v>
      </c>
      <c r="DV336" s="185">
        <f>SUM($D$298:$FB$298)</f>
        <v>213465.87789083432</v>
      </c>
      <c r="DW336" s="185">
        <f>SUM($D$299:$FB$299)</f>
        <v>14.653921726843677</v>
      </c>
      <c r="DX336" s="185">
        <f>SUM($D$300:$FB$300)</f>
        <v>9940.3689282456271</v>
      </c>
      <c r="DY336" s="185">
        <f>SUM($D$301:$FB$301)</f>
        <v>4.0421131601430176E-21</v>
      </c>
      <c r="DZ336" s="185">
        <f>SUM($D$302:$FB$302)</f>
        <v>318.69488015744696</v>
      </c>
      <c r="EA336" s="185">
        <f>SUM($D$303:$FB$303)</f>
        <v>6.9267687363550712</v>
      </c>
      <c r="EB336" s="185">
        <f>SUM($D$304:$FB$304)</f>
        <v>8.9289540004477835E-3</v>
      </c>
      <c r="EC336" s="185">
        <f>SUM($D$305:$FB$305)</f>
        <v>3.9691983645152116E-6</v>
      </c>
      <c r="ED336" s="185">
        <f>SUM($D$306:$FB$306)</f>
        <v>7.5547359655872684E-2</v>
      </c>
      <c r="EE336" s="185">
        <f>SUM($D$307:$FB$307)</f>
        <v>1.3712865621954538E-6</v>
      </c>
      <c r="EF336" s="185">
        <f>SUM($D$308:$FB$308)</f>
        <v>4.2003535444989713E-2</v>
      </c>
      <c r="EG336" s="185">
        <f>SUM($D$309:$FB$309)</f>
        <v>2.5059966282243187E-4</v>
      </c>
      <c r="EH336" s="185">
        <f>SUM($D$310:$FB$310)</f>
        <v>1.4026152174939557</v>
      </c>
      <c r="EI336" s="185">
        <f>SUM($D$311:$FB$311)</f>
        <v>1.9444172903310813E-6</v>
      </c>
      <c r="EJ336" s="185">
        <f>SUM($D$312:$FB$312)</f>
        <v>5.2979270014008513E-6</v>
      </c>
      <c r="EK336" s="185">
        <f>SUM($D$313:$FB$313)</f>
        <v>0.21034356465134463</v>
      </c>
      <c r="EL336" s="185">
        <f>SUM($D$314:$FB$314)</f>
        <v>1.9248050444544161E-6</v>
      </c>
      <c r="EM336" s="185">
        <f>SUM($D$315:$FB$315)</f>
        <v>17578197.296614919</v>
      </c>
      <c r="EN336" s="185">
        <f>SUM($D$316:$FB$316)</f>
        <v>1.7127778831574923E-5</v>
      </c>
      <c r="EO336" s="185">
        <f>SUM($D$317:$FB$317)</f>
        <v>556910.84112384391</v>
      </c>
      <c r="EP336" s="185">
        <f>SUM($D$318:$FB$318)</f>
        <v>89.204145403133666</v>
      </c>
      <c r="EQ336" s="185">
        <f>SUM($D$319:$FB$319)</f>
        <v>17615561.576083787</v>
      </c>
      <c r="ER336" s="185">
        <f>SUM($D$320:$FB$320)</f>
        <v>6.2206786352132129E-10</v>
      </c>
      <c r="ES336" s="185">
        <f>SUM($D$321:$FB$321)</f>
        <v>558119.3550935518</v>
      </c>
      <c r="ET336" s="185">
        <f>SUM($D$322:$FB$322)</f>
        <v>204.65506670181583</v>
      </c>
      <c r="EU336" s="185">
        <f>SUM($D$323:$FB$323)</f>
        <v>37364.560804407767</v>
      </c>
      <c r="EV336" s="185">
        <f>SUM($D$324:$FB$324)</f>
        <v>5.8259486398721458E-21</v>
      </c>
      <c r="EW336" s="185">
        <f>SUM($D$325:$FB$325)</f>
        <v>1202.2011488783048</v>
      </c>
      <c r="EX336" s="190">
        <f>SUM($D$326:$FB$326)</f>
        <v>115.44974699770603</v>
      </c>
      <c r="EY336" s="185">
        <f>SUM($D$327:$FB$327)</f>
        <v>1.200705629338355E-2</v>
      </c>
      <c r="EZ336" s="185">
        <f>SUM($D$328:$FB$328)</f>
        <v>5.9370623034517375E-6</v>
      </c>
      <c r="FA336" s="185">
        <f>SUM($D$329:$FB$329)</f>
        <v>0.14014847475171685</v>
      </c>
      <c r="FB336" s="192">
        <f>SUM($D$330:$FB$330)</f>
        <v>1.855165793654501E-6</v>
      </c>
    </row>
    <row r="337" spans="2:158" ht="12.75" customHeight="1" x14ac:dyDescent="0.2">
      <c r="B337" s="188" t="s">
        <v>4074</v>
      </c>
      <c r="C337" s="176">
        <f>SUM(D337:EY337)</f>
        <v>69309948.601464555</v>
      </c>
      <c r="D337" s="176">
        <f t="shared" ref="D337:AI337" si="867">SUM(D176:D330)</f>
        <v>6.8195923212215002</v>
      </c>
      <c r="E337" s="176">
        <f t="shared" si="867"/>
        <v>6.6993004536913441</v>
      </c>
      <c r="F337" s="176">
        <f t="shared" si="867"/>
        <v>6.080229735159782</v>
      </c>
      <c r="G337" s="176">
        <f t="shared" si="867"/>
        <v>1.6446421488187229E-2</v>
      </c>
      <c r="H337" s="176">
        <f t="shared" si="867"/>
        <v>9.8091995156889378E-2</v>
      </c>
      <c r="I337" s="176">
        <f t="shared" si="867"/>
        <v>0.1073645016798257</v>
      </c>
      <c r="J337" s="176">
        <f t="shared" si="867"/>
        <v>1.4416155412823664E-2</v>
      </c>
      <c r="K337" s="176">
        <f t="shared" si="867"/>
        <v>7.1561984535269295E-3</v>
      </c>
      <c r="L337" s="176">
        <f t="shared" si="867"/>
        <v>1.7979685049745995E-3</v>
      </c>
      <c r="M337" s="176">
        <f t="shared" si="867"/>
        <v>3.9772037675825395E-3</v>
      </c>
      <c r="N337" s="176">
        <f>SUM(N176:N330)</f>
        <v>3.8985846599862121E-5</v>
      </c>
      <c r="O337" s="176">
        <f t="shared" si="867"/>
        <v>21.677075911516994</v>
      </c>
      <c r="P337" s="176">
        <f t="shared" si="867"/>
        <v>6.7142722922269549</v>
      </c>
      <c r="Q337" s="176">
        <f t="shared" si="867"/>
        <v>14.196570231937846</v>
      </c>
      <c r="R337" s="176">
        <f t="shared" si="867"/>
        <v>21.07882314511415</v>
      </c>
      <c r="S337" s="176">
        <f t="shared" si="867"/>
        <v>115.86960056212931</v>
      </c>
      <c r="T337" s="176">
        <f t="shared" si="867"/>
        <v>9.7768778238920256E-3</v>
      </c>
      <c r="U337" s="176">
        <f t="shared" si="867"/>
        <v>14.795394632229964</v>
      </c>
      <c r="V337" s="176">
        <f t="shared" si="867"/>
        <v>0.40743812142666957</v>
      </c>
      <c r="W337" s="176">
        <f t="shared" si="867"/>
        <v>0</v>
      </c>
      <c r="X337" s="176">
        <f t="shared" si="867"/>
        <v>5.3175795479723965E-11</v>
      </c>
      <c r="Y337" s="176">
        <f t="shared" si="867"/>
        <v>2.7544220812951496E-9</v>
      </c>
      <c r="Z337" s="176">
        <f t="shared" si="867"/>
        <v>1.2449660489237084E-9</v>
      </c>
      <c r="AA337" s="176">
        <f t="shared" si="867"/>
        <v>5.4566369884121162</v>
      </c>
      <c r="AB337" s="176">
        <f t="shared" si="867"/>
        <v>5.9481456866359657E-6</v>
      </c>
      <c r="AC337" s="176">
        <f t="shared" si="867"/>
        <v>2.3516286044953048</v>
      </c>
      <c r="AD337" s="176">
        <f t="shared" si="867"/>
        <v>18.86390222850487</v>
      </c>
      <c r="AE337" s="176">
        <f t="shared" si="867"/>
        <v>0.40174818476001228</v>
      </c>
      <c r="AF337" s="176">
        <f t="shared" si="867"/>
        <v>5.6942077420713659E-11</v>
      </c>
      <c r="AG337" s="176">
        <f t="shared" si="867"/>
        <v>4.7870433379202423E-2</v>
      </c>
      <c r="AH337" s="176">
        <f t="shared" si="867"/>
        <v>0.2520446427036106</v>
      </c>
      <c r="AI337" s="176">
        <f t="shared" si="867"/>
        <v>0.7678775245912538</v>
      </c>
      <c r="AJ337" s="176">
        <f t="shared" ref="AJ337:BO337" si="868">SUM(AJ176:AJ330)</f>
        <v>0.11729261578268231</v>
      </c>
      <c r="AK337" s="176">
        <f t="shared" si="868"/>
        <v>0.16408214754699493</v>
      </c>
      <c r="AL337" s="176">
        <f t="shared" si="868"/>
        <v>3.0028139431380191E-2</v>
      </c>
      <c r="AM337" s="176">
        <f t="shared" si="868"/>
        <v>8.3878053038652709</v>
      </c>
      <c r="AN337" s="176">
        <f t="shared" si="868"/>
        <v>6.9551404892673148</v>
      </c>
      <c r="AO337" s="176">
        <f t="shared" si="868"/>
        <v>5.5345996894010057</v>
      </c>
      <c r="AP337" s="176">
        <f t="shared" si="868"/>
        <v>1.5564110269210814</v>
      </c>
      <c r="AQ337" s="176">
        <f t="shared" si="868"/>
        <v>0.28439908318194568</v>
      </c>
      <c r="AR337" s="176">
        <f t="shared" si="868"/>
        <v>4.3441709549141602E-2</v>
      </c>
      <c r="AS337" s="176">
        <f t="shared" si="868"/>
        <v>6.0771165758146284E-2</v>
      </c>
      <c r="AT337" s="176">
        <f t="shared" si="868"/>
        <v>1.1121533122733404E-2</v>
      </c>
      <c r="AU337" s="176">
        <f t="shared" si="868"/>
        <v>3.952641979441708</v>
      </c>
      <c r="AV337" s="176">
        <f t="shared" si="868"/>
        <v>0.95274742019323067</v>
      </c>
      <c r="AW337" s="176">
        <f t="shared" si="868"/>
        <v>6.9005987045106743</v>
      </c>
      <c r="AX337" s="176">
        <f t="shared" si="868"/>
        <v>4.4569707110766665E-3</v>
      </c>
      <c r="AY337" s="176">
        <f t="shared" si="868"/>
        <v>1.5651025327729242E-2</v>
      </c>
      <c r="AZ337" s="176">
        <f t="shared" si="868"/>
        <v>0.46310587560573935</v>
      </c>
      <c r="BA337" s="176">
        <f t="shared" si="868"/>
        <v>4.3010542194773871E-3</v>
      </c>
      <c r="BB337" s="176">
        <f t="shared" si="868"/>
        <v>3.9357171086326827E-3</v>
      </c>
      <c r="BC337" s="176">
        <f t="shared" si="868"/>
        <v>1.3951066412865617E-4</v>
      </c>
      <c r="BD337" s="176">
        <f t="shared" si="868"/>
        <v>4.7212709599117686E-3</v>
      </c>
      <c r="BE337" s="176">
        <f t="shared" si="868"/>
        <v>5.4799097962811974E-6</v>
      </c>
      <c r="BF337" s="176">
        <f t="shared" si="868"/>
        <v>2.0847968037838149</v>
      </c>
      <c r="BG337" s="176">
        <f t="shared" si="868"/>
        <v>1.5346467840168343E-3</v>
      </c>
      <c r="BH337" s="176">
        <f t="shared" si="868"/>
        <v>0.76243714908451543</v>
      </c>
      <c r="BI337" s="176">
        <f t="shared" si="868"/>
        <v>8.8639065002209375E-2</v>
      </c>
      <c r="BJ337" s="176">
        <f t="shared" si="868"/>
        <v>191481.33975572971</v>
      </c>
      <c r="BK337" s="176">
        <f t="shared" si="868"/>
        <v>4.5402322176012241E-2</v>
      </c>
      <c r="BL337" s="176">
        <f t="shared" si="868"/>
        <v>6056.0158152359299</v>
      </c>
      <c r="BM337" s="176">
        <f t="shared" si="868"/>
        <v>1.3739851551285009</v>
      </c>
      <c r="BN337" s="176">
        <f t="shared" si="868"/>
        <v>0</v>
      </c>
      <c r="BO337" s="176">
        <f t="shared" si="868"/>
        <v>4.1276279405791845E-12</v>
      </c>
      <c r="BP337" s="176">
        <f t="shared" ref="BP337:CU337" si="869">SUM(BP176:BP330)</f>
        <v>2.7901271377116227E-8</v>
      </c>
      <c r="BQ337" s="176">
        <f t="shared" si="869"/>
        <v>1.8910869976038657E-10</v>
      </c>
      <c r="BR337" s="176">
        <f t="shared" si="869"/>
        <v>0.52072903872102483</v>
      </c>
      <c r="BS337" s="176">
        <f t="shared" si="869"/>
        <v>1.3595482606301483E-9</v>
      </c>
      <c r="BT337" s="176">
        <f t="shared" si="869"/>
        <v>0.12617159551738627</v>
      </c>
      <c r="BU337" s="176">
        <f t="shared" si="869"/>
        <v>7.9247056880312042E-2</v>
      </c>
      <c r="BV337" s="176">
        <f t="shared" si="869"/>
        <v>1418.2163686341737</v>
      </c>
      <c r="BW337" s="176">
        <f t="shared" si="869"/>
        <v>1.3227378995234808E-11</v>
      </c>
      <c r="BX337" s="176">
        <f t="shared" si="869"/>
        <v>42.084500080161952</v>
      </c>
      <c r="BY337" s="176">
        <f t="shared" si="869"/>
        <v>1.0232417300262058</v>
      </c>
      <c r="BZ337" s="176">
        <f t="shared" si="869"/>
        <v>0.42222320945606895</v>
      </c>
      <c r="CA337" s="176">
        <f t="shared" si="869"/>
        <v>9.1011442525020629E-3</v>
      </c>
      <c r="CB337" s="176">
        <f t="shared" si="869"/>
        <v>0.16159960411865032</v>
      </c>
      <c r="CC337" s="176">
        <f t="shared" si="869"/>
        <v>2.5951054421876727E-3</v>
      </c>
      <c r="CD337" s="176">
        <f t="shared" si="869"/>
        <v>0.93836210626263961</v>
      </c>
      <c r="CE337" s="176">
        <f t="shared" si="869"/>
        <v>2.0224765087262418E-2</v>
      </c>
      <c r="CF337" s="176">
        <f t="shared" si="869"/>
        <v>0.3591100967689716</v>
      </c>
      <c r="CG337" s="176">
        <f t="shared" si="869"/>
        <v>5.7669036995746008E-3</v>
      </c>
      <c r="CH337" s="176">
        <f t="shared" si="869"/>
        <v>0.15637896646521068</v>
      </c>
      <c r="CI337" s="176">
        <f t="shared" si="869"/>
        <v>3.3707941675933566E-3</v>
      </c>
      <c r="CJ337" s="176">
        <f t="shared" si="869"/>
        <v>5.9851705229129734E-2</v>
      </c>
      <c r="CK337" s="176">
        <f t="shared" si="869"/>
        <v>9.6115016377321203E-4</v>
      </c>
      <c r="CL337" s="176">
        <f t="shared" si="869"/>
        <v>0.58005468337760369</v>
      </c>
      <c r="CM337" s="176">
        <f t="shared" si="869"/>
        <v>2.2300560370205488E-2</v>
      </c>
      <c r="CN337" s="176">
        <f t="shared" si="869"/>
        <v>4.3956855310658174</v>
      </c>
      <c r="CO337" s="176">
        <f t="shared" si="869"/>
        <v>1.4231751370874767E-4</v>
      </c>
      <c r="CP337" s="176">
        <f t="shared" si="869"/>
        <v>3.699504927448018E-4</v>
      </c>
      <c r="CQ337" s="176">
        <f t="shared" si="869"/>
        <v>0.37320059457305915</v>
      </c>
      <c r="CR337" s="176">
        <f t="shared" si="869"/>
        <v>1.3827234169659514E-4</v>
      </c>
      <c r="CS337" s="176">
        <f t="shared" si="869"/>
        <v>9197834.1265520826</v>
      </c>
      <c r="CT337" s="176">
        <f t="shared" si="869"/>
        <v>1.0406486719110744E-3</v>
      </c>
      <c r="CU337" s="176">
        <f t="shared" si="869"/>
        <v>290867.53203438886</v>
      </c>
      <c r="CV337" s="176">
        <f t="shared" ref="CV337:EA337" si="870">SUM(CV176:CV330)</f>
        <v>21.087571066622196</v>
      </c>
      <c r="CW337" s="176">
        <f t="shared" si="870"/>
        <v>9023012.5808140673</v>
      </c>
      <c r="CX337" s="176">
        <f t="shared" si="870"/>
        <v>4.3313504271393797E-8</v>
      </c>
      <c r="CY337" s="176">
        <f t="shared" si="870"/>
        <v>285354.5152606183</v>
      </c>
      <c r="CZ337" s="176">
        <f t="shared" si="870"/>
        <v>42.180665878955161</v>
      </c>
      <c r="DA337" s="176">
        <f t="shared" si="870"/>
        <v>15118.323949404603</v>
      </c>
      <c r="DB337" s="176">
        <f t="shared" si="870"/>
        <v>4.2407681605215868E-19</v>
      </c>
      <c r="DC337" s="176">
        <f t="shared" si="870"/>
        <v>485.42487068021251</v>
      </c>
      <c r="DD337" s="176">
        <f t="shared" si="870"/>
        <v>21.312626509231592</v>
      </c>
      <c r="DE337" s="176">
        <f t="shared" si="870"/>
        <v>0.25111920811190597</v>
      </c>
      <c r="DF337" s="176">
        <f t="shared" si="870"/>
        <v>8.2277835847486148E-4</v>
      </c>
      <c r="DG337" s="176">
        <f t="shared" si="870"/>
        <v>0.47704029767895639</v>
      </c>
      <c r="DH337" s="176">
        <f t="shared" si="870"/>
        <v>2.5315803507255691E-4</v>
      </c>
      <c r="DI337" s="176">
        <f t="shared" si="870"/>
        <v>2.424973248126527E-2</v>
      </c>
      <c r="DJ337" s="176">
        <f t="shared" si="870"/>
        <v>1.4468283780703684E-4</v>
      </c>
      <c r="DK337" s="176">
        <f t="shared" si="870"/>
        <v>0.80961345337420754</v>
      </c>
      <c r="DL337" s="176">
        <f t="shared" si="870"/>
        <v>1.0985480115577555E-6</v>
      </c>
      <c r="DM337" s="176">
        <f t="shared" si="870"/>
        <v>1.6389063694824346E-6</v>
      </c>
      <c r="DN337" s="176">
        <f t="shared" si="870"/>
        <v>5.5843197860905233E-2</v>
      </c>
      <c r="DO337" s="176">
        <f t="shared" si="870"/>
        <v>1.0324275881576241E-6</v>
      </c>
      <c r="DP337" s="176">
        <f t="shared" si="870"/>
        <v>6751646.2823486608</v>
      </c>
      <c r="DQ337" s="176">
        <f t="shared" si="870"/>
        <v>7.8201161928019837E-6</v>
      </c>
      <c r="DR337" s="176">
        <f t="shared" si="870"/>
        <v>213147.33518114587</v>
      </c>
      <c r="DS337" s="176">
        <f t="shared" si="870"/>
        <v>7.7287443585140103</v>
      </c>
      <c r="DT337" s="176">
        <f t="shared" si="870"/>
        <v>6761588.135241556</v>
      </c>
      <c r="DU337" s="176">
        <f t="shared" si="870"/>
        <v>3.8110933180754634E-10</v>
      </c>
      <c r="DV337" s="176">
        <f t="shared" si="870"/>
        <v>213465.87789083432</v>
      </c>
      <c r="DW337" s="176">
        <f t="shared" si="870"/>
        <v>14.653921726843677</v>
      </c>
      <c r="DX337" s="176">
        <f t="shared" si="870"/>
        <v>9939.903827398206</v>
      </c>
      <c r="DY337" s="176">
        <f t="shared" si="870"/>
        <v>4.0421131597470442E-21</v>
      </c>
      <c r="DZ337" s="176">
        <f t="shared" si="870"/>
        <v>318.62502994901678</v>
      </c>
      <c r="EA337" s="176">
        <f t="shared" si="870"/>
        <v>6.9252505562081419</v>
      </c>
      <c r="EB337" s="176">
        <f t="shared" ref="EB337:FB337" si="871">SUM(EB176:EB330)</f>
        <v>8.8700421135155284E-3</v>
      </c>
      <c r="EC337" s="176">
        <f t="shared" si="871"/>
        <v>3.9691983533470323E-6</v>
      </c>
      <c r="ED337" s="176">
        <f t="shared" si="871"/>
        <v>7.5041923077779682E-2</v>
      </c>
      <c r="EE337" s="176">
        <f t="shared" si="871"/>
        <v>1.3712865621954538E-6</v>
      </c>
      <c r="EF337" s="176">
        <f t="shared" si="871"/>
        <v>4.2001722335089073E-2</v>
      </c>
      <c r="EG337" s="176">
        <f t="shared" si="871"/>
        <v>2.5059811038034201E-4</v>
      </c>
      <c r="EH337" s="176">
        <f t="shared" si="871"/>
        <v>1.4022834055111035</v>
      </c>
      <c r="EI337" s="176">
        <f t="shared" si="871"/>
        <v>1.9444121588957363E-6</v>
      </c>
      <c r="EJ337" s="176">
        <f t="shared" si="871"/>
        <v>5.2979270014008513E-6</v>
      </c>
      <c r="EK337" s="176">
        <f t="shared" si="871"/>
        <v>0.21034356465134463</v>
      </c>
      <c r="EL337" s="176">
        <f t="shared" si="871"/>
        <v>1.9248050444544161E-6</v>
      </c>
      <c r="EM337" s="176">
        <f t="shared" si="871"/>
        <v>17578197.2966142</v>
      </c>
      <c r="EN337" s="176">
        <f t="shared" si="871"/>
        <v>1.7127778831574927E-5</v>
      </c>
      <c r="EO337" s="176">
        <f t="shared" si="871"/>
        <v>556910.84112384391</v>
      </c>
      <c r="EP337" s="176">
        <f t="shared" si="871"/>
        <v>89.204145403133666</v>
      </c>
      <c r="EQ337" s="176">
        <f t="shared" si="871"/>
        <v>17615561.576060601</v>
      </c>
      <c r="ER337" s="176">
        <f t="shared" si="871"/>
        <v>6.2206786352132119E-10</v>
      </c>
      <c r="ES337" s="176">
        <f t="shared" si="871"/>
        <v>558119.35509355192</v>
      </c>
      <c r="ET337" s="176">
        <f t="shared" si="871"/>
        <v>204.65506670181577</v>
      </c>
      <c r="EU337" s="176">
        <f t="shared" si="871"/>
        <v>37362.812550485411</v>
      </c>
      <c r="EV337" s="176">
        <f t="shared" si="871"/>
        <v>5.8259486395393098E-21</v>
      </c>
      <c r="EW337" s="176">
        <f t="shared" si="871"/>
        <v>1202.0430389705659</v>
      </c>
      <c r="EX337" s="176">
        <f t="shared" si="871"/>
        <v>115.4345633914823</v>
      </c>
      <c r="EY337" s="176">
        <f t="shared" si="871"/>
        <v>1.1926916764694458E-2</v>
      </c>
      <c r="EZ337" s="176">
        <f t="shared" si="871"/>
        <v>5.9370622244748006E-6</v>
      </c>
      <c r="FA337" s="176">
        <f t="shared" si="871"/>
        <v>0.13921054993396817</v>
      </c>
      <c r="FB337" s="206">
        <f t="shared" si="871"/>
        <v>1.8551657936545008E-6</v>
      </c>
    </row>
    <row r="338" spans="2:158" ht="12.75" customHeight="1" x14ac:dyDescent="0.2">
      <c r="B338" s="207" t="s">
        <v>4075</v>
      </c>
      <c r="C338" s="176">
        <f>SUM(D338:EY338)</f>
        <v>40.166003600486761</v>
      </c>
      <c r="D338" s="176">
        <f>k.aRG*D168</f>
        <v>1.5339551290628894E-4</v>
      </c>
      <c r="E338" s="176">
        <f>k.aRS*E168</f>
        <v>3.704830120549673E-5</v>
      </c>
      <c r="F338" s="176">
        <f>k.aRA*F168</f>
        <v>2.2494952475187859E-4</v>
      </c>
      <c r="G338" s="176">
        <f>k.aRP*G168</f>
        <v>7.137512484937657E-8</v>
      </c>
      <c r="H338" s="176">
        <v>0</v>
      </c>
      <c r="I338" s="176">
        <v>0</v>
      </c>
      <c r="J338" s="176">
        <v>0</v>
      </c>
      <c r="K338" s="176">
        <f>k.w0RD*K168</f>
        <v>1.2080228059492751E-15</v>
      </c>
      <c r="L338" s="176">
        <f>k.w0RS*L168</f>
        <v>0</v>
      </c>
      <c r="M338" s="176">
        <f>k.w0RA*M168</f>
        <v>0</v>
      </c>
      <c r="N338" s="176">
        <f>k.w0RP*N168</f>
        <v>0</v>
      </c>
      <c r="O338" s="176">
        <f>k.w1RD*O168</f>
        <v>8.9106011457856352E-13</v>
      </c>
      <c r="P338" s="176">
        <f>k.w1RS*P168</f>
        <v>0</v>
      </c>
      <c r="Q338" s="176">
        <f>k.w1RA*Q168</f>
        <v>0</v>
      </c>
      <c r="R338" s="176">
        <f>k.w1RP*R168</f>
        <v>0</v>
      </c>
      <c r="S338" s="176">
        <f>k.w2RD*S168</f>
        <v>3.4206134770398096E-13</v>
      </c>
      <c r="T338" s="176">
        <f>k.w2RS*T168</f>
        <v>0</v>
      </c>
      <c r="U338" s="176">
        <f>k.w2RA*U168</f>
        <v>0</v>
      </c>
      <c r="V338" s="176">
        <f>k.w2RP*V168</f>
        <v>0</v>
      </c>
      <c r="W338" s="176">
        <f>k.sd0RD*W168</f>
        <v>2.3623956570391837E-5</v>
      </c>
      <c r="X338" s="176">
        <f>k.sd0RS*X168</f>
        <v>7.8232060178304165E-16</v>
      </c>
      <c r="Y338" s="176">
        <f>k.sd0RA*Y168</f>
        <v>7.9750662588657864E-5</v>
      </c>
      <c r="Z338" s="176">
        <f>k.sd0RP*Z168</f>
        <v>3.6046351783298136E-5</v>
      </c>
      <c r="AA338" s="176">
        <f>k.sd1RD*AA168</f>
        <v>0.2546120466826487</v>
      </c>
      <c r="AB338" s="176">
        <f>k.sd1RS*AB168</f>
        <v>8.7497140678629016E-11</v>
      </c>
      <c r="AC338" s="176">
        <f>k.sd1RA*AC168</f>
        <v>0.25679019654011592</v>
      </c>
      <c r="AD338" s="176">
        <f>k.sd1RP*AD168</f>
        <v>2.0598767813554923</v>
      </c>
      <c r="AE338" s="176">
        <f>k.sd2RD*AE168</f>
        <v>8.2681652100433066E-3</v>
      </c>
      <c r="AF338" s="176">
        <f>k.sd2RS*AF168</f>
        <v>5.2907273777178756E-18</v>
      </c>
      <c r="AG338" s="176">
        <f>k.sd2RA*AG168</f>
        <v>4.9236400062278186E-3</v>
      </c>
      <c r="AH338" s="176">
        <f>k.sd2RP*AH168</f>
        <v>2.5923665163851278E-2</v>
      </c>
      <c r="AI338" s="176">
        <f>k.s1RD*AI168</f>
        <v>5.147269911496514E-3</v>
      </c>
      <c r="AJ338" s="176">
        <f>k.s1RS*AJ168</f>
        <v>8.6949737337468278E-10</v>
      </c>
      <c r="AK338" s="176">
        <f>k.s1RA*AK168</f>
        <v>1.1054269035991762E-3</v>
      </c>
      <c r="AL338" s="176">
        <f>k.s1RP*AL168</f>
        <v>0</v>
      </c>
      <c r="AM338" s="176">
        <f>k.s2RD*AM168</f>
        <v>5.6225500145653785E-2</v>
      </c>
      <c r="AN338" s="176">
        <f>k.s2RS*AN168</f>
        <v>2.3462102590622338E-8</v>
      </c>
      <c r="AO338" s="176">
        <f>k.s2RA*AO168</f>
        <v>3.7289017622841467E-2</v>
      </c>
      <c r="AP338" s="176">
        <f>k.s2RP*AP168</f>
        <v>0</v>
      </c>
      <c r="AQ338" s="176">
        <f>k.s3RD*AQ168</f>
        <v>1.9063962635172268E-3</v>
      </c>
      <c r="AR338" s="176">
        <f>k.s3RS*AR168</f>
        <v>3.2203606421284542E-10</v>
      </c>
      <c r="AS338" s="176">
        <f>k.s3RA*AS168</f>
        <v>4.0941737170339861E-4</v>
      </c>
      <c r="AT338" s="176">
        <f>k.s3RP*AT168</f>
        <v>0</v>
      </c>
      <c r="AU338" s="176">
        <f>k.aC*AU168</f>
        <v>1.5274919089624313E-4</v>
      </c>
      <c r="AV338" s="176">
        <f>k.aCS*AV168</f>
        <v>5.9112254734870336E-6</v>
      </c>
      <c r="AW338" s="176">
        <f>k.aCA*AW168</f>
        <v>9.7029693238811685E-4</v>
      </c>
      <c r="AX338" s="176">
        <f>k.aCP*AX168</f>
        <v>2.1294740040472905E-8</v>
      </c>
      <c r="AY338" s="176">
        <v>0</v>
      </c>
      <c r="AZ338" s="176">
        <v>0</v>
      </c>
      <c r="BA338" s="176">
        <v>0</v>
      </c>
      <c r="BB338" s="176">
        <f>k.w0C*BB168</f>
        <v>6.4554799031342325E-15</v>
      </c>
      <c r="BC338" s="176">
        <f>k.w0CS*BC168</f>
        <v>0</v>
      </c>
      <c r="BD338" s="176">
        <f>k.w0CA*BD168</f>
        <v>0</v>
      </c>
      <c r="BE338" s="176">
        <f>k.w0CP*BE168</f>
        <v>0</v>
      </c>
      <c r="BF338" s="176">
        <f>k.w1C*BF168</f>
        <v>8.5934861732705566E-14</v>
      </c>
      <c r="BG338" s="176">
        <f>k.w1CS*BG168</f>
        <v>0</v>
      </c>
      <c r="BH338" s="176">
        <f>k.w1CA*BH168</f>
        <v>0</v>
      </c>
      <c r="BI338" s="176">
        <f>k.w1CP*BI168</f>
        <v>0</v>
      </c>
      <c r="BJ338" s="176">
        <f>k.w2C*BJ168</f>
        <v>2.4322672539048052E-8</v>
      </c>
      <c r="BK338" s="176">
        <f>k.w2CS*BK168</f>
        <v>0</v>
      </c>
      <c r="BL338" s="176">
        <f>k.w2CA*BL168</f>
        <v>0</v>
      </c>
      <c r="BM338" s="176">
        <f>k.w2CP*BM168</f>
        <v>0</v>
      </c>
      <c r="BN338" s="176">
        <f>k.sd0CD*BN168</f>
        <v>1.242097781646055E-4</v>
      </c>
      <c r="BO338" s="176">
        <f>k.sd0CS*BO168</f>
        <v>2.700089294448671E-17</v>
      </c>
      <c r="BP338" s="176">
        <f>k.sd0CA*BP168</f>
        <v>8.0194626452992715E-4</v>
      </c>
      <c r="BQ338" s="176">
        <f>k.sd0CP*BQ168</f>
        <v>5.4354159462187214E-6</v>
      </c>
      <c r="BR338" s="176">
        <f>k.sd1C*BR168</f>
        <v>2.4298139907180119E-2</v>
      </c>
      <c r="BS338" s="176">
        <f>k.sd1CS*BS168</f>
        <v>8.8929623478543003E-15</v>
      </c>
      <c r="BT338" s="176">
        <f>k.sd1CA*BT168</f>
        <v>1.391524470475862E-2</v>
      </c>
      <c r="BU338" s="176">
        <f>k.sd1CP*BU168</f>
        <v>8.7400193688563638E-3</v>
      </c>
      <c r="BV338" s="176">
        <f>k.sd2C*BV168</f>
        <v>29.260616264379191</v>
      </c>
      <c r="BW338" s="176">
        <f>k.sd2CS*BW168</f>
        <v>5.4990698510783771E-19</v>
      </c>
      <c r="BX338" s="176">
        <f>k.sd2CA*BX168</f>
        <v>4.4019619947661042</v>
      </c>
      <c r="BY338" s="176">
        <f>k.sd2CP*BY168</f>
        <v>0.10702921974727998</v>
      </c>
      <c r="BZ338" s="176">
        <f>k.s1C*BZ168</f>
        <v>2.8302649216430387E-3</v>
      </c>
      <c r="CA338" s="176">
        <f>k.s1CS*CA168</f>
        <v>6.746734199292204E-11</v>
      </c>
      <c r="CB338" s="176">
        <f>k.s1CA*CB168</f>
        <v>1.0887019256776173E-3</v>
      </c>
      <c r="CC338" s="176">
        <f>k.s1CP*CC168</f>
        <v>0</v>
      </c>
      <c r="CD338" s="176">
        <f>k.s2C*CD168</f>
        <v>6.2900695510938005E-3</v>
      </c>
      <c r="CE338" s="176">
        <f>k.s2CS*CE168</f>
        <v>6.8225151466146059E-11</v>
      </c>
      <c r="CF338" s="176">
        <f>k.s2CA*CF168</f>
        <v>2.4194817111348739E-3</v>
      </c>
      <c r="CG338" s="176">
        <f>k.s2CP*CG168</f>
        <v>0</v>
      </c>
      <c r="CH338" s="176">
        <f>k.s3C*CH168</f>
        <v>1.048246267275199E-3</v>
      </c>
      <c r="CI338" s="176">
        <f>k.s3CS*CI168</f>
        <v>2.4987904441822973E-11</v>
      </c>
      <c r="CJ338" s="176">
        <f>k.s3CA*CJ168</f>
        <v>4.0322293543615444E-4</v>
      </c>
      <c r="CK338" s="176">
        <f>k.s3CP*CK168</f>
        <v>0</v>
      </c>
      <c r="CL338" s="176">
        <f>k.aM*CL168</f>
        <v>2.3419828188810741E-5</v>
      </c>
      <c r="CM338" s="176">
        <f>k.aMS*CM168</f>
        <v>1.397263585515798E-7</v>
      </c>
      <c r="CN338" s="176">
        <f>k.aMA*CN168</f>
        <v>7.819278725540161E-4</v>
      </c>
      <c r="CO338" s="176">
        <f>k.aMP*CO168</f>
        <v>6.8459345568868762E-10</v>
      </c>
      <c r="CP338" s="176">
        <v>0</v>
      </c>
      <c r="CQ338" s="176">
        <v>0</v>
      </c>
      <c r="CR338" s="176">
        <v>0</v>
      </c>
      <c r="CS338" s="176">
        <f>k.w2M*CS168</f>
        <v>1.2702868015722964E-7</v>
      </c>
      <c r="CT338" s="176">
        <f>k.w2MS*CT168</f>
        <v>0</v>
      </c>
      <c r="CU338" s="176">
        <f>k.w2MA*CU168</f>
        <v>0</v>
      </c>
      <c r="CV338" s="176">
        <f>k.w2MP*CV168</f>
        <v>0</v>
      </c>
      <c r="CW338" s="176">
        <f>k.w3M*CW168</f>
        <v>3.8108619129670153E-6</v>
      </c>
      <c r="CX338" s="176">
        <f>k.w3MS*CX168</f>
        <v>0</v>
      </c>
      <c r="CY338" s="176">
        <f>k.w3MA*CY168</f>
        <v>0</v>
      </c>
      <c r="CZ338" s="176">
        <f>k.w3MP*CZ168</f>
        <v>0</v>
      </c>
      <c r="DA338" s="176">
        <f>k.sdM*DA168</f>
        <v>0.99853681895311597</v>
      </c>
      <c r="DB338" s="176">
        <f>k.sdMS*DB168</f>
        <v>5.7599657663592296E-29</v>
      </c>
      <c r="DC338" s="176">
        <f>k.sdMA*DC168</f>
        <v>0.1502229018945774</v>
      </c>
      <c r="DD338" s="176">
        <f>k.sdMP*DD168</f>
        <v>6.5955512265485914E-3</v>
      </c>
      <c r="DE338" s="176">
        <f>k.sM*DE168</f>
        <v>1.683313162214629E-3</v>
      </c>
      <c r="DF338" s="176">
        <f>k.sMS*DF168</f>
        <v>6.0993065658021682E-12</v>
      </c>
      <c r="DG338" s="176">
        <f>k.sMA*DG168</f>
        <v>3.2138364047450321E-3</v>
      </c>
      <c r="DH338" s="176">
        <f>k.sMP*DH168</f>
        <v>0</v>
      </c>
      <c r="DI338" s="176">
        <f>k.aA*DI168</f>
        <v>1.0199877700378265E-6</v>
      </c>
      <c r="DJ338" s="176">
        <f>k.aAS*DJ168</f>
        <v>9.4498232369605905E-10</v>
      </c>
      <c r="DK338" s="176">
        <f>k.aAA*DK168</f>
        <v>1.8756994943913848E-4</v>
      </c>
      <c r="DL338" s="176">
        <f>k.aAP*DL168</f>
        <v>1.4312485437275229E-11</v>
      </c>
      <c r="DM338" s="176">
        <v>0</v>
      </c>
      <c r="DN338" s="176">
        <v>0</v>
      </c>
      <c r="DO338" s="176">
        <v>0</v>
      </c>
      <c r="DP338" s="176">
        <f>k.w2A*DP168</f>
        <v>2.2147171874388606E-8</v>
      </c>
      <c r="DQ338" s="176">
        <f>k.w2AS*DQ168</f>
        <v>0</v>
      </c>
      <c r="DR338" s="176">
        <f>k.w2AA*DR168</f>
        <v>0</v>
      </c>
      <c r="DS338" s="176">
        <f>k.w2AP*DS168</f>
        <v>0</v>
      </c>
      <c r="DT338" s="176">
        <f>k.w3A*DT168</f>
        <v>5.4528983029372789E-7</v>
      </c>
      <c r="DU338" s="176">
        <f>k.w3AS*DU168</f>
        <v>0</v>
      </c>
      <c r="DV338" s="176">
        <f>k.w3AA*DV168</f>
        <v>0</v>
      </c>
      <c r="DW338" s="176">
        <f>k.w3AP*DW168</f>
        <v>0</v>
      </c>
      <c r="DX338" s="176">
        <f>k.sdA*DX168</f>
        <v>0.46510084741985447</v>
      </c>
      <c r="DY338" s="176">
        <f>k.sdAS*DY168</f>
        <v>3.9597281168724125E-31</v>
      </c>
      <c r="DZ338" s="176">
        <f>k.sdAA*DZ168</f>
        <v>6.9850208430286928E-2</v>
      </c>
      <c r="EA338" s="176">
        <f>k.sdAP*EA168</f>
        <v>1.5181801469285096E-3</v>
      </c>
      <c r="EB338" s="176">
        <f>k.sA*EB168</f>
        <v>5.8911886932254439E-5</v>
      </c>
      <c r="EC338" s="176">
        <f>k.sAS*EC168</f>
        <v>1.1168179939453145E-14</v>
      </c>
      <c r="ED338" s="176">
        <f>k.sAA*ED168</f>
        <v>5.0543657809301666E-4</v>
      </c>
      <c r="EE338" s="176">
        <f>k.sAP*EE168</f>
        <v>0</v>
      </c>
      <c r="EF338" s="176">
        <f>k.aT*EF168</f>
        <v>1.8131099006287148E-6</v>
      </c>
      <c r="EG338" s="176">
        <f>k.aTS*EG168</f>
        <v>1.5524420899479171E-9</v>
      </c>
      <c r="EH338" s="176">
        <f>k.aTA*EH168</f>
        <v>3.3181198285224013E-4</v>
      </c>
      <c r="EI338" s="176">
        <f>k.aTP*EI168</f>
        <v>5.1314353449659193E-12</v>
      </c>
      <c r="EJ338" s="176">
        <v>0</v>
      </c>
      <c r="EK338" s="176">
        <v>0</v>
      </c>
      <c r="EL338" s="176">
        <v>0</v>
      </c>
      <c r="EM338" s="176">
        <f>k.w2T*EM168</f>
        <v>7.1974869538397666E-7</v>
      </c>
      <c r="EN338" s="176">
        <f>k.w2TS*EN168</f>
        <v>0</v>
      </c>
      <c r="EO338" s="176">
        <f>k.w2TA*EO168</f>
        <v>0</v>
      </c>
      <c r="EP338" s="176">
        <f>k.w2TP*EP168</f>
        <v>0</v>
      </c>
      <c r="EQ338" s="176">
        <f>k.w3T*EQ168</f>
        <v>2.3189412727974574E-5</v>
      </c>
      <c r="ER338" s="176">
        <f>k.w3TS*ER168</f>
        <v>0</v>
      </c>
      <c r="ES338" s="176">
        <f>k.w3TA*ES168</f>
        <v>0</v>
      </c>
      <c r="ET338" s="176">
        <f>k.w3TP*ET168</f>
        <v>0</v>
      </c>
      <c r="EU338" s="176">
        <f>k.sdT*EU168</f>
        <v>1.7482539223626969</v>
      </c>
      <c r="EV338" s="176">
        <f>k.sdTS*EV168</f>
        <v>3.3283565449093896E-31</v>
      </c>
      <c r="EW338" s="176">
        <f>k.sdTA*EW168</f>
        <v>0.15810990773896025</v>
      </c>
      <c r="EX338" s="176">
        <f>k.sdTP*EX168</f>
        <v>1.5183606223738004E-2</v>
      </c>
      <c r="EY338" s="176">
        <f>k.sT*EY168</f>
        <v>8.013952868909859E-5</v>
      </c>
      <c r="EZ338" s="176">
        <f>k.sTS*EZ168</f>
        <v>7.8976937449693766E-14</v>
      </c>
      <c r="FA338" s="176">
        <f>k.sTA*FA168</f>
        <v>9.3792481774867848E-4</v>
      </c>
      <c r="FB338" s="176">
        <f>k.sTP*FB168</f>
        <v>0</v>
      </c>
    </row>
    <row r="339" spans="2:158" ht="12.75" customHeight="1" x14ac:dyDescent="0.2">
      <c r="B339" s="208" t="s">
        <v>4076</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2">
      <c r="D340" s="402"/>
      <c r="E340" s="402"/>
      <c r="F340" s="402"/>
      <c r="G340" s="402"/>
      <c r="K340"/>
      <c r="L340"/>
      <c r="M340"/>
      <c r="N340"/>
      <c r="BB340"/>
      <c r="BC340"/>
      <c r="BD340"/>
      <c r="BE340"/>
    </row>
    <row r="341" spans="2:158" ht="12.75" customHeight="1" x14ac:dyDescent="0.2">
      <c r="C341" s="402"/>
      <c r="K341"/>
      <c r="L341"/>
      <c r="M341"/>
      <c r="N341"/>
      <c r="BB341"/>
      <c r="BC341"/>
      <c r="BD341"/>
      <c r="BE341"/>
    </row>
    <row r="342" spans="2:158" ht="12.75" customHeight="1" x14ac:dyDescent="0.2">
      <c r="B342" s="32"/>
      <c r="C342" s="402"/>
      <c r="D342" s="402"/>
      <c r="E342" s="402"/>
      <c r="F342" s="402"/>
      <c r="G342" s="402"/>
      <c r="K342"/>
      <c r="L342"/>
      <c r="M342"/>
      <c r="N342"/>
    </row>
    <row r="343" spans="2:158" ht="12.75" customHeight="1" x14ac:dyDescent="0.2">
      <c r="C343" s="402"/>
      <c r="D343" s="402"/>
      <c r="E343" s="402"/>
      <c r="F343" s="402"/>
      <c r="G343" s="402"/>
      <c r="K343"/>
      <c r="L343"/>
      <c r="M343"/>
      <c r="N343"/>
    </row>
    <row r="344" spans="2:158" ht="12.75" customHeight="1" x14ac:dyDescent="0.2">
      <c r="C344" s="402"/>
      <c r="D344" s="402"/>
      <c r="E344" s="402"/>
      <c r="F344" s="402"/>
      <c r="G344" s="402"/>
      <c r="K344"/>
      <c r="L344"/>
      <c r="M344"/>
      <c r="N344"/>
    </row>
    <row r="345" spans="2:158" ht="12.75" customHeight="1" x14ac:dyDescent="0.2">
      <c r="K345"/>
      <c r="L345"/>
      <c r="M345"/>
      <c r="N345"/>
    </row>
    <row r="346" spans="2:158" ht="12.75" customHeight="1" x14ac:dyDescent="0.2">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C329:C331 C176:C326 D331:FB331">
    <cfRule type="cellIs" dxfId="67" priority="293" stopIfTrue="1" operator="lessThan">
      <formula>0</formula>
    </cfRule>
    <cfRule type="cellIs" dxfId="66" priority="305" stopIfTrue="1" operator="equal">
      <formula>0</formula>
    </cfRule>
    <cfRule type="cellIs" dxfId="65" priority="306" stopIfTrue="1" operator="greaterThan">
      <formula>0</formula>
    </cfRule>
  </conditionalFormatting>
  <conditionalFormatting sqref="EY336:FB336 C336:EV336 C335:FB335 C337:FB339">
    <cfRule type="cellIs" dxfId="64" priority="292" stopIfTrue="1" operator="lessThan">
      <formula>0</formula>
    </cfRule>
    <cfRule type="cellIs" dxfId="63" priority="303" stopIfTrue="1" operator="greaterThan">
      <formula>0</formula>
    </cfRule>
    <cfRule type="cellIs" dxfId="62" priority="304" stopIfTrue="1" operator="equal">
      <formula>0</formula>
    </cfRule>
  </conditionalFormatting>
  <conditionalFormatting sqref="D168:FB171 D4:FB5 FC10:FD44 D9:FB163">
    <cfRule type="cellIs" dxfId="61" priority="57" stopIfTrue="1" operator="equal">
      <formula>1E-20</formula>
    </cfRule>
    <cfRule type="cellIs" dxfId="60" priority="302" stopIfTrue="1" operator="equal">
      <formula>0</formula>
    </cfRule>
    <cfRule type="cellIs" dxfId="59" priority="307" stopIfTrue="1" operator="lessThan">
      <formula>0</formula>
    </cfRule>
    <cfRule type="cellIs" dxfId="58" priority="308" stopIfTrue="1" operator="greaterThan">
      <formula>0</formula>
    </cfRule>
  </conditionalFormatting>
  <conditionalFormatting sqref="C327:C328">
    <cfRule type="cellIs" dxfId="57" priority="155" stopIfTrue="1" operator="lessThan">
      <formula>0</formula>
    </cfRule>
    <cfRule type="cellIs" dxfId="56" priority="156" stopIfTrue="1" operator="equal">
      <formula>0</formula>
    </cfRule>
    <cfRule type="cellIs" dxfId="55" priority="157" stopIfTrue="1" operator="greaterThan">
      <formula>0</formula>
    </cfRule>
  </conditionalFormatting>
  <conditionalFormatting sqref="EW336:EX336 K184:L184 N184:N185 M186:N186 O184:O186 N187:O187 O188:P188 P189:Q189 Q190:R190 L185:M185 R222:AX222 R221:AW221 R220:AV220 R219:AU219 R218:AT218 R217:AS217 R216:AR216 R215:AQ215 R214:AP214 R213:AO213 R212:AN212 R211:AM211 R210:AL210 R209:AK209 R208:AJ208 R207:AI207 R206:AH206 R205:AG205 R204:AF204 R203:AE203 R202:AD202 R201:AC201 R200:AB200 R199:AA199 R198:Z198 R197:Y197 R196:X196 R195:W195 R194:V194 R193:U193 R192:T192 R191:S191 R265:CO265 R264:CN264 R263:CM263 R262:CL262 R261:CK261 R260:CJ260 R259:CI259 R258:CH258 R257:CG257 R256:CF256 R255:CE255 R254:CD254 R253:CC253 R252:CB252 R251:CA251 R250:BZ250 R249:BY249 R248:BX248 R247:BW247 R246:BV246 R245:BU245 R244:BT244 R243:BS243 R242:BR242 R241:BQ241 R240:BP240 R239:BO239 R238:BN238 R237:BM237 R236:BL236 R235:BK235 R234:BJ234 R233:BI233 R232:BH232 R231:BG231 R230:BF230 R229:BE229 R228:BD228 R227:BC227 R226:BB226 R225:BA225 R224:AZ224 R223:AY223 R288:DL288 R287:DK287 R286:DJ286 R285:DI285 R284:DH284 R283:DG283 R282:DF282 R281:DE281 R280:DD280 R279:DC279 R278:DB278 R277:DA277 R276:CZ276 R275:CY275 R274:CX274 R273:CW273 R272:CV272 R271:CU271 R270:CT270 R269:CS269 R268:CR268 R267:CQ267 R266:CP266 R306:ED306 R305:EC305 R304:EB304 R303:EA303 R302:DZ302 R301:DY301 R300:DX300 R299:DW299 R298:DV298 R297:DU297 R296:DT296 R295:DS295 R294:DR294 R293:DQ293 R292:DP292 R291:DO291 R290:DN290 R289:DM289 D176:FB176 K177:K182 L177:L183 M177:M184 N177:O183 P177:P187 Q177:Q188 R177:R189 S177:S190 AY177:AY222 AX177:AX221 AW177:AW220 AV177:AV219 AU177:AU218 AT177:AT217 AS177:AS216 AR177:AR215 AQ177:AQ214 AP177:AP213 AO177:AO212 AN177:AN211 AM177:AM210 AL177:AL209 AK177:AK208 AJ177:AJ207 AI177:AI206 AH177:AH205 AG177:AG204 AF177:AF203 AE177:AE202 AD177:AD201 AC177:AC200 AB177:AB199 AA177:AA198 Z177:Z197 Y177:Y196 X177:X195 W177:W194 V177:V193 U177:U192 T177:T191 CP177:CP265 CO177:CO264 CN177:CN263 CM177:CM262 CL177:CL261 CK177:CK260 CJ177:CJ259 CI177:CI258 CH177:CH257 CG177:CG256 CF177:CF255 CE177:CE254 CD177:CD253 CC177:CC252 CB177:CB251 CA177:CA250 BZ177:BZ249 BY177:BY248 BX177:BX247 BW177:BW246 BV177:BV245 BU177:BU244 BT177:BT243 BS177:BS242 BR177:BR241 BQ177:BQ240 BP177:BP239 BO177:BO238 BN177:BN237 BM177:BM236 BL177:BL235 BK177:BK234 BJ177:BJ233 BI177:BI232 BH177:BH231 BG177:BG230 BF177:BF229 BE177:BE228 BD177:BD227 BC177:BC226 BB177:BB225 BA177:BA224 AZ177:AZ223 DM177:DM288 DL177:DL287 DK177:DK286 DJ177:DJ285 DI177:DI284 DH177:DH283 DG177:DG282 DF177:DF281 DE177:DE280 DD177:DD279 DC177:DC278 DB177:DB277 DA177:DA276 CZ177:CZ275 CY177:CY274 CX177:CX273 CW177:CW272 CV177:CV271 CU177:CU270 CT177:CT269 CS177:CS268 CR177:CR267 CQ177:CQ266 ED177:ED305 EC177:EC304 EB177:EB303 EA177:EA302 DZ177:DZ301 DY177:DY300 DX177:DX299 DW177:DW298 DV177:DV297 DU177:DU296 DT177:DT295 DS177:DS294 DR177:DR293 DQ177:DQ292 DP177:DP291 DO177:DO290 DN177:DN289 EE177:FB306 R307:FB330 H177:J181 I182:J182 J183:K183 J184:J330 H182:I330 K185:K330 L186:L330 M187:M330 N188:N330 O189:O330 P190:P330 Q191:Q330 D177:G330">
    <cfRule type="cellIs" dxfId="54" priority="148" stopIfTrue="1" operator="equal">
      <formula>0</formula>
    </cfRule>
    <cfRule type="cellIs" dxfId="53" priority="149" stopIfTrue="1" operator="lessThan">
      <formula>0</formula>
    </cfRule>
    <cfRule type="cellIs" dxfId="52" priority="150" stopIfTrue="1" operator="greaterThan">
      <formula>0</formula>
    </cfRule>
  </conditionalFormatting>
  <conditionalFormatting sqref="B342">
    <cfRule type="cellIs" dxfId="51" priority="14" stopIfTrue="1" operator="lessThan">
      <formula>0</formula>
    </cfRule>
    <cfRule type="cellIs" dxfId="50" priority="15" stopIfTrue="1" operator="greaterThan">
      <formula>0</formula>
    </cfRule>
    <cfRule type="cellIs" dxfId="49" priority="16" stopIfTrue="1" operator="equal">
      <formula>0</formula>
    </cfRule>
  </conditionalFormatting>
  <conditionalFormatting sqref="D9:FB163">
    <cfRule type="cellIs" dxfId="48" priority="2" stopIfTrue="1" operator="equal">
      <formula>1E-21</formula>
    </cfRule>
  </conditionalFormatting>
  <conditionalFormatting sqref="D166:FB166">
    <cfRule type="expression" dxfId="47"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40625" defaultRowHeight="12.75" customHeight="1" x14ac:dyDescent="0.2"/>
  <cols>
    <col min="1" max="1" width="3.140625" style="515" customWidth="1" collapsed="1"/>
    <col min="2" max="2" width="6.42578125" style="515" customWidth="1" collapsed="1"/>
    <col min="3" max="3" width="6.7109375" style="515" customWidth="1" collapsed="1"/>
    <col min="4" max="4" width="58.7109375" style="515" customWidth="1" collapsed="1"/>
    <col min="5" max="5" width="6.140625" style="515" bestFit="1" customWidth="1" collapsed="1"/>
    <col min="6" max="6" width="5.42578125" style="490" customWidth="1" collapsed="1"/>
    <col min="7" max="8" width="9" style="488" customWidth="1" collapsed="1"/>
    <col min="9" max="9" width="11.7109375" style="488" customWidth="1" collapsed="1"/>
    <col min="10" max="14" width="8.85546875" style="488" customWidth="1" collapsed="1"/>
    <col min="15" max="16" width="9.28515625" style="488" customWidth="1" collapsed="1"/>
    <col min="17" max="24" width="8.85546875" style="488" customWidth="1" collapsed="1"/>
    <col min="25" max="26" width="9.28515625" style="488" customWidth="1" collapsed="1"/>
    <col min="27" max="32" width="8.85546875" style="488" customWidth="1" collapsed="1"/>
    <col min="33" max="33" width="12.28515625" style="488" customWidth="1" collapsed="1"/>
    <col min="34" max="34" width="8.85546875" style="488" customWidth="1" collapsed="1"/>
    <col min="35" max="36" width="9.28515625" style="488" customWidth="1" collapsed="1"/>
    <col min="37" max="37" width="8.85546875" style="488" customWidth="1" collapsed="1"/>
    <col min="38" max="38" width="10.85546875" style="488" customWidth="1" collapsed="1"/>
    <col min="39" max="107" width="8.85546875" style="488" customWidth="1" collapsed="1"/>
    <col min="108" max="108" width="9" style="488" customWidth="1" collapsed="1"/>
    <col min="109" max="164" width="8.85546875" style="488" customWidth="1" collapsed="1"/>
    <col min="165" max="165" width="3.85546875" style="488" customWidth="1" collapsed="1"/>
    <col min="166" max="16384" width="12.140625" style="493"/>
  </cols>
  <sheetData>
    <row r="1" spans="1:164" ht="12.75" customHeight="1" thickBot="1" x14ac:dyDescent="0.25">
      <c r="A1" s="489"/>
      <c r="B1" s="489"/>
      <c r="C1" s="489"/>
      <c r="D1" s="489"/>
      <c r="G1" s="491" t="s">
        <v>4077</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2">
      <c r="A2" s="489"/>
      <c r="B2" s="489"/>
      <c r="C2" s="489"/>
      <c r="D2" s="489"/>
      <c r="G2" s="670" t="s">
        <v>4078</v>
      </c>
      <c r="AP2" s="494"/>
    </row>
    <row r="3" spans="1:164" ht="12.75" customHeight="1" x14ac:dyDescent="0.2">
      <c r="A3" s="489"/>
      <c r="B3" s="489"/>
      <c r="C3" s="489"/>
      <c r="D3" s="489"/>
      <c r="G3" s="670"/>
      <c r="AP3" s="494"/>
    </row>
    <row r="4" spans="1:164" ht="12.75" customHeight="1" x14ac:dyDescent="0.2">
      <c r="A4" s="489"/>
      <c r="B4" s="489"/>
      <c r="C4" s="489"/>
      <c r="D4" s="489"/>
      <c r="F4" s="655" t="s">
        <v>62</v>
      </c>
      <c r="G4" s="172" t="s">
        <v>4079</v>
      </c>
      <c r="H4" s="686"/>
      <c r="I4" s="686"/>
      <c r="J4" s="493"/>
      <c r="AP4" s="494"/>
    </row>
    <row r="5" spans="1:164" ht="12.75" customHeight="1" x14ac:dyDescent="0.2">
      <c r="A5" s="489"/>
      <c r="B5" s="489"/>
      <c r="C5" s="489"/>
      <c r="D5" s="489"/>
      <c r="F5" s="655" t="s">
        <v>66</v>
      </c>
      <c r="G5" s="687" t="str">
        <f>ChemName</f>
        <v>nTiO2_10nm</v>
      </c>
      <c r="H5" s="686"/>
      <c r="I5" s="686"/>
      <c r="J5" s="493"/>
      <c r="AP5" s="494"/>
    </row>
    <row r="6" spans="1:164" ht="12.75" customHeight="1" x14ac:dyDescent="0.2">
      <c r="A6" s="489"/>
      <c r="B6" s="489"/>
      <c r="C6" s="489"/>
      <c r="D6" s="489"/>
      <c r="F6" s="655" t="s">
        <v>68</v>
      </c>
      <c r="G6" s="688" t="str">
        <f>ScenarioName</f>
        <v>default scenario</v>
      </c>
      <c r="H6" s="686"/>
      <c r="I6" s="686"/>
      <c r="J6" s="493"/>
      <c r="AP6" s="494"/>
    </row>
    <row r="7" spans="1:164" ht="12.75" customHeight="1" x14ac:dyDescent="0.2">
      <c r="A7" s="489"/>
      <c r="B7" s="489"/>
      <c r="C7" s="489"/>
      <c r="D7" s="489"/>
      <c r="F7" s="655" t="s">
        <v>70</v>
      </c>
      <c r="G7" s="688" t="str">
        <f>CaseName</f>
        <v>defaults only</v>
      </c>
      <c r="H7" s="686"/>
      <c r="I7" s="686"/>
      <c r="J7" s="493"/>
      <c r="AP7" s="494"/>
    </row>
    <row r="8" spans="1:164" ht="12.75" customHeight="1" x14ac:dyDescent="0.2">
      <c r="A8" s="489"/>
      <c r="B8" s="489"/>
      <c r="C8" s="489"/>
      <c r="D8" s="489"/>
      <c r="F8" s="689" t="s">
        <v>4080</v>
      </c>
      <c r="G8" s="686"/>
      <c r="H8" s="292">
        <f>(M.tot/Emis.tot)/(3600*24*365)</f>
        <v>3268586.7821454052</v>
      </c>
      <c r="I8" s="335" t="s">
        <v>4081</v>
      </c>
      <c r="J8" s="493"/>
      <c r="AP8" s="494"/>
    </row>
    <row r="9" spans="1:164" ht="12.75" customHeight="1" x14ac:dyDescent="0.2">
      <c r="A9" s="489"/>
      <c r="B9" s="489"/>
      <c r="C9" s="489"/>
      <c r="D9" s="489"/>
      <c r="F9" s="655" t="s">
        <v>4082</v>
      </c>
      <c r="G9" s="686"/>
      <c r="H9" s="741">
        <v>1</v>
      </c>
      <c r="I9" s="335" t="s">
        <v>4083</v>
      </c>
      <c r="J9" s="493"/>
      <c r="K9" s="23" t="s">
        <v>4084</v>
      </c>
      <c r="AP9" s="494"/>
    </row>
    <row r="10" spans="1:164" ht="12.75" customHeight="1" x14ac:dyDescent="0.2">
      <c r="A10" s="489"/>
      <c r="B10" s="489"/>
      <c r="C10" s="489"/>
      <c r="D10" s="489"/>
      <c r="F10" s="658" t="s">
        <v>4085</v>
      </c>
      <c r="G10" s="690">
        <v>0</v>
      </c>
      <c r="H10" s="690">
        <f>G11</f>
        <v>3268586.7821454052</v>
      </c>
      <c r="I10" s="335" t="s">
        <v>4081</v>
      </c>
      <c r="J10" s="493"/>
      <c r="K10" s="903" t="s">
        <v>4086</v>
      </c>
      <c r="AP10" s="494"/>
    </row>
    <row r="11" spans="1:164" ht="12.75" customHeight="1" x14ac:dyDescent="0.2">
      <c r="A11" s="489"/>
      <c r="B11" s="489"/>
      <c r="C11" s="489"/>
      <c r="D11" s="489"/>
      <c r="F11" s="658" t="s">
        <v>4087</v>
      </c>
      <c r="G11" s="690">
        <f>Scale*(M.tot/Emis.tot)/(3600*24*365)</f>
        <v>3268586.7821454052</v>
      </c>
      <c r="H11" s="690">
        <f>2*Scale*(M.tot/Emis.tot)/(3600*24*365)</f>
        <v>6537173.5642908104</v>
      </c>
      <c r="I11" s="335" t="s">
        <v>4081</v>
      </c>
      <c r="J11" s="493"/>
      <c r="K11" s="493"/>
      <c r="L11" s="493"/>
      <c r="M11" s="493"/>
      <c r="AP11" s="494"/>
    </row>
    <row r="12" spans="1:164" ht="12.75" customHeight="1" x14ac:dyDescent="0.2">
      <c r="A12" s="489"/>
      <c r="B12" s="489"/>
      <c r="C12" s="489"/>
      <c r="D12" s="489"/>
      <c r="F12" s="502"/>
      <c r="G12" s="493"/>
      <c r="H12" s="515"/>
      <c r="I12" s="494"/>
    </row>
    <row r="13" spans="1:164" ht="12.75" customHeight="1" x14ac:dyDescent="0.2">
      <c r="A13" s="489"/>
      <c r="B13" s="489"/>
      <c r="C13" s="489"/>
      <c r="D13" s="489"/>
      <c r="G13" s="747"/>
      <c r="H13" s="504"/>
      <c r="I13" s="495"/>
      <c r="J13" s="496" t="s">
        <v>4088</v>
      </c>
      <c r="K13" s="497" t="s">
        <v>4089</v>
      </c>
      <c r="L13" s="497" t="s">
        <v>4090</v>
      </c>
      <c r="M13" s="497" t="s">
        <v>4091</v>
      </c>
      <c r="N13" s="497" t="s">
        <v>3597</v>
      </c>
      <c r="O13" s="497" t="s">
        <v>3598</v>
      </c>
      <c r="P13" s="497" t="s">
        <v>3599</v>
      </c>
      <c r="Q13" s="498" t="s">
        <v>3600</v>
      </c>
      <c r="R13" s="498" t="s">
        <v>3601</v>
      </c>
      <c r="S13" s="498" t="s">
        <v>3602</v>
      </c>
      <c r="T13" s="498" t="s">
        <v>3603</v>
      </c>
      <c r="U13" s="499" t="s">
        <v>92</v>
      </c>
      <c r="V13" s="498" t="s">
        <v>3605</v>
      </c>
      <c r="W13" s="498" t="s">
        <v>3606</v>
      </c>
      <c r="X13" s="498" t="s">
        <v>3607</v>
      </c>
      <c r="Y13" s="499" t="s">
        <v>93</v>
      </c>
      <c r="Z13" s="498" t="s">
        <v>3609</v>
      </c>
      <c r="AA13" s="498" t="s">
        <v>3610</v>
      </c>
      <c r="AB13" s="498" t="s">
        <v>3611</v>
      </c>
      <c r="AC13" s="498" t="s">
        <v>3612</v>
      </c>
      <c r="AD13" s="498" t="s">
        <v>3613</v>
      </c>
      <c r="AE13" s="498" t="s">
        <v>3614</v>
      </c>
      <c r="AF13" s="498" t="s">
        <v>3615</v>
      </c>
      <c r="AG13" s="498" t="s">
        <v>3616</v>
      </c>
      <c r="AH13" s="498" t="s">
        <v>3617</v>
      </c>
      <c r="AI13" s="498" t="s">
        <v>3618</v>
      </c>
      <c r="AJ13" s="498" t="s">
        <v>3619</v>
      </c>
      <c r="AK13" s="498" t="s">
        <v>3620</v>
      </c>
      <c r="AL13" s="498" t="s">
        <v>3621</v>
      </c>
      <c r="AM13" s="498" t="s">
        <v>3622</v>
      </c>
      <c r="AN13" s="498" t="s">
        <v>3623</v>
      </c>
      <c r="AO13" s="498" t="s">
        <v>3624</v>
      </c>
      <c r="AP13" s="498" t="s">
        <v>3625</v>
      </c>
      <c r="AQ13" s="498" t="s">
        <v>3626</v>
      </c>
      <c r="AR13" s="498" t="s">
        <v>3627</v>
      </c>
      <c r="AS13" s="498" t="s">
        <v>3628</v>
      </c>
      <c r="AT13" s="498" t="s">
        <v>3629</v>
      </c>
      <c r="AU13" s="498" t="s">
        <v>3630</v>
      </c>
      <c r="AV13" s="498" t="s">
        <v>3631</v>
      </c>
      <c r="AW13" s="498" t="s">
        <v>3632</v>
      </c>
      <c r="AX13" s="498" t="s">
        <v>3633</v>
      </c>
      <c r="AY13" s="498" t="s">
        <v>3634</v>
      </c>
      <c r="AZ13" s="498" t="s">
        <v>3635</v>
      </c>
      <c r="BA13" s="498" t="s">
        <v>3636</v>
      </c>
      <c r="BB13" s="498" t="s">
        <v>3637</v>
      </c>
      <c r="BC13" s="498" t="s">
        <v>3638</v>
      </c>
      <c r="BD13" s="498" t="s">
        <v>3639</v>
      </c>
      <c r="BE13" s="498" t="s">
        <v>3640</v>
      </c>
      <c r="BF13" s="498" t="s">
        <v>3641</v>
      </c>
      <c r="BG13" s="498" t="s">
        <v>3642</v>
      </c>
      <c r="BH13" s="498" t="s">
        <v>3643</v>
      </c>
      <c r="BI13" s="498" t="s">
        <v>3644</v>
      </c>
      <c r="BJ13" s="498" t="s">
        <v>3645</v>
      </c>
      <c r="BK13" s="498" t="s">
        <v>3646</v>
      </c>
      <c r="BL13" s="498" t="s">
        <v>3647</v>
      </c>
      <c r="BM13" s="498" t="s">
        <v>3648</v>
      </c>
      <c r="BN13" s="498" t="s">
        <v>3649</v>
      </c>
      <c r="BO13" s="498" t="s">
        <v>3650</v>
      </c>
      <c r="BP13" s="498" t="s">
        <v>3651</v>
      </c>
      <c r="BQ13" s="498" t="s">
        <v>3652</v>
      </c>
      <c r="BR13" s="498" t="s">
        <v>3653</v>
      </c>
      <c r="BS13" s="498" t="s">
        <v>3654</v>
      </c>
      <c r="BT13" s="498" t="s">
        <v>3655</v>
      </c>
      <c r="BU13" s="498" t="s">
        <v>3656</v>
      </c>
      <c r="BV13" s="498" t="s">
        <v>3657</v>
      </c>
      <c r="BW13" s="498" t="s">
        <v>3658</v>
      </c>
      <c r="BX13" s="498" t="s">
        <v>3659</v>
      </c>
      <c r="BY13" s="498" t="s">
        <v>3660</v>
      </c>
      <c r="BZ13" s="498" t="s">
        <v>3661</v>
      </c>
      <c r="CA13" s="498" t="s">
        <v>3662</v>
      </c>
      <c r="CB13" s="498" t="s">
        <v>3663</v>
      </c>
      <c r="CC13" s="498" t="s">
        <v>3664</v>
      </c>
      <c r="CD13" s="498" t="s">
        <v>3665</v>
      </c>
      <c r="CE13" s="498" t="s">
        <v>3666</v>
      </c>
      <c r="CF13" s="498" t="s">
        <v>3667</v>
      </c>
      <c r="CG13" s="498" t="s">
        <v>3668</v>
      </c>
      <c r="CH13" s="498" t="s">
        <v>3669</v>
      </c>
      <c r="CI13" s="498" t="s">
        <v>3670</v>
      </c>
      <c r="CJ13" s="498" t="s">
        <v>3671</v>
      </c>
      <c r="CK13" s="498" t="s">
        <v>3672</v>
      </c>
      <c r="CL13" s="498" t="s">
        <v>3673</v>
      </c>
      <c r="CM13" s="498" t="s">
        <v>3674</v>
      </c>
      <c r="CN13" s="498" t="s">
        <v>3675</v>
      </c>
      <c r="CO13" s="498" t="s">
        <v>3676</v>
      </c>
      <c r="CP13" s="498" t="s">
        <v>3677</v>
      </c>
      <c r="CQ13" s="498" t="s">
        <v>3678</v>
      </c>
      <c r="CR13" s="498" t="s">
        <v>3679</v>
      </c>
      <c r="CS13" s="498" t="s">
        <v>3680</v>
      </c>
      <c r="CT13" s="498" t="s">
        <v>3681</v>
      </c>
      <c r="CU13" s="498" t="s">
        <v>3682</v>
      </c>
      <c r="CV13" s="498" t="s">
        <v>3683</v>
      </c>
      <c r="CW13" s="498" t="s">
        <v>3684</v>
      </c>
      <c r="CX13" s="498" t="s">
        <v>3685</v>
      </c>
      <c r="CY13" s="498" t="s">
        <v>3686</v>
      </c>
      <c r="CZ13" s="498" t="s">
        <v>3687</v>
      </c>
      <c r="DA13" s="498" t="s">
        <v>3688</v>
      </c>
      <c r="DB13" s="498" t="s">
        <v>3689</v>
      </c>
      <c r="DC13" s="498" t="s">
        <v>3690</v>
      </c>
      <c r="DD13" s="498" t="s">
        <v>3691</v>
      </c>
      <c r="DE13" s="498" t="s">
        <v>3692</v>
      </c>
      <c r="DF13" s="498" t="s">
        <v>3693</v>
      </c>
      <c r="DG13" s="498" t="s">
        <v>3694</v>
      </c>
      <c r="DH13" s="498" t="s">
        <v>3695</v>
      </c>
      <c r="DI13" s="498" t="s">
        <v>3696</v>
      </c>
      <c r="DJ13" s="498" t="s">
        <v>3697</v>
      </c>
      <c r="DK13" s="498" t="s">
        <v>3698</v>
      </c>
      <c r="DL13" s="498" t="s">
        <v>3699</v>
      </c>
      <c r="DM13" s="498" t="s">
        <v>3700</v>
      </c>
      <c r="DN13" s="498" t="s">
        <v>3701</v>
      </c>
      <c r="DO13" s="498" t="s">
        <v>3702</v>
      </c>
      <c r="DP13" s="498" t="s">
        <v>3703</v>
      </c>
      <c r="DQ13" s="498" t="s">
        <v>3704</v>
      </c>
      <c r="DR13" s="498" t="s">
        <v>3705</v>
      </c>
      <c r="DS13" s="498" t="s">
        <v>3706</v>
      </c>
      <c r="DT13" s="498" t="s">
        <v>3707</v>
      </c>
      <c r="DU13" s="498" t="s">
        <v>3708</v>
      </c>
      <c r="DV13" s="498" t="s">
        <v>3709</v>
      </c>
      <c r="DW13" s="498" t="s">
        <v>3710</v>
      </c>
      <c r="DX13" s="498" t="s">
        <v>3711</v>
      </c>
      <c r="DY13" s="498" t="s">
        <v>3712</v>
      </c>
      <c r="DZ13" s="498" t="s">
        <v>3713</v>
      </c>
      <c r="EA13" s="498" t="s">
        <v>3714</v>
      </c>
      <c r="EB13" s="498" t="s">
        <v>3715</v>
      </c>
      <c r="EC13" s="498" t="s">
        <v>3716</v>
      </c>
      <c r="ED13" s="498" t="s">
        <v>3717</v>
      </c>
      <c r="EE13" s="498" t="s">
        <v>3718</v>
      </c>
      <c r="EF13" s="498" t="s">
        <v>3719</v>
      </c>
      <c r="EG13" s="498" t="s">
        <v>3720</v>
      </c>
      <c r="EH13" s="498" t="s">
        <v>3721</v>
      </c>
      <c r="EI13" s="498" t="s">
        <v>3722</v>
      </c>
      <c r="EJ13" s="498" t="s">
        <v>3723</v>
      </c>
      <c r="EK13" s="498" t="s">
        <v>3724</v>
      </c>
      <c r="EL13" s="498" t="s">
        <v>3725</v>
      </c>
      <c r="EM13" s="498" t="s">
        <v>3726</v>
      </c>
      <c r="EN13" s="498" t="s">
        <v>3727</v>
      </c>
      <c r="EO13" s="498" t="s">
        <v>3728</v>
      </c>
      <c r="EP13" s="498" t="s">
        <v>3729</v>
      </c>
      <c r="EQ13" s="498" t="s">
        <v>3730</v>
      </c>
      <c r="ER13" s="498" t="s">
        <v>3731</v>
      </c>
      <c r="ES13" s="498" t="s">
        <v>3732</v>
      </c>
      <c r="ET13" s="498" t="s">
        <v>3733</v>
      </c>
      <c r="EU13" s="498" t="s">
        <v>3734</v>
      </c>
      <c r="EV13" s="498" t="s">
        <v>3735</v>
      </c>
      <c r="EW13" s="498" t="s">
        <v>3736</v>
      </c>
      <c r="EX13" s="498" t="s">
        <v>3737</v>
      </c>
      <c r="EY13" s="498" t="s">
        <v>3738</v>
      </c>
      <c r="EZ13" s="498" t="s">
        <v>3739</v>
      </c>
      <c r="FA13" s="498" t="s">
        <v>3740</v>
      </c>
      <c r="FB13" s="498" t="s">
        <v>3741</v>
      </c>
      <c r="FC13" s="498" t="s">
        <v>3742</v>
      </c>
      <c r="FD13" s="498" t="s">
        <v>3743</v>
      </c>
      <c r="FE13" s="498" t="s">
        <v>3744</v>
      </c>
      <c r="FF13" s="498" t="s">
        <v>3745</v>
      </c>
      <c r="FG13" s="498" t="s">
        <v>3746</v>
      </c>
      <c r="FH13" s="500" t="s">
        <v>3747</v>
      </c>
    </row>
    <row r="14" spans="1:164" ht="12.75" customHeight="1" x14ac:dyDescent="0.2">
      <c r="A14" s="489"/>
      <c r="B14" s="489"/>
      <c r="C14" s="489"/>
      <c r="D14" s="489"/>
      <c r="E14" s="493"/>
      <c r="F14" s="672"/>
      <c r="G14" s="501"/>
      <c r="H14" s="502"/>
      <c r="I14" s="494" t="s">
        <v>4092</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2">
      <c r="A15" s="489"/>
      <c r="B15" s="489"/>
      <c r="C15" s="489"/>
      <c r="D15" s="489"/>
      <c r="E15" s="493"/>
      <c r="G15" s="504"/>
      <c r="H15" s="504"/>
      <c r="I15" s="505" t="s">
        <v>4093</v>
      </c>
      <c r="J15" s="15">
        <f t="array" ref="J15:FH15">emis</f>
        <v>6.6944902535023516</v>
      </c>
      <c r="K15" s="15">
        <v>6.6944902535023516</v>
      </c>
      <c r="L15" s="15">
        <v>0</v>
      </c>
      <c r="M15" s="15">
        <v>0</v>
      </c>
      <c r="N15" s="15">
        <v>0</v>
      </c>
      <c r="O15" s="15">
        <v>0</v>
      </c>
      <c r="P15" s="15">
        <v>0</v>
      </c>
      <c r="Q15" s="15">
        <v>0</v>
      </c>
      <c r="R15" s="15">
        <v>0</v>
      </c>
      <c r="S15" s="15">
        <v>0</v>
      </c>
      <c r="T15" s="15">
        <v>0</v>
      </c>
      <c r="U15" s="15">
        <v>6.6944902535023516</v>
      </c>
      <c r="V15" s="15">
        <v>6.6944902535023516</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6.6944902535023516</v>
      </c>
      <c r="AT15" s="15">
        <v>6.6944902535023516</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2">
      <c r="A16" s="489"/>
      <c r="B16" s="489"/>
      <c r="C16" s="489"/>
      <c r="D16" s="489"/>
      <c r="E16" s="490"/>
      <c r="G16" s="504"/>
      <c r="H16" s="504"/>
      <c r="I16" s="505" t="s">
        <v>4094</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2">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2">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2">
      <c r="A19" s="489"/>
      <c r="B19" s="489"/>
      <c r="C19" s="489"/>
      <c r="D19" s="489"/>
      <c r="E19" s="489"/>
      <c r="F19" s="743"/>
      <c r="G19" s="745"/>
      <c r="H19" s="506"/>
      <c r="I19" s="749" t="s">
        <v>4095</v>
      </c>
      <c r="J19" s="748" t="s">
        <v>4088</v>
      </c>
      <c r="K19" s="497" t="s">
        <v>4089</v>
      </c>
      <c r="L19" s="497" t="s">
        <v>4090</v>
      </c>
      <c r="M19" s="497" t="s">
        <v>4091</v>
      </c>
      <c r="N19" s="497" t="s">
        <v>3597</v>
      </c>
      <c r="O19" s="497" t="s">
        <v>3598</v>
      </c>
      <c r="P19" s="497" t="s">
        <v>3599</v>
      </c>
      <c r="Q19" s="498" t="s">
        <v>4096</v>
      </c>
      <c r="R19" s="498" t="s">
        <v>4097</v>
      </c>
      <c r="S19" s="498" t="s">
        <v>4098</v>
      </c>
      <c r="T19" s="498" t="s">
        <v>4099</v>
      </c>
      <c r="U19" s="499" t="s">
        <v>4100</v>
      </c>
      <c r="V19" s="498" t="s">
        <v>4101</v>
      </c>
      <c r="W19" s="498" t="s">
        <v>4102</v>
      </c>
      <c r="X19" s="498" t="s">
        <v>4103</v>
      </c>
      <c r="Y19" s="499" t="s">
        <v>4104</v>
      </c>
      <c r="Z19" s="498" t="s">
        <v>4105</v>
      </c>
      <c r="AA19" s="498" t="s">
        <v>4106</v>
      </c>
      <c r="AB19" s="498" t="s">
        <v>4107</v>
      </c>
      <c r="AC19" s="498" t="s">
        <v>3612</v>
      </c>
      <c r="AD19" s="498" t="s">
        <v>3613</v>
      </c>
      <c r="AE19" s="498" t="s">
        <v>3614</v>
      </c>
      <c r="AF19" s="498" t="s">
        <v>3615</v>
      </c>
      <c r="AG19" s="498" t="s">
        <v>4108</v>
      </c>
      <c r="AH19" s="498" t="s">
        <v>4109</v>
      </c>
      <c r="AI19" s="498" t="s">
        <v>4110</v>
      </c>
      <c r="AJ19" s="498" t="s">
        <v>4111</v>
      </c>
      <c r="AK19" s="498" t="s">
        <v>4112</v>
      </c>
      <c r="AL19" s="498" t="s">
        <v>4113</v>
      </c>
      <c r="AM19" s="498" t="s">
        <v>4114</v>
      </c>
      <c r="AN19" s="498" t="s">
        <v>4115</v>
      </c>
      <c r="AO19" s="498" t="s">
        <v>4116</v>
      </c>
      <c r="AP19" s="498" t="s">
        <v>4117</v>
      </c>
      <c r="AQ19" s="498" t="s">
        <v>4118</v>
      </c>
      <c r="AR19" s="498" t="s">
        <v>4119</v>
      </c>
      <c r="AS19" s="498" t="s">
        <v>4120</v>
      </c>
      <c r="AT19" s="498" t="s">
        <v>4121</v>
      </c>
      <c r="AU19" s="498" t="s">
        <v>4122</v>
      </c>
      <c r="AV19" s="498" t="s">
        <v>4123</v>
      </c>
      <c r="AW19" s="498" t="s">
        <v>4124</v>
      </c>
      <c r="AX19" s="498" t="s">
        <v>4125</v>
      </c>
      <c r="AY19" s="498" t="s">
        <v>4126</v>
      </c>
      <c r="AZ19" s="498" t="s">
        <v>4127</v>
      </c>
      <c r="BA19" s="498" t="s">
        <v>4128</v>
      </c>
      <c r="BB19" s="498" t="s">
        <v>4129</v>
      </c>
      <c r="BC19" s="498" t="s">
        <v>4130</v>
      </c>
      <c r="BD19" s="498" t="s">
        <v>4131</v>
      </c>
      <c r="BE19" s="498" t="s">
        <v>3640</v>
      </c>
      <c r="BF19" s="498" t="s">
        <v>3641</v>
      </c>
      <c r="BG19" s="498" t="s">
        <v>3642</v>
      </c>
      <c r="BH19" s="498" t="s">
        <v>4132</v>
      </c>
      <c r="BI19" s="498" t="s">
        <v>4133</v>
      </c>
      <c r="BJ19" s="498" t="s">
        <v>4134</v>
      </c>
      <c r="BK19" s="498" t="s">
        <v>4135</v>
      </c>
      <c r="BL19" s="498" t="s">
        <v>4136</v>
      </c>
      <c r="BM19" s="498" t="s">
        <v>4137</v>
      </c>
      <c r="BN19" s="498" t="s">
        <v>4138</v>
      </c>
      <c r="BO19" s="498" t="s">
        <v>4139</v>
      </c>
      <c r="BP19" s="498" t="s">
        <v>4140</v>
      </c>
      <c r="BQ19" s="498" t="s">
        <v>4141</v>
      </c>
      <c r="BR19" s="498" t="s">
        <v>4142</v>
      </c>
      <c r="BS19" s="498" t="s">
        <v>4143</v>
      </c>
      <c r="BT19" s="498" t="s">
        <v>3655</v>
      </c>
      <c r="BU19" s="498" t="s">
        <v>3656</v>
      </c>
      <c r="BV19" s="498" t="s">
        <v>3657</v>
      </c>
      <c r="BW19" s="498" t="s">
        <v>3658</v>
      </c>
      <c r="BX19" s="498" t="s">
        <v>4144</v>
      </c>
      <c r="BY19" s="498" t="s">
        <v>4145</v>
      </c>
      <c r="BZ19" s="498" t="s">
        <v>4146</v>
      </c>
      <c r="CA19" s="498" t="s">
        <v>4147</v>
      </c>
      <c r="CB19" s="498" t="s">
        <v>4148</v>
      </c>
      <c r="CC19" s="498" t="s">
        <v>4149</v>
      </c>
      <c r="CD19" s="498" t="s">
        <v>4150</v>
      </c>
      <c r="CE19" s="498" t="s">
        <v>4151</v>
      </c>
      <c r="CF19" s="498" t="s">
        <v>4152</v>
      </c>
      <c r="CG19" s="498" t="s">
        <v>4153</v>
      </c>
      <c r="CH19" s="498" t="s">
        <v>4154</v>
      </c>
      <c r="CI19" s="498" t="s">
        <v>4155</v>
      </c>
      <c r="CJ19" s="498" t="s">
        <v>4156</v>
      </c>
      <c r="CK19" s="498" t="s">
        <v>4157</v>
      </c>
      <c r="CL19" s="498" t="s">
        <v>4158</v>
      </c>
      <c r="CM19" s="498" t="s">
        <v>4159</v>
      </c>
      <c r="CN19" s="498" t="s">
        <v>4160</v>
      </c>
      <c r="CO19" s="498" t="s">
        <v>4161</v>
      </c>
      <c r="CP19" s="498" t="s">
        <v>4162</v>
      </c>
      <c r="CQ19" s="498" t="s">
        <v>4163</v>
      </c>
      <c r="CR19" s="498" t="s">
        <v>4164</v>
      </c>
      <c r="CS19" s="498" t="s">
        <v>4165</v>
      </c>
      <c r="CT19" s="498" t="s">
        <v>4166</v>
      </c>
      <c r="CU19" s="498" t="s">
        <v>4167</v>
      </c>
      <c r="CV19" s="498" t="s">
        <v>3683</v>
      </c>
      <c r="CW19" s="498" t="s">
        <v>3684</v>
      </c>
      <c r="CX19" s="498" t="s">
        <v>3685</v>
      </c>
      <c r="CY19" s="498" t="s">
        <v>4168</v>
      </c>
      <c r="CZ19" s="498" t="s">
        <v>4169</v>
      </c>
      <c r="DA19" s="498" t="s">
        <v>4170</v>
      </c>
      <c r="DB19" s="498" t="s">
        <v>4171</v>
      </c>
      <c r="DC19" s="498" t="s">
        <v>4172</v>
      </c>
      <c r="DD19" s="498" t="s">
        <v>4173</v>
      </c>
      <c r="DE19" s="498" t="s">
        <v>4174</v>
      </c>
      <c r="DF19" s="498" t="s">
        <v>4175</v>
      </c>
      <c r="DG19" s="498" t="s">
        <v>4176</v>
      </c>
      <c r="DH19" s="498" t="s">
        <v>4177</v>
      </c>
      <c r="DI19" s="498" t="s">
        <v>4178</v>
      </c>
      <c r="DJ19" s="498" t="s">
        <v>4179</v>
      </c>
      <c r="DK19" s="498" t="s">
        <v>4180</v>
      </c>
      <c r="DL19" s="498" t="s">
        <v>4181</v>
      </c>
      <c r="DM19" s="498" t="s">
        <v>4182</v>
      </c>
      <c r="DN19" s="498" t="s">
        <v>4183</v>
      </c>
      <c r="DO19" s="498" t="s">
        <v>4184</v>
      </c>
      <c r="DP19" s="498" t="s">
        <v>4185</v>
      </c>
      <c r="DQ19" s="498" t="s">
        <v>4186</v>
      </c>
      <c r="DR19" s="498" t="s">
        <v>4187</v>
      </c>
      <c r="DS19" s="498" t="s">
        <v>3706</v>
      </c>
      <c r="DT19" s="498" t="s">
        <v>3707</v>
      </c>
      <c r="DU19" s="498" t="s">
        <v>3708</v>
      </c>
      <c r="DV19" s="498" t="s">
        <v>4188</v>
      </c>
      <c r="DW19" s="498" t="s">
        <v>4189</v>
      </c>
      <c r="DX19" s="498" t="s">
        <v>4190</v>
      </c>
      <c r="DY19" s="498" t="s">
        <v>4191</v>
      </c>
      <c r="DZ19" s="498" t="s">
        <v>4192</v>
      </c>
      <c r="EA19" s="498" t="s">
        <v>4193</v>
      </c>
      <c r="EB19" s="498" t="s">
        <v>4194</v>
      </c>
      <c r="EC19" s="498" t="s">
        <v>4195</v>
      </c>
      <c r="ED19" s="498" t="s">
        <v>4196</v>
      </c>
      <c r="EE19" s="498" t="s">
        <v>4197</v>
      </c>
      <c r="EF19" s="498" t="s">
        <v>4198</v>
      </c>
      <c r="EG19" s="498" t="s">
        <v>4199</v>
      </c>
      <c r="EH19" s="498" t="s">
        <v>4200</v>
      </c>
      <c r="EI19" s="498" t="s">
        <v>4201</v>
      </c>
      <c r="EJ19" s="498" t="s">
        <v>4202</v>
      </c>
      <c r="EK19" s="498" t="s">
        <v>4203</v>
      </c>
      <c r="EL19" s="498" t="s">
        <v>4204</v>
      </c>
      <c r="EM19" s="498" t="s">
        <v>4205</v>
      </c>
      <c r="EN19" s="498" t="s">
        <v>4206</v>
      </c>
      <c r="EO19" s="498" t="s">
        <v>4207</v>
      </c>
      <c r="EP19" s="498" t="s">
        <v>3729</v>
      </c>
      <c r="EQ19" s="498" t="s">
        <v>3730</v>
      </c>
      <c r="ER19" s="498" t="s">
        <v>3731</v>
      </c>
      <c r="ES19" s="498" t="s">
        <v>4208</v>
      </c>
      <c r="ET19" s="498" t="s">
        <v>4209</v>
      </c>
      <c r="EU19" s="498" t="s">
        <v>4210</v>
      </c>
      <c r="EV19" s="498" t="s">
        <v>4211</v>
      </c>
      <c r="EW19" s="498" t="s">
        <v>4212</v>
      </c>
      <c r="EX19" s="498" t="s">
        <v>4213</v>
      </c>
      <c r="EY19" s="498" t="s">
        <v>4214</v>
      </c>
      <c r="EZ19" s="498" t="s">
        <v>4215</v>
      </c>
      <c r="FA19" s="498" t="s">
        <v>4216</v>
      </c>
      <c r="FB19" s="498" t="s">
        <v>4217</v>
      </c>
      <c r="FC19" s="498" t="s">
        <v>4218</v>
      </c>
      <c r="FD19" s="498" t="s">
        <v>4219</v>
      </c>
      <c r="FE19" s="498" t="s">
        <v>4220</v>
      </c>
      <c r="FF19" s="498" t="s">
        <v>4221</v>
      </c>
      <c r="FG19" s="498" t="s">
        <v>4222</v>
      </c>
      <c r="FH19" s="500" t="s">
        <v>4223</v>
      </c>
    </row>
    <row r="20" spans="1:164" ht="12.75" customHeight="1" x14ac:dyDescent="0.2">
      <c r="A20" s="489"/>
      <c r="B20" s="489"/>
      <c r="C20" s="489"/>
      <c r="D20" s="489"/>
      <c r="E20" s="489"/>
      <c r="F20" s="744"/>
      <c r="G20" s="745"/>
      <c r="H20" s="506"/>
      <c r="I20" s="750">
        <v>0</v>
      </c>
      <c r="J20" s="742">
        <v>0</v>
      </c>
      <c r="K20" s="742">
        <v>0</v>
      </c>
      <c r="L20" s="742">
        <v>0</v>
      </c>
      <c r="M20" s="742">
        <v>0</v>
      </c>
      <c r="N20" s="742">
        <v>0</v>
      </c>
      <c r="O20" s="742">
        <v>0</v>
      </c>
      <c r="P20" s="742">
        <v>0</v>
      </c>
      <c r="Q20" s="742">
        <v>0</v>
      </c>
      <c r="R20" s="742">
        <v>0</v>
      </c>
      <c r="S20" s="742">
        <v>0</v>
      </c>
      <c r="T20" s="742">
        <v>0</v>
      </c>
      <c r="U20" s="742">
        <v>0</v>
      </c>
      <c r="V20" s="742">
        <v>0</v>
      </c>
      <c r="W20" s="742">
        <v>0</v>
      </c>
      <c r="X20" s="742">
        <v>0</v>
      </c>
      <c r="Y20" s="742">
        <v>0</v>
      </c>
      <c r="Z20" s="742">
        <v>0</v>
      </c>
      <c r="AA20" s="742">
        <v>0</v>
      </c>
      <c r="AB20" s="742">
        <v>0</v>
      </c>
      <c r="AC20" s="742">
        <v>0</v>
      </c>
      <c r="AD20" s="742">
        <v>0</v>
      </c>
      <c r="AE20" s="742">
        <v>0</v>
      </c>
      <c r="AF20" s="742">
        <v>0</v>
      </c>
      <c r="AG20" s="742">
        <v>0</v>
      </c>
      <c r="AH20" s="742">
        <v>0</v>
      </c>
      <c r="AI20" s="742">
        <v>0</v>
      </c>
      <c r="AJ20" s="742">
        <v>0</v>
      </c>
      <c r="AK20" s="742">
        <v>0</v>
      </c>
      <c r="AL20" s="742">
        <v>0</v>
      </c>
      <c r="AM20" s="742">
        <v>0</v>
      </c>
      <c r="AN20" s="742">
        <v>0</v>
      </c>
      <c r="AO20" s="742">
        <v>0</v>
      </c>
      <c r="AP20" s="742">
        <v>0</v>
      </c>
      <c r="AQ20" s="742">
        <v>0</v>
      </c>
      <c r="AR20" s="742">
        <v>0</v>
      </c>
      <c r="AS20" s="742">
        <v>0</v>
      </c>
      <c r="AT20" s="742">
        <v>0</v>
      </c>
      <c r="AU20" s="742">
        <v>0</v>
      </c>
      <c r="AV20" s="742">
        <v>0</v>
      </c>
      <c r="AW20" s="742">
        <v>0</v>
      </c>
      <c r="AX20" s="742">
        <v>0</v>
      </c>
      <c r="AY20" s="742">
        <v>0</v>
      </c>
      <c r="AZ20" s="742">
        <v>0</v>
      </c>
      <c r="BA20" s="742">
        <v>0</v>
      </c>
      <c r="BB20" s="742">
        <v>0</v>
      </c>
      <c r="BC20" s="742">
        <v>0</v>
      </c>
      <c r="BD20" s="742">
        <v>0</v>
      </c>
      <c r="BE20" s="742">
        <v>0</v>
      </c>
      <c r="BF20" s="742">
        <v>0</v>
      </c>
      <c r="BG20" s="742">
        <v>0</v>
      </c>
      <c r="BH20" s="742">
        <v>0</v>
      </c>
      <c r="BI20" s="742">
        <v>0</v>
      </c>
      <c r="BJ20" s="742">
        <v>0</v>
      </c>
      <c r="BK20" s="742">
        <v>0</v>
      </c>
      <c r="BL20" s="742">
        <v>0</v>
      </c>
      <c r="BM20" s="742">
        <v>0</v>
      </c>
      <c r="BN20" s="742">
        <v>0</v>
      </c>
      <c r="BO20" s="742">
        <v>0</v>
      </c>
      <c r="BP20" s="742">
        <v>0</v>
      </c>
      <c r="BQ20" s="742">
        <v>0</v>
      </c>
      <c r="BR20" s="742">
        <v>0</v>
      </c>
      <c r="BS20" s="742">
        <v>0</v>
      </c>
      <c r="BT20" s="742">
        <v>0</v>
      </c>
      <c r="BU20" s="742">
        <v>0</v>
      </c>
      <c r="BV20" s="742">
        <v>0</v>
      </c>
      <c r="BW20" s="742">
        <v>0</v>
      </c>
      <c r="BX20" s="742">
        <v>0</v>
      </c>
      <c r="BY20" s="742">
        <v>0</v>
      </c>
      <c r="BZ20" s="742">
        <v>0</v>
      </c>
      <c r="CA20" s="742">
        <v>0</v>
      </c>
      <c r="CB20" s="742">
        <v>0</v>
      </c>
      <c r="CC20" s="742">
        <v>0</v>
      </c>
      <c r="CD20" s="742">
        <v>0</v>
      </c>
      <c r="CE20" s="742">
        <v>0</v>
      </c>
      <c r="CF20" s="742">
        <v>0</v>
      </c>
      <c r="CG20" s="742">
        <v>0</v>
      </c>
      <c r="CH20" s="742">
        <v>0</v>
      </c>
      <c r="CI20" s="742">
        <v>0</v>
      </c>
      <c r="CJ20" s="742">
        <v>0</v>
      </c>
      <c r="CK20" s="742">
        <v>0</v>
      </c>
      <c r="CL20" s="742">
        <v>0</v>
      </c>
      <c r="CM20" s="742">
        <v>0</v>
      </c>
      <c r="CN20" s="742">
        <v>0</v>
      </c>
      <c r="CO20" s="742">
        <v>0</v>
      </c>
      <c r="CP20" s="742">
        <v>0</v>
      </c>
      <c r="CQ20" s="742">
        <v>0</v>
      </c>
      <c r="CR20" s="742">
        <v>0</v>
      </c>
      <c r="CS20" s="742">
        <v>0</v>
      </c>
      <c r="CT20" s="742">
        <v>0</v>
      </c>
      <c r="CU20" s="742">
        <v>0</v>
      </c>
      <c r="CV20" s="742">
        <v>0</v>
      </c>
      <c r="CW20" s="742">
        <v>0</v>
      </c>
      <c r="CX20" s="742">
        <v>0</v>
      </c>
      <c r="CY20" s="742">
        <v>0</v>
      </c>
      <c r="CZ20" s="742">
        <v>0</v>
      </c>
      <c r="DA20" s="742">
        <v>0</v>
      </c>
      <c r="DB20" s="742">
        <v>0</v>
      </c>
      <c r="DC20" s="742">
        <v>0</v>
      </c>
      <c r="DD20" s="742">
        <v>0</v>
      </c>
      <c r="DE20" s="742">
        <v>0</v>
      </c>
      <c r="DF20" s="742">
        <v>0</v>
      </c>
      <c r="DG20" s="742">
        <v>0</v>
      </c>
      <c r="DH20" s="742">
        <v>0</v>
      </c>
      <c r="DI20" s="742">
        <v>0</v>
      </c>
      <c r="DJ20" s="742">
        <v>0</v>
      </c>
      <c r="DK20" s="742">
        <v>0</v>
      </c>
      <c r="DL20" s="742">
        <v>0</v>
      </c>
      <c r="DM20" s="742">
        <v>0</v>
      </c>
      <c r="DN20" s="742">
        <v>0</v>
      </c>
      <c r="DO20" s="742">
        <v>0</v>
      </c>
      <c r="DP20" s="742">
        <v>0</v>
      </c>
      <c r="DQ20" s="742">
        <v>0</v>
      </c>
      <c r="DR20" s="742">
        <v>0</v>
      </c>
      <c r="DS20" s="742">
        <v>0</v>
      </c>
      <c r="DT20" s="742">
        <v>0</v>
      </c>
      <c r="DU20" s="742">
        <v>0</v>
      </c>
      <c r="DV20" s="742">
        <v>0</v>
      </c>
      <c r="DW20" s="742">
        <v>0</v>
      </c>
      <c r="DX20" s="742">
        <v>0</v>
      </c>
      <c r="DY20" s="742">
        <v>0</v>
      </c>
      <c r="DZ20" s="742">
        <v>0</v>
      </c>
      <c r="EA20" s="742">
        <v>0</v>
      </c>
      <c r="EB20" s="742">
        <v>0</v>
      </c>
      <c r="EC20" s="742">
        <v>0</v>
      </c>
      <c r="ED20" s="742">
        <v>0</v>
      </c>
      <c r="EE20" s="742">
        <v>0</v>
      </c>
      <c r="EF20" s="742">
        <v>0</v>
      </c>
      <c r="EG20" s="742">
        <v>0</v>
      </c>
      <c r="EH20" s="742">
        <v>0</v>
      </c>
      <c r="EI20" s="742">
        <v>0</v>
      </c>
      <c r="EJ20" s="742">
        <v>0</v>
      </c>
      <c r="EK20" s="742">
        <v>0</v>
      </c>
      <c r="EL20" s="742">
        <v>0</v>
      </c>
      <c r="EM20" s="742">
        <v>0</v>
      </c>
      <c r="EN20" s="742">
        <v>0</v>
      </c>
      <c r="EO20" s="742">
        <v>0</v>
      </c>
      <c r="EP20" s="742">
        <v>0</v>
      </c>
      <c r="EQ20" s="742">
        <v>0</v>
      </c>
      <c r="ER20" s="742">
        <v>0</v>
      </c>
      <c r="ES20" s="742">
        <v>0</v>
      </c>
      <c r="ET20" s="742">
        <v>0</v>
      </c>
      <c r="EU20" s="742">
        <v>0</v>
      </c>
      <c r="EV20" s="742">
        <v>0</v>
      </c>
      <c r="EW20" s="742">
        <v>0</v>
      </c>
      <c r="EX20" s="742">
        <v>0</v>
      </c>
      <c r="EY20" s="742">
        <v>0</v>
      </c>
      <c r="EZ20" s="742">
        <v>0</v>
      </c>
      <c r="FA20" s="742">
        <v>0</v>
      </c>
      <c r="FB20" s="742">
        <v>0</v>
      </c>
      <c r="FC20" s="742">
        <v>0</v>
      </c>
      <c r="FD20" s="742">
        <v>0</v>
      </c>
      <c r="FE20" s="742">
        <v>0</v>
      </c>
      <c r="FF20" s="742">
        <v>0</v>
      </c>
      <c r="FG20" s="742">
        <v>0</v>
      </c>
      <c r="FH20" s="742">
        <v>0</v>
      </c>
    </row>
    <row r="21" spans="1:164" ht="12.75" customHeight="1" x14ac:dyDescent="0.2">
      <c r="A21" s="489"/>
      <c r="B21" s="489"/>
      <c r="C21" s="489"/>
      <c r="D21" s="489"/>
      <c r="E21" s="489"/>
      <c r="F21" s="743"/>
      <c r="G21" s="745"/>
      <c r="H21" s="506"/>
      <c r="I21" s="750">
        <v>83758.906624272204</v>
      </c>
      <c r="J21" s="742">
        <v>5.4076255099663198E-2</v>
      </c>
      <c r="K21" s="742">
        <v>1</v>
      </c>
      <c r="L21" s="742">
        <v>1</v>
      </c>
      <c r="M21" s="742">
        <v>1</v>
      </c>
      <c r="N21" s="742">
        <v>1</v>
      </c>
      <c r="O21" s="742">
        <v>1</v>
      </c>
      <c r="P21" s="742">
        <v>1</v>
      </c>
      <c r="Q21" s="742">
        <v>1</v>
      </c>
      <c r="R21" s="742">
        <v>1</v>
      </c>
      <c r="S21" s="742">
        <v>1</v>
      </c>
      <c r="T21" s="742">
        <v>1</v>
      </c>
      <c r="U21" s="742">
        <v>0.999999999999999</v>
      </c>
      <c r="V21" s="742">
        <v>1</v>
      </c>
      <c r="W21" s="742">
        <v>1</v>
      </c>
      <c r="X21" s="742">
        <v>1</v>
      </c>
      <c r="Y21" s="742">
        <v>0.18919596427023799</v>
      </c>
      <c r="Z21" s="742">
        <v>1</v>
      </c>
      <c r="AA21" s="742">
        <v>1</v>
      </c>
      <c r="AB21" s="742">
        <v>1</v>
      </c>
      <c r="AC21" s="742">
        <v>1</v>
      </c>
      <c r="AD21" s="742">
        <v>1</v>
      </c>
      <c r="AE21" s="742">
        <v>1</v>
      </c>
      <c r="AF21" s="742">
        <v>1</v>
      </c>
      <c r="AG21" s="742">
        <v>0.999999999999999</v>
      </c>
      <c r="AH21" s="742">
        <v>1</v>
      </c>
      <c r="AI21" s="742">
        <v>1</v>
      </c>
      <c r="AJ21" s="742">
        <v>1</v>
      </c>
      <c r="AK21" s="742">
        <v>0.19204857396493499</v>
      </c>
      <c r="AL21" s="742">
        <v>1</v>
      </c>
      <c r="AM21" s="742">
        <v>1</v>
      </c>
      <c r="AN21" s="742">
        <v>1</v>
      </c>
      <c r="AO21" s="742">
        <v>1</v>
      </c>
      <c r="AP21" s="742">
        <v>1</v>
      </c>
      <c r="AQ21" s="742">
        <v>1</v>
      </c>
      <c r="AR21" s="742">
        <v>1</v>
      </c>
      <c r="AS21" s="742">
        <v>0.999999999999999</v>
      </c>
      <c r="AT21" s="742">
        <v>1</v>
      </c>
      <c r="AU21" s="742">
        <v>1</v>
      </c>
      <c r="AV21" s="742">
        <v>1</v>
      </c>
      <c r="AW21" s="742">
        <v>1</v>
      </c>
      <c r="AX21" s="742">
        <v>1</v>
      </c>
      <c r="AY21" s="742">
        <v>1</v>
      </c>
      <c r="AZ21" s="742">
        <v>1</v>
      </c>
      <c r="BA21" s="742">
        <v>2.0752011463963299E-2</v>
      </c>
      <c r="BB21" s="742">
        <v>1</v>
      </c>
      <c r="BC21" s="742">
        <v>1</v>
      </c>
      <c r="BD21" s="742">
        <v>1</v>
      </c>
      <c r="BE21" s="742">
        <v>1</v>
      </c>
      <c r="BF21" s="742">
        <v>1</v>
      </c>
      <c r="BG21" s="742">
        <v>1</v>
      </c>
      <c r="BH21" s="742">
        <v>0.999999999999996</v>
      </c>
      <c r="BI21" s="742">
        <v>1</v>
      </c>
      <c r="BJ21" s="742">
        <v>1</v>
      </c>
      <c r="BK21" s="742">
        <v>1</v>
      </c>
      <c r="BL21" s="742">
        <v>0.99999999999999101</v>
      </c>
      <c r="BM21" s="742">
        <v>1</v>
      </c>
      <c r="BN21" s="742">
        <v>1</v>
      </c>
      <c r="BO21" s="742">
        <v>1</v>
      </c>
      <c r="BP21" s="742">
        <v>2.0131817151505998E-2</v>
      </c>
      <c r="BQ21" s="742">
        <v>1</v>
      </c>
      <c r="BR21" s="742">
        <v>1</v>
      </c>
      <c r="BS21" s="742">
        <v>1.00000000000001</v>
      </c>
      <c r="BT21" s="742">
        <v>0.999999999999995</v>
      </c>
      <c r="BU21" s="742">
        <v>1</v>
      </c>
      <c r="BV21" s="742">
        <v>1</v>
      </c>
      <c r="BW21" s="742">
        <v>1</v>
      </c>
      <c r="BX21" s="742">
        <v>0.99999999999999101</v>
      </c>
      <c r="BY21" s="742">
        <v>1</v>
      </c>
      <c r="BZ21" s="742">
        <v>1</v>
      </c>
      <c r="CA21" s="742">
        <v>1</v>
      </c>
      <c r="CB21" s="742">
        <v>2.0131948052879201E-2</v>
      </c>
      <c r="CC21" s="742">
        <v>1</v>
      </c>
      <c r="CD21" s="742">
        <v>1</v>
      </c>
      <c r="CE21" s="742">
        <v>1.00000000000001</v>
      </c>
      <c r="CF21" s="742">
        <v>0.99999999999999001</v>
      </c>
      <c r="CG21" s="742">
        <v>1</v>
      </c>
      <c r="CH21" s="742">
        <v>1</v>
      </c>
      <c r="CI21" s="742">
        <v>1</v>
      </c>
      <c r="CJ21" s="742">
        <v>0.99999999999998901</v>
      </c>
      <c r="CK21" s="742">
        <v>1</v>
      </c>
      <c r="CL21" s="742">
        <v>1</v>
      </c>
      <c r="CM21" s="742">
        <v>1</v>
      </c>
      <c r="CN21" s="742">
        <v>0.99999999999999001</v>
      </c>
      <c r="CO21" s="742">
        <v>1</v>
      </c>
      <c r="CP21" s="742">
        <v>1</v>
      </c>
      <c r="CQ21" s="742">
        <v>1</v>
      </c>
      <c r="CR21" s="742">
        <v>1.99978252839863E-2</v>
      </c>
      <c r="CS21" s="742">
        <v>1</v>
      </c>
      <c r="CT21" s="742">
        <v>1</v>
      </c>
      <c r="CU21" s="742">
        <v>1</v>
      </c>
      <c r="CV21" s="742">
        <v>1</v>
      </c>
      <c r="CW21" s="742">
        <v>1</v>
      </c>
      <c r="CX21" s="742">
        <v>1</v>
      </c>
      <c r="CY21" s="742">
        <v>1.9998164849522999E-2</v>
      </c>
      <c r="CZ21" s="742">
        <v>1</v>
      </c>
      <c r="DA21" s="742">
        <v>1</v>
      </c>
      <c r="DB21" s="742">
        <v>1</v>
      </c>
      <c r="DC21" s="742">
        <v>1.99969615814251E-2</v>
      </c>
      <c r="DD21" s="742">
        <v>1</v>
      </c>
      <c r="DE21" s="742">
        <v>0.999999999999999</v>
      </c>
      <c r="DF21" s="742">
        <v>1</v>
      </c>
      <c r="DG21" s="742">
        <v>1.9996795998808901E-2</v>
      </c>
      <c r="DH21" s="742">
        <v>1</v>
      </c>
      <c r="DI21" s="742">
        <v>1</v>
      </c>
      <c r="DJ21" s="742">
        <v>1</v>
      </c>
      <c r="DK21" s="742">
        <v>0.99999999999959299</v>
      </c>
      <c r="DL21" s="742">
        <v>1</v>
      </c>
      <c r="DM21" s="742">
        <v>1</v>
      </c>
      <c r="DN21" s="742">
        <v>1</v>
      </c>
      <c r="DO21" s="742">
        <v>1.9997824461962001E-2</v>
      </c>
      <c r="DP21" s="742">
        <v>1</v>
      </c>
      <c r="DQ21" s="742">
        <v>1</v>
      </c>
      <c r="DR21" s="742">
        <v>1</v>
      </c>
      <c r="DS21" s="742">
        <v>1</v>
      </c>
      <c r="DT21" s="742">
        <v>1</v>
      </c>
      <c r="DU21" s="742">
        <v>1</v>
      </c>
      <c r="DV21" s="742">
        <v>1.9995437357843801E-2</v>
      </c>
      <c r="DW21" s="742">
        <v>1</v>
      </c>
      <c r="DX21" s="742">
        <v>1</v>
      </c>
      <c r="DY21" s="742">
        <v>1</v>
      </c>
      <c r="DZ21" s="742">
        <v>1.9994762499019499E-2</v>
      </c>
      <c r="EA21" s="742">
        <v>1</v>
      </c>
      <c r="EB21" s="742">
        <v>1</v>
      </c>
      <c r="EC21" s="742">
        <v>1.0000000000001401</v>
      </c>
      <c r="ED21" s="742">
        <v>1.9994596761715801E-2</v>
      </c>
      <c r="EE21" s="742">
        <v>1</v>
      </c>
      <c r="EF21" s="742">
        <v>1</v>
      </c>
      <c r="EG21" s="742">
        <v>0.99999999999969102</v>
      </c>
      <c r="EH21" s="742">
        <v>0.99999999999986999</v>
      </c>
      <c r="EI21" s="742">
        <v>1</v>
      </c>
      <c r="EJ21" s="742">
        <v>1</v>
      </c>
      <c r="EK21" s="742">
        <v>1</v>
      </c>
      <c r="EL21" s="742">
        <v>1.9993900444637499E-2</v>
      </c>
      <c r="EM21" s="742">
        <v>1</v>
      </c>
      <c r="EN21" s="742">
        <v>1</v>
      </c>
      <c r="EO21" s="742">
        <v>1</v>
      </c>
      <c r="EP21" s="742">
        <v>1</v>
      </c>
      <c r="EQ21" s="742">
        <v>1</v>
      </c>
      <c r="ER21" s="742">
        <v>1</v>
      </c>
      <c r="ES21" s="742">
        <v>1.99833879703161E-2</v>
      </c>
      <c r="ET21" s="742">
        <v>0.999999999999999</v>
      </c>
      <c r="EU21" s="742">
        <v>0.999999999999999</v>
      </c>
      <c r="EV21" s="742">
        <v>0.999999999999999</v>
      </c>
      <c r="EW21" s="742">
        <v>1.9983341366846499E-2</v>
      </c>
      <c r="EX21" s="742">
        <v>1</v>
      </c>
      <c r="EY21" s="742">
        <v>1</v>
      </c>
      <c r="EZ21" s="742">
        <v>1</v>
      </c>
      <c r="FA21" s="742">
        <v>1.9983175590936899E-2</v>
      </c>
      <c r="FB21" s="742">
        <v>1</v>
      </c>
      <c r="FC21" s="742">
        <v>1</v>
      </c>
      <c r="FD21" s="742">
        <v>1</v>
      </c>
      <c r="FE21" s="742">
        <v>0.99999999997358402</v>
      </c>
      <c r="FF21" s="742">
        <v>1</v>
      </c>
      <c r="FG21" s="742">
        <v>1</v>
      </c>
      <c r="FH21" s="742">
        <v>0.999999999999999</v>
      </c>
    </row>
    <row r="22" spans="1:164" ht="12.75" customHeight="1" x14ac:dyDescent="0.2">
      <c r="A22" s="489"/>
      <c r="B22" s="489"/>
      <c r="C22" s="489"/>
      <c r="D22" s="489"/>
      <c r="E22" s="489"/>
      <c r="F22" s="743"/>
      <c r="G22" s="745"/>
      <c r="H22" s="506"/>
      <c r="I22" s="750">
        <v>167517.813248544</v>
      </c>
      <c r="J22" s="742">
        <v>7.2985394221466507E-2</v>
      </c>
      <c r="K22" s="742">
        <v>0.999999999999999</v>
      </c>
      <c r="L22" s="742">
        <v>0.999999999999998</v>
      </c>
      <c r="M22" s="742">
        <v>0.999999999999999</v>
      </c>
      <c r="N22" s="742">
        <v>0.999999999999998</v>
      </c>
      <c r="O22" s="742">
        <v>0.999999999999999</v>
      </c>
      <c r="P22" s="742">
        <v>1</v>
      </c>
      <c r="Q22" s="742">
        <v>1</v>
      </c>
      <c r="R22" s="742">
        <v>1</v>
      </c>
      <c r="S22" s="742">
        <v>1</v>
      </c>
      <c r="T22" s="742">
        <v>1</v>
      </c>
      <c r="U22" s="742">
        <v>1</v>
      </c>
      <c r="V22" s="742">
        <v>1</v>
      </c>
      <c r="W22" s="742">
        <v>1</v>
      </c>
      <c r="X22" s="742">
        <v>0.999999999999999</v>
      </c>
      <c r="Y22" s="742">
        <v>0.20540404276999999</v>
      </c>
      <c r="Z22" s="742">
        <v>0.999999999999999</v>
      </c>
      <c r="AA22" s="742">
        <v>1</v>
      </c>
      <c r="AB22" s="742">
        <v>0.999999999999999</v>
      </c>
      <c r="AC22" s="742">
        <v>0.999999999999999</v>
      </c>
      <c r="AD22" s="742">
        <v>0.999999999999999</v>
      </c>
      <c r="AE22" s="742">
        <v>1</v>
      </c>
      <c r="AF22" s="742">
        <v>1</v>
      </c>
      <c r="AG22" s="742">
        <v>1</v>
      </c>
      <c r="AH22" s="742">
        <v>1</v>
      </c>
      <c r="AI22" s="742">
        <v>1</v>
      </c>
      <c r="AJ22" s="742">
        <v>0.999999999999999</v>
      </c>
      <c r="AK22" s="742">
        <v>0.20819962842458101</v>
      </c>
      <c r="AL22" s="742">
        <v>0.999999999999998</v>
      </c>
      <c r="AM22" s="742">
        <v>1</v>
      </c>
      <c r="AN22" s="742">
        <v>1</v>
      </c>
      <c r="AO22" s="742">
        <v>0.999999999999996</v>
      </c>
      <c r="AP22" s="742">
        <v>0.999999999999998</v>
      </c>
      <c r="AQ22" s="742">
        <v>0.999999999999997</v>
      </c>
      <c r="AR22" s="742">
        <v>0.999999999999998</v>
      </c>
      <c r="AS22" s="742">
        <v>0.999999999999999</v>
      </c>
      <c r="AT22" s="742">
        <v>0.999999999999999</v>
      </c>
      <c r="AU22" s="742">
        <v>1</v>
      </c>
      <c r="AV22" s="742">
        <v>0.999999999999999</v>
      </c>
      <c r="AW22" s="742">
        <v>1</v>
      </c>
      <c r="AX22" s="742">
        <v>0.999999999999999</v>
      </c>
      <c r="AY22" s="742">
        <v>1</v>
      </c>
      <c r="AZ22" s="742">
        <v>1</v>
      </c>
      <c r="BA22" s="742">
        <v>4.0327306565499099E-2</v>
      </c>
      <c r="BB22" s="742">
        <v>0.999999999999998</v>
      </c>
      <c r="BC22" s="742">
        <v>0.999999999999998</v>
      </c>
      <c r="BD22" s="742">
        <v>0.999999999999998</v>
      </c>
      <c r="BE22" s="742">
        <v>0.999999999999998</v>
      </c>
      <c r="BF22" s="742">
        <v>0.999999999999998</v>
      </c>
      <c r="BG22" s="742">
        <v>0.999999999999999</v>
      </c>
      <c r="BH22" s="742">
        <v>0.99999999999999001</v>
      </c>
      <c r="BI22" s="742">
        <v>1</v>
      </c>
      <c r="BJ22" s="742">
        <v>0.999999999999997</v>
      </c>
      <c r="BK22" s="742">
        <v>1</v>
      </c>
      <c r="BL22" s="742">
        <v>0.99999999999999001</v>
      </c>
      <c r="BM22" s="742">
        <v>0.999999999999996</v>
      </c>
      <c r="BN22" s="742">
        <v>0.999999999999998</v>
      </c>
      <c r="BO22" s="742">
        <v>0.999999999999998</v>
      </c>
      <c r="BP22" s="742">
        <v>3.9719510018295101E-2</v>
      </c>
      <c r="BQ22" s="742">
        <v>0.999999999999998</v>
      </c>
      <c r="BR22" s="742">
        <v>0.999999999999999</v>
      </c>
      <c r="BS22" s="742">
        <v>1.00000000000004</v>
      </c>
      <c r="BT22" s="742">
        <v>0.99999999999999201</v>
      </c>
      <c r="BU22" s="742">
        <v>1</v>
      </c>
      <c r="BV22" s="742">
        <v>0.999999999999996</v>
      </c>
      <c r="BW22" s="742">
        <v>1</v>
      </c>
      <c r="BX22" s="742">
        <v>0.99999999999999001</v>
      </c>
      <c r="BY22" s="742">
        <v>0.999999999999996</v>
      </c>
      <c r="BZ22" s="742">
        <v>0.999999999999998</v>
      </c>
      <c r="CA22" s="742">
        <v>0.999999999999997</v>
      </c>
      <c r="CB22" s="742">
        <v>3.9719638302932798E-2</v>
      </c>
      <c r="CC22" s="742">
        <v>0.999999999999997</v>
      </c>
      <c r="CD22" s="742">
        <v>0.999999999999999</v>
      </c>
      <c r="CE22" s="742">
        <v>1.00000000000003</v>
      </c>
      <c r="CF22" s="742">
        <v>0.99999999999998801</v>
      </c>
      <c r="CG22" s="742">
        <v>0.999999999999998</v>
      </c>
      <c r="CH22" s="742">
        <v>0.999999999999997</v>
      </c>
      <c r="CI22" s="742">
        <v>0.999999999999997</v>
      </c>
      <c r="CJ22" s="742">
        <v>0.99999999999999001</v>
      </c>
      <c r="CK22" s="742">
        <v>0.999999999999998</v>
      </c>
      <c r="CL22" s="742">
        <v>0.999999999999998</v>
      </c>
      <c r="CM22" s="742">
        <v>0.999999999999999</v>
      </c>
      <c r="CN22" s="742">
        <v>0.99999999999998901</v>
      </c>
      <c r="CO22" s="742">
        <v>0.999999999999999</v>
      </c>
      <c r="CP22" s="742">
        <v>0.999999999999998</v>
      </c>
      <c r="CQ22" s="742">
        <v>1</v>
      </c>
      <c r="CR22" s="742">
        <v>3.9588196665695602E-2</v>
      </c>
      <c r="CS22" s="742">
        <v>0.999999999999996</v>
      </c>
      <c r="CT22" s="742">
        <v>0.999999999999997</v>
      </c>
      <c r="CU22" s="742">
        <v>1</v>
      </c>
      <c r="CV22" s="742">
        <v>0.999999999999997</v>
      </c>
      <c r="CW22" s="742">
        <v>0.999999999999997</v>
      </c>
      <c r="CX22" s="742">
        <v>0.999999999999999</v>
      </c>
      <c r="CY22" s="742">
        <v>3.9588529443272902E-2</v>
      </c>
      <c r="CZ22" s="742">
        <v>0.999999999999998</v>
      </c>
      <c r="DA22" s="742">
        <v>0.999999999999997</v>
      </c>
      <c r="DB22" s="742">
        <v>1</v>
      </c>
      <c r="DC22" s="742">
        <v>3.9587350228661299E-2</v>
      </c>
      <c r="DD22" s="742">
        <v>0.999999999999999</v>
      </c>
      <c r="DE22" s="742">
        <v>0.999999999999997</v>
      </c>
      <c r="DF22" s="742">
        <v>1.00000000000001</v>
      </c>
      <c r="DG22" s="742">
        <v>3.9587187956063197E-2</v>
      </c>
      <c r="DH22" s="742">
        <v>0.999999999999998</v>
      </c>
      <c r="DI22" s="742">
        <v>0.999999999999998</v>
      </c>
      <c r="DJ22" s="742">
        <v>1</v>
      </c>
      <c r="DK22" s="742">
        <v>0.99999999999959699</v>
      </c>
      <c r="DL22" s="742">
        <v>0.999999999999997</v>
      </c>
      <c r="DM22" s="742">
        <v>0.999999999999995</v>
      </c>
      <c r="DN22" s="742">
        <v>0.999999999999997</v>
      </c>
      <c r="DO22" s="742">
        <v>3.95881958601038E-2</v>
      </c>
      <c r="DP22" s="742">
        <v>0.999999999999997</v>
      </c>
      <c r="DQ22" s="742">
        <v>0.999999999999996</v>
      </c>
      <c r="DR22" s="742">
        <v>0.999999999999997</v>
      </c>
      <c r="DS22" s="742">
        <v>0.999999999999997</v>
      </c>
      <c r="DT22" s="742">
        <v>0.999999999999997</v>
      </c>
      <c r="DU22" s="742">
        <v>0.999999999999998</v>
      </c>
      <c r="DV22" s="742">
        <v>3.9585856474508303E-2</v>
      </c>
      <c r="DW22" s="742">
        <v>0.999999999999997</v>
      </c>
      <c r="DX22" s="742">
        <v>0.999999999999997</v>
      </c>
      <c r="DY22" s="742">
        <v>1</v>
      </c>
      <c r="DZ22" s="742">
        <v>3.9585195106200101E-2</v>
      </c>
      <c r="EA22" s="742">
        <v>0.999999999999998</v>
      </c>
      <c r="EB22" s="742">
        <v>0.999999999999998</v>
      </c>
      <c r="EC22" s="742">
        <v>1.00000000000031</v>
      </c>
      <c r="ED22" s="742">
        <v>3.95850326820067E-2</v>
      </c>
      <c r="EE22" s="742">
        <v>0.999999999999996</v>
      </c>
      <c r="EF22" s="742">
        <v>0.999999999999997</v>
      </c>
      <c r="EG22" s="742">
        <v>0.99999999999906997</v>
      </c>
      <c r="EH22" s="742">
        <v>0.99999999999988198</v>
      </c>
      <c r="EI22" s="742">
        <v>0.999999999999996</v>
      </c>
      <c r="EJ22" s="742">
        <v>0.999999999999996</v>
      </c>
      <c r="EK22" s="742">
        <v>0.999999999999996</v>
      </c>
      <c r="EL22" s="742">
        <v>3.9584350284397697E-2</v>
      </c>
      <c r="EM22" s="742">
        <v>0.999999999999997</v>
      </c>
      <c r="EN22" s="742">
        <v>0.999999999999996</v>
      </c>
      <c r="EO22" s="742">
        <v>0.999999999999998</v>
      </c>
      <c r="EP22" s="742">
        <v>0.999999999999996</v>
      </c>
      <c r="EQ22" s="742">
        <v>0.999999999999995</v>
      </c>
      <c r="ER22" s="742">
        <v>0.999999999999997</v>
      </c>
      <c r="ES22" s="742">
        <v>3.9574047955810002E-2</v>
      </c>
      <c r="ET22" s="742">
        <v>0.999999999999996</v>
      </c>
      <c r="EU22" s="742">
        <v>0.999999999999995</v>
      </c>
      <c r="EV22" s="742">
        <v>0.999999999999996</v>
      </c>
      <c r="EW22" s="742">
        <v>3.9574002283949902E-2</v>
      </c>
      <c r="EX22" s="742">
        <v>0.999999999999997</v>
      </c>
      <c r="EY22" s="742">
        <v>0.999999999999994</v>
      </c>
      <c r="EZ22" s="742">
        <v>0.999999999999995</v>
      </c>
      <c r="FA22" s="742">
        <v>3.9573839821922398E-2</v>
      </c>
      <c r="FB22" s="742">
        <v>0.999999999999996</v>
      </c>
      <c r="FC22" s="742">
        <v>0.999999999999995</v>
      </c>
      <c r="FD22" s="742">
        <v>0.999999999999996</v>
      </c>
      <c r="FE22" s="742">
        <v>0.99999999997410804</v>
      </c>
      <c r="FF22" s="742">
        <v>0.999999999999997</v>
      </c>
      <c r="FG22" s="742">
        <v>0.999999999999995</v>
      </c>
      <c r="FH22" s="742">
        <v>0.999999999999996</v>
      </c>
    </row>
    <row r="23" spans="1:164" ht="12.75" customHeight="1" x14ac:dyDescent="0.2">
      <c r="A23" s="489"/>
      <c r="B23" s="489"/>
      <c r="C23" s="489"/>
      <c r="D23" s="489"/>
      <c r="E23" s="489"/>
      <c r="F23" s="743"/>
      <c r="G23" s="745"/>
      <c r="H23" s="506"/>
      <c r="I23" s="750">
        <v>251276.71987281699</v>
      </c>
      <c r="J23" s="742">
        <v>9.1516536472099702E-2</v>
      </c>
      <c r="K23" s="742">
        <v>0.999999999999999</v>
      </c>
      <c r="L23" s="742">
        <v>0.999999999999998</v>
      </c>
      <c r="M23" s="742">
        <v>0.999999999999999</v>
      </c>
      <c r="N23" s="742">
        <v>0.999999999999997</v>
      </c>
      <c r="O23" s="742">
        <v>0.999999999999998</v>
      </c>
      <c r="P23" s="742">
        <v>1</v>
      </c>
      <c r="Q23" s="742">
        <v>1</v>
      </c>
      <c r="R23" s="742">
        <v>1</v>
      </c>
      <c r="S23" s="742">
        <v>1</v>
      </c>
      <c r="T23" s="742">
        <v>1</v>
      </c>
      <c r="U23" s="742">
        <v>1</v>
      </c>
      <c r="V23" s="742">
        <v>1</v>
      </c>
      <c r="W23" s="742">
        <v>1</v>
      </c>
      <c r="X23" s="742">
        <v>0.999999999999999</v>
      </c>
      <c r="Y23" s="742">
        <v>0.22128811905469001</v>
      </c>
      <c r="Z23" s="742">
        <v>0.999999999999999</v>
      </c>
      <c r="AA23" s="742">
        <v>1</v>
      </c>
      <c r="AB23" s="742">
        <v>0.999999999999998</v>
      </c>
      <c r="AC23" s="742">
        <v>0.999999999999999</v>
      </c>
      <c r="AD23" s="742">
        <v>0.999999999999998</v>
      </c>
      <c r="AE23" s="742">
        <v>1</v>
      </c>
      <c r="AF23" s="742">
        <v>1</v>
      </c>
      <c r="AG23" s="742">
        <v>1</v>
      </c>
      <c r="AH23" s="742">
        <v>1</v>
      </c>
      <c r="AI23" s="742">
        <v>1</v>
      </c>
      <c r="AJ23" s="742">
        <v>0.999999999999998</v>
      </c>
      <c r="AK23" s="742">
        <v>0.22402782058930501</v>
      </c>
      <c r="AL23" s="742">
        <v>0.999999999999997</v>
      </c>
      <c r="AM23" s="742">
        <v>1</v>
      </c>
      <c r="AN23" s="742">
        <v>0.999999999999999</v>
      </c>
      <c r="AO23" s="742">
        <v>0.999999999999994</v>
      </c>
      <c r="AP23" s="742">
        <v>0.999999999999997</v>
      </c>
      <c r="AQ23" s="742">
        <v>0.999999999999996</v>
      </c>
      <c r="AR23" s="742">
        <v>0.999999999999997</v>
      </c>
      <c r="AS23" s="742">
        <v>0.999999999999999</v>
      </c>
      <c r="AT23" s="742">
        <v>1</v>
      </c>
      <c r="AU23" s="742">
        <v>1</v>
      </c>
      <c r="AV23" s="742">
        <v>0.999999999999998</v>
      </c>
      <c r="AW23" s="742">
        <v>1</v>
      </c>
      <c r="AX23" s="742">
        <v>0.999999999999999</v>
      </c>
      <c r="AY23" s="742">
        <v>1</v>
      </c>
      <c r="AZ23" s="742">
        <v>0.999999999999999</v>
      </c>
      <c r="BA23" s="742">
        <v>5.9511288225796398E-2</v>
      </c>
      <c r="BB23" s="742">
        <v>0.999999999999997</v>
      </c>
      <c r="BC23" s="742">
        <v>0.999999999999998</v>
      </c>
      <c r="BD23" s="742">
        <v>0.999999999999998</v>
      </c>
      <c r="BE23" s="742">
        <v>0.999999999999998</v>
      </c>
      <c r="BF23" s="742">
        <v>0.999999999999998</v>
      </c>
      <c r="BG23" s="742">
        <v>0.999999999999999</v>
      </c>
      <c r="BH23" s="742">
        <v>0.99999999999998801</v>
      </c>
      <c r="BI23" s="742">
        <v>1</v>
      </c>
      <c r="BJ23" s="742">
        <v>0.999999999999996</v>
      </c>
      <c r="BK23" s="742">
        <v>1</v>
      </c>
      <c r="BL23" s="742">
        <v>0.99999999999999001</v>
      </c>
      <c r="BM23" s="742">
        <v>0.999999999999994</v>
      </c>
      <c r="BN23" s="742">
        <v>0.999999999999998</v>
      </c>
      <c r="BO23" s="742">
        <v>0.999999999999997</v>
      </c>
      <c r="BP23" s="742">
        <v>5.8915641610433202E-2</v>
      </c>
      <c r="BQ23" s="742">
        <v>0.999999999999997</v>
      </c>
      <c r="BR23" s="742">
        <v>1</v>
      </c>
      <c r="BS23" s="742">
        <v>1.00000000000006</v>
      </c>
      <c r="BT23" s="742">
        <v>0.99999999999999001</v>
      </c>
      <c r="BU23" s="742">
        <v>1</v>
      </c>
      <c r="BV23" s="742">
        <v>0.999999999999995</v>
      </c>
      <c r="BW23" s="742">
        <v>1</v>
      </c>
      <c r="BX23" s="742">
        <v>0.99999999999998801</v>
      </c>
      <c r="BY23" s="742">
        <v>0.999999999999994</v>
      </c>
      <c r="BZ23" s="742">
        <v>0.999999999999998</v>
      </c>
      <c r="CA23" s="742">
        <v>0.999999999999995</v>
      </c>
      <c r="CB23" s="742">
        <v>5.8915767330644402E-2</v>
      </c>
      <c r="CC23" s="742">
        <v>0.999999999999996</v>
      </c>
      <c r="CD23" s="742">
        <v>0.999999999999999</v>
      </c>
      <c r="CE23" s="742">
        <v>1.00000000000005</v>
      </c>
      <c r="CF23" s="742">
        <v>0.99999999999998701</v>
      </c>
      <c r="CG23" s="742">
        <v>0.999999999999997</v>
      </c>
      <c r="CH23" s="742">
        <v>0.999999999999997</v>
      </c>
      <c r="CI23" s="742">
        <v>0.999999999999996</v>
      </c>
      <c r="CJ23" s="742">
        <v>0.99999999999998901</v>
      </c>
      <c r="CK23" s="742">
        <v>0.999999999999998</v>
      </c>
      <c r="CL23" s="742">
        <v>0.999999999999997</v>
      </c>
      <c r="CM23" s="742">
        <v>0.999999999999998</v>
      </c>
      <c r="CN23" s="742">
        <v>0.99999999999998801</v>
      </c>
      <c r="CO23" s="742">
        <v>0.999999999999999</v>
      </c>
      <c r="CP23" s="742">
        <v>0.999999999999998</v>
      </c>
      <c r="CQ23" s="742">
        <v>0.999999999999999</v>
      </c>
      <c r="CR23" s="742">
        <v>5.8786953228790302E-2</v>
      </c>
      <c r="CS23" s="742">
        <v>0.999999999999995</v>
      </c>
      <c r="CT23" s="742">
        <v>0.999999999999996</v>
      </c>
      <c r="CU23" s="742">
        <v>0.999999999999999</v>
      </c>
      <c r="CV23" s="742">
        <v>0.999999999999995</v>
      </c>
      <c r="CW23" s="742">
        <v>0.999999999999996</v>
      </c>
      <c r="CX23" s="742">
        <v>0.999999999999998</v>
      </c>
      <c r="CY23" s="742">
        <v>5.8787279354100698E-2</v>
      </c>
      <c r="CZ23" s="742">
        <v>0.999999999999997</v>
      </c>
      <c r="DA23" s="742">
        <v>0.999999999999997</v>
      </c>
      <c r="DB23" s="742">
        <v>1</v>
      </c>
      <c r="DC23" s="742">
        <v>5.8786123712142098E-2</v>
      </c>
      <c r="DD23" s="742">
        <v>0.999999999999997</v>
      </c>
      <c r="DE23" s="742">
        <v>0.999999999999995</v>
      </c>
      <c r="DF23" s="742">
        <v>1</v>
      </c>
      <c r="DG23" s="742">
        <v>5.8785964683394303E-2</v>
      </c>
      <c r="DH23" s="742">
        <v>0.999999999999996</v>
      </c>
      <c r="DI23" s="742">
        <v>0.999999999999997</v>
      </c>
      <c r="DJ23" s="742">
        <v>1</v>
      </c>
      <c r="DK23" s="742">
        <v>0.99999999999960199</v>
      </c>
      <c r="DL23" s="742">
        <v>0.999999999999995</v>
      </c>
      <c r="DM23" s="742">
        <v>0.99999999999999301</v>
      </c>
      <c r="DN23" s="742">
        <v>0.999999999999996</v>
      </c>
      <c r="DO23" s="742">
        <v>5.8786952439302299E-2</v>
      </c>
      <c r="DP23" s="742">
        <v>0.999999999999996</v>
      </c>
      <c r="DQ23" s="742">
        <v>0.999999999999994</v>
      </c>
      <c r="DR23" s="742">
        <v>0.999999999999996</v>
      </c>
      <c r="DS23" s="742">
        <v>0.999999999999995</v>
      </c>
      <c r="DT23" s="742">
        <v>0.999999999999995</v>
      </c>
      <c r="DU23" s="742">
        <v>0.999999999999996</v>
      </c>
      <c r="DV23" s="742">
        <v>5.8784659818328498E-2</v>
      </c>
      <c r="DW23" s="742">
        <v>0.999999999999996</v>
      </c>
      <c r="DX23" s="742">
        <v>0.999999999999996</v>
      </c>
      <c r="DY23" s="742">
        <v>1</v>
      </c>
      <c r="DZ23" s="742">
        <v>5.8784011670858602E-2</v>
      </c>
      <c r="EA23" s="742">
        <v>0.999999999999996</v>
      </c>
      <c r="EB23" s="742">
        <v>0.999999999999997</v>
      </c>
      <c r="EC23" s="742">
        <v>1.0000000000007201</v>
      </c>
      <c r="ED23" s="742">
        <v>5.8783852493545903E-2</v>
      </c>
      <c r="EE23" s="742">
        <v>0.999999999999995</v>
      </c>
      <c r="EF23" s="742">
        <v>0.999999999999996</v>
      </c>
      <c r="EG23" s="742">
        <v>0.99999999999784495</v>
      </c>
      <c r="EH23" s="742">
        <v>0.99999999999988398</v>
      </c>
      <c r="EI23" s="742">
        <v>0.999999999999995</v>
      </c>
      <c r="EJ23" s="742">
        <v>0.999999999999995</v>
      </c>
      <c r="EK23" s="742">
        <v>0.999999999999994</v>
      </c>
      <c r="EL23" s="742">
        <v>5.8783183737153501E-2</v>
      </c>
      <c r="EM23" s="742">
        <v>0.999999999999996</v>
      </c>
      <c r="EN23" s="742">
        <v>0.999999999999994</v>
      </c>
      <c r="EO23" s="742">
        <v>0.999999999999996</v>
      </c>
      <c r="EP23" s="742">
        <v>0.999999999999994</v>
      </c>
      <c r="EQ23" s="742">
        <v>0.99999999999999201</v>
      </c>
      <c r="ER23" s="742">
        <v>0.999999999999995</v>
      </c>
      <c r="ES23" s="742">
        <v>5.87730873534512E-2</v>
      </c>
      <c r="ET23" s="742">
        <v>0.999999999999994</v>
      </c>
      <c r="EU23" s="742">
        <v>0.99999999999999301</v>
      </c>
      <c r="EV23" s="742">
        <v>0.999999999999994</v>
      </c>
      <c r="EW23" s="742">
        <v>5.8773042594577399E-2</v>
      </c>
      <c r="EX23" s="742">
        <v>0.999999999999995</v>
      </c>
      <c r="EY23" s="742">
        <v>0.99999999999999201</v>
      </c>
      <c r="EZ23" s="742">
        <v>0.99999999999999301</v>
      </c>
      <c r="FA23" s="742">
        <v>5.8772883380186998E-2</v>
      </c>
      <c r="FB23" s="742">
        <v>0.999999999999995</v>
      </c>
      <c r="FC23" s="742">
        <v>0.99999999999999201</v>
      </c>
      <c r="FD23" s="742">
        <v>0.999999999999994</v>
      </c>
      <c r="FE23" s="742">
        <v>0.99999999997462397</v>
      </c>
      <c r="FF23" s="742">
        <v>0.999999999999995</v>
      </c>
      <c r="FG23" s="742">
        <v>0.99999999999999301</v>
      </c>
      <c r="FH23" s="742">
        <v>0.999999999999994</v>
      </c>
    </row>
    <row r="24" spans="1:164" ht="12.75" customHeight="1" x14ac:dyDescent="0.2">
      <c r="A24" s="489"/>
      <c r="B24" s="489"/>
      <c r="C24" s="489"/>
      <c r="D24" s="489"/>
      <c r="E24" s="489"/>
      <c r="F24" s="746"/>
      <c r="G24" s="745"/>
      <c r="H24" s="506"/>
      <c r="I24" s="750">
        <v>335035.62649708899</v>
      </c>
      <c r="J24" s="742">
        <v>0.10967724345568799</v>
      </c>
      <c r="K24" s="742">
        <v>1</v>
      </c>
      <c r="L24" s="742">
        <v>1</v>
      </c>
      <c r="M24" s="742">
        <v>1</v>
      </c>
      <c r="N24" s="742">
        <v>1</v>
      </c>
      <c r="O24" s="742">
        <v>1</v>
      </c>
      <c r="P24" s="742">
        <v>1</v>
      </c>
      <c r="Q24" s="742">
        <v>1</v>
      </c>
      <c r="R24" s="742">
        <v>1</v>
      </c>
      <c r="S24" s="742">
        <v>1</v>
      </c>
      <c r="T24" s="742">
        <v>1</v>
      </c>
      <c r="U24" s="742">
        <v>1</v>
      </c>
      <c r="V24" s="742">
        <v>1</v>
      </c>
      <c r="W24" s="742">
        <v>1</v>
      </c>
      <c r="X24" s="742">
        <v>1</v>
      </c>
      <c r="Y24" s="742">
        <v>0.236854674597231</v>
      </c>
      <c r="Z24" s="742">
        <v>1</v>
      </c>
      <c r="AA24" s="742">
        <v>1</v>
      </c>
      <c r="AB24" s="742">
        <v>1</v>
      </c>
      <c r="AC24" s="742">
        <v>1</v>
      </c>
      <c r="AD24" s="742">
        <v>1</v>
      </c>
      <c r="AE24" s="742">
        <v>1</v>
      </c>
      <c r="AF24" s="742">
        <v>1</v>
      </c>
      <c r="AG24" s="742">
        <v>1</v>
      </c>
      <c r="AH24" s="742">
        <v>1</v>
      </c>
      <c r="AI24" s="742">
        <v>1</v>
      </c>
      <c r="AJ24" s="742">
        <v>1</v>
      </c>
      <c r="AK24" s="742">
        <v>0.239539609128603</v>
      </c>
      <c r="AL24" s="742">
        <v>1</v>
      </c>
      <c r="AM24" s="742">
        <v>1</v>
      </c>
      <c r="AN24" s="742">
        <v>1</v>
      </c>
      <c r="AO24" s="742">
        <v>0.999999999999999</v>
      </c>
      <c r="AP24" s="742">
        <v>1</v>
      </c>
      <c r="AQ24" s="742">
        <v>1</v>
      </c>
      <c r="AR24" s="742">
        <v>1</v>
      </c>
      <c r="AS24" s="742">
        <v>1</v>
      </c>
      <c r="AT24" s="742">
        <v>1</v>
      </c>
      <c r="AU24" s="742">
        <v>1</v>
      </c>
      <c r="AV24" s="742">
        <v>1</v>
      </c>
      <c r="AW24" s="742">
        <v>1</v>
      </c>
      <c r="AX24" s="742">
        <v>1</v>
      </c>
      <c r="AY24" s="742">
        <v>1</v>
      </c>
      <c r="AZ24" s="742">
        <v>1</v>
      </c>
      <c r="BA24" s="742">
        <v>7.8311784439097906E-2</v>
      </c>
      <c r="BB24" s="742">
        <v>1</v>
      </c>
      <c r="BC24" s="742">
        <v>1</v>
      </c>
      <c r="BD24" s="742">
        <v>1</v>
      </c>
      <c r="BE24" s="742">
        <v>1</v>
      </c>
      <c r="BF24" s="742">
        <v>1</v>
      </c>
      <c r="BG24" s="742">
        <v>1</v>
      </c>
      <c r="BH24" s="742">
        <v>0.999999999999996</v>
      </c>
      <c r="BI24" s="742">
        <v>1</v>
      </c>
      <c r="BJ24" s="742">
        <v>1</v>
      </c>
      <c r="BK24" s="742">
        <v>1</v>
      </c>
      <c r="BL24" s="742">
        <v>0.99999999999999201</v>
      </c>
      <c r="BM24" s="742">
        <v>1</v>
      </c>
      <c r="BN24" s="742">
        <v>1</v>
      </c>
      <c r="BO24" s="742">
        <v>1</v>
      </c>
      <c r="BP24" s="742">
        <v>7.7728044879925698E-2</v>
      </c>
      <c r="BQ24" s="742">
        <v>1</v>
      </c>
      <c r="BR24" s="742">
        <v>1</v>
      </c>
      <c r="BS24" s="742">
        <v>0.99999999999994904</v>
      </c>
      <c r="BT24" s="742">
        <v>0.999999999999996</v>
      </c>
      <c r="BU24" s="742">
        <v>1</v>
      </c>
      <c r="BV24" s="742">
        <v>0.999999999999999</v>
      </c>
      <c r="BW24" s="742">
        <v>1</v>
      </c>
      <c r="BX24" s="742">
        <v>0.99999999999999201</v>
      </c>
      <c r="BY24" s="742">
        <v>0.999999999999999</v>
      </c>
      <c r="BZ24" s="742">
        <v>1</v>
      </c>
      <c r="CA24" s="742">
        <v>1</v>
      </c>
      <c r="CB24" s="742">
        <v>7.7728168086972804E-2</v>
      </c>
      <c r="CC24" s="742">
        <v>1</v>
      </c>
      <c r="CD24" s="742">
        <v>1</v>
      </c>
      <c r="CE24" s="742">
        <v>0.99999999999992295</v>
      </c>
      <c r="CF24" s="742">
        <v>0.99999999999999101</v>
      </c>
      <c r="CG24" s="742">
        <v>1</v>
      </c>
      <c r="CH24" s="742">
        <v>1</v>
      </c>
      <c r="CI24" s="742">
        <v>1</v>
      </c>
      <c r="CJ24" s="742">
        <v>0.99999999999999101</v>
      </c>
      <c r="CK24" s="742">
        <v>1</v>
      </c>
      <c r="CL24" s="742">
        <v>1</v>
      </c>
      <c r="CM24" s="742">
        <v>1</v>
      </c>
      <c r="CN24" s="742">
        <v>0.99999999999999101</v>
      </c>
      <c r="CO24" s="742">
        <v>1</v>
      </c>
      <c r="CP24" s="742">
        <v>1</v>
      </c>
      <c r="CQ24" s="742">
        <v>1</v>
      </c>
      <c r="CR24" s="742">
        <v>7.7601928996389305E-2</v>
      </c>
      <c r="CS24" s="742">
        <v>1</v>
      </c>
      <c r="CT24" s="742">
        <v>1</v>
      </c>
      <c r="CU24" s="742">
        <v>1</v>
      </c>
      <c r="CV24" s="742">
        <v>1</v>
      </c>
      <c r="CW24" s="742">
        <v>1</v>
      </c>
      <c r="CX24" s="742">
        <v>1</v>
      </c>
      <c r="CY24" s="742">
        <v>7.7602248602412299E-2</v>
      </c>
      <c r="CZ24" s="742">
        <v>1</v>
      </c>
      <c r="DA24" s="742">
        <v>1</v>
      </c>
      <c r="DB24" s="742">
        <v>0.99999999999997302</v>
      </c>
      <c r="DC24" s="742">
        <v>7.76011160618926E-2</v>
      </c>
      <c r="DD24" s="742">
        <v>1</v>
      </c>
      <c r="DE24" s="742">
        <v>0.999999999999999</v>
      </c>
      <c r="DF24" s="742">
        <v>0.99999999999997302</v>
      </c>
      <c r="DG24" s="742">
        <v>7.7600960212151002E-2</v>
      </c>
      <c r="DH24" s="742">
        <v>1</v>
      </c>
      <c r="DI24" s="742">
        <v>1</v>
      </c>
      <c r="DJ24" s="742">
        <v>0.99999999999997302</v>
      </c>
      <c r="DK24" s="742">
        <v>0.99999999999961597</v>
      </c>
      <c r="DL24" s="742">
        <v>1</v>
      </c>
      <c r="DM24" s="742">
        <v>1</v>
      </c>
      <c r="DN24" s="742">
        <v>1</v>
      </c>
      <c r="DO24" s="742">
        <v>7.7601928222683303E-2</v>
      </c>
      <c r="DP24" s="742">
        <v>1</v>
      </c>
      <c r="DQ24" s="742">
        <v>1</v>
      </c>
      <c r="DR24" s="742">
        <v>1</v>
      </c>
      <c r="DS24" s="742">
        <v>1</v>
      </c>
      <c r="DT24" s="742">
        <v>1</v>
      </c>
      <c r="DU24" s="742">
        <v>1</v>
      </c>
      <c r="DV24" s="742">
        <v>7.7599681431514106E-2</v>
      </c>
      <c r="DW24" s="742">
        <v>1</v>
      </c>
      <c r="DX24" s="742">
        <v>1</v>
      </c>
      <c r="DY24" s="742">
        <v>0.99999999999997902</v>
      </c>
      <c r="DZ24" s="742">
        <v>7.7599046240599601E-2</v>
      </c>
      <c r="EA24" s="742">
        <v>1</v>
      </c>
      <c r="EB24" s="742">
        <v>1</v>
      </c>
      <c r="EC24" s="742">
        <v>1.00000000000005</v>
      </c>
      <c r="ED24" s="742">
        <v>7.7598890245262897E-2</v>
      </c>
      <c r="EE24" s="742">
        <v>0.999999999999999</v>
      </c>
      <c r="EF24" s="742">
        <v>1</v>
      </c>
      <c r="EG24" s="742">
        <v>0.99999999999976896</v>
      </c>
      <c r="EH24" s="742">
        <v>0.99999999999988898</v>
      </c>
      <c r="EI24" s="742">
        <v>1</v>
      </c>
      <c r="EJ24" s="742">
        <v>1</v>
      </c>
      <c r="EK24" s="742">
        <v>1</v>
      </c>
      <c r="EL24" s="742">
        <v>7.7598234857398807E-2</v>
      </c>
      <c r="EM24" s="742">
        <v>1</v>
      </c>
      <c r="EN24" s="742">
        <v>1</v>
      </c>
      <c r="EO24" s="742">
        <v>1</v>
      </c>
      <c r="EP24" s="742">
        <v>0.999999999999999</v>
      </c>
      <c r="EQ24" s="742">
        <v>0.999999999999999</v>
      </c>
      <c r="ER24" s="742">
        <v>0.999999999999999</v>
      </c>
      <c r="ES24" s="742">
        <v>7.7588340301768602E-2</v>
      </c>
      <c r="ET24" s="742">
        <v>0.999999999999999</v>
      </c>
      <c r="EU24" s="742">
        <v>0.999999999999999</v>
      </c>
      <c r="EV24" s="742">
        <v>0.999999999999999</v>
      </c>
      <c r="EW24" s="742">
        <v>7.7588296437630794E-2</v>
      </c>
      <c r="EX24" s="742">
        <v>0.999999999999999</v>
      </c>
      <c r="EY24" s="742">
        <v>0.999999999999999</v>
      </c>
      <c r="EZ24" s="742">
        <v>0.999999999999997</v>
      </c>
      <c r="FA24" s="742">
        <v>7.7588140405957601E-2</v>
      </c>
      <c r="FB24" s="742">
        <v>0.999999999999999</v>
      </c>
      <c r="FC24" s="742">
        <v>0.999999999999999</v>
      </c>
      <c r="FD24" s="742">
        <v>0.999999999999997</v>
      </c>
      <c r="FE24" s="742">
        <v>0.999999999975136</v>
      </c>
      <c r="FF24" s="742">
        <v>1</v>
      </c>
      <c r="FG24" s="742">
        <v>0.999999999999999</v>
      </c>
      <c r="FH24" s="742">
        <v>0.999999999999999</v>
      </c>
    </row>
    <row r="25" spans="1:164" ht="12.75" customHeight="1" x14ac:dyDescent="0.2">
      <c r="A25" s="489"/>
      <c r="B25" s="489"/>
      <c r="C25" s="489"/>
      <c r="D25" s="489"/>
      <c r="E25" s="489"/>
      <c r="F25" s="744"/>
      <c r="G25" s="745"/>
      <c r="H25" s="506"/>
      <c r="I25" s="750">
        <v>418794.53312136099</v>
      </c>
      <c r="J25" s="742">
        <v>0.127474917081668</v>
      </c>
      <c r="K25" s="742">
        <v>1</v>
      </c>
      <c r="L25" s="742">
        <v>1</v>
      </c>
      <c r="M25" s="742">
        <v>1</v>
      </c>
      <c r="N25" s="742">
        <v>1</v>
      </c>
      <c r="O25" s="742">
        <v>1</v>
      </c>
      <c r="P25" s="742">
        <v>1</v>
      </c>
      <c r="Q25" s="742">
        <v>1</v>
      </c>
      <c r="R25" s="742">
        <v>1</v>
      </c>
      <c r="S25" s="742">
        <v>1</v>
      </c>
      <c r="T25" s="742">
        <v>1</v>
      </c>
      <c r="U25" s="742">
        <v>1</v>
      </c>
      <c r="V25" s="742">
        <v>1</v>
      </c>
      <c r="W25" s="742">
        <v>1</v>
      </c>
      <c r="X25" s="742">
        <v>1</v>
      </c>
      <c r="Y25" s="742">
        <v>0.25211005398731401</v>
      </c>
      <c r="Z25" s="742">
        <v>1</v>
      </c>
      <c r="AA25" s="742">
        <v>1</v>
      </c>
      <c r="AB25" s="742">
        <v>1</v>
      </c>
      <c r="AC25" s="742">
        <v>1</v>
      </c>
      <c r="AD25" s="742">
        <v>1</v>
      </c>
      <c r="AE25" s="742">
        <v>1</v>
      </c>
      <c r="AF25" s="742">
        <v>1</v>
      </c>
      <c r="AG25" s="742">
        <v>1</v>
      </c>
      <c r="AH25" s="742">
        <v>1</v>
      </c>
      <c r="AI25" s="742">
        <v>1</v>
      </c>
      <c r="AJ25" s="742">
        <v>1</v>
      </c>
      <c r="AK25" s="742">
        <v>0.25474131631032698</v>
      </c>
      <c r="AL25" s="742">
        <v>1</v>
      </c>
      <c r="AM25" s="742">
        <v>1</v>
      </c>
      <c r="AN25" s="742">
        <v>1</v>
      </c>
      <c r="AO25" s="742">
        <v>1</v>
      </c>
      <c r="AP25" s="742">
        <v>1</v>
      </c>
      <c r="AQ25" s="742">
        <v>1</v>
      </c>
      <c r="AR25" s="742">
        <v>1</v>
      </c>
      <c r="AS25" s="742">
        <v>1</v>
      </c>
      <c r="AT25" s="742">
        <v>1</v>
      </c>
      <c r="AU25" s="742">
        <v>1</v>
      </c>
      <c r="AV25" s="742">
        <v>1</v>
      </c>
      <c r="AW25" s="742">
        <v>0.999999999999999</v>
      </c>
      <c r="AX25" s="742">
        <v>1</v>
      </c>
      <c r="AY25" s="742">
        <v>1</v>
      </c>
      <c r="AZ25" s="742">
        <v>1</v>
      </c>
      <c r="BA25" s="742">
        <v>9.6736457879026003E-2</v>
      </c>
      <c r="BB25" s="742">
        <v>1</v>
      </c>
      <c r="BC25" s="742">
        <v>1</v>
      </c>
      <c r="BD25" s="742">
        <v>1</v>
      </c>
      <c r="BE25" s="742">
        <v>1</v>
      </c>
      <c r="BF25" s="742">
        <v>1</v>
      </c>
      <c r="BG25" s="742">
        <v>1</v>
      </c>
      <c r="BH25" s="742">
        <v>0.999999999999996</v>
      </c>
      <c r="BI25" s="742">
        <v>1</v>
      </c>
      <c r="BJ25" s="742">
        <v>1</v>
      </c>
      <c r="BK25" s="742">
        <v>1</v>
      </c>
      <c r="BL25" s="742">
        <v>0.99999999999999201</v>
      </c>
      <c r="BM25" s="742">
        <v>1</v>
      </c>
      <c r="BN25" s="742">
        <v>1</v>
      </c>
      <c r="BO25" s="742">
        <v>1</v>
      </c>
      <c r="BP25" s="742">
        <v>9.6164387353444999E-2</v>
      </c>
      <c r="BQ25" s="742">
        <v>1</v>
      </c>
      <c r="BR25" s="742">
        <v>1</v>
      </c>
      <c r="BS25" s="742">
        <v>0.99999999999997402</v>
      </c>
      <c r="BT25" s="742">
        <v>0.999999999999997</v>
      </c>
      <c r="BU25" s="742">
        <v>1</v>
      </c>
      <c r="BV25" s="742">
        <v>1</v>
      </c>
      <c r="BW25" s="742">
        <v>1</v>
      </c>
      <c r="BX25" s="742">
        <v>0.99999999999999201</v>
      </c>
      <c r="BY25" s="742">
        <v>1</v>
      </c>
      <c r="BZ25" s="742">
        <v>1</v>
      </c>
      <c r="CA25" s="742">
        <v>1</v>
      </c>
      <c r="CB25" s="742">
        <v>9.6164508097566603E-2</v>
      </c>
      <c r="CC25" s="742">
        <v>1</v>
      </c>
      <c r="CD25" s="742">
        <v>1</v>
      </c>
      <c r="CE25" s="742">
        <v>0.999999999999999</v>
      </c>
      <c r="CF25" s="742">
        <v>0.99999999999999101</v>
      </c>
      <c r="CG25" s="742">
        <v>1</v>
      </c>
      <c r="CH25" s="742">
        <v>1</v>
      </c>
      <c r="CI25" s="742">
        <v>1</v>
      </c>
      <c r="CJ25" s="742">
        <v>0.99999999999999101</v>
      </c>
      <c r="CK25" s="742">
        <v>1</v>
      </c>
      <c r="CL25" s="742">
        <v>1</v>
      </c>
      <c r="CM25" s="742">
        <v>1</v>
      </c>
      <c r="CN25" s="742">
        <v>0.99999999999999101</v>
      </c>
      <c r="CO25" s="742">
        <v>1</v>
      </c>
      <c r="CP25" s="742">
        <v>1</v>
      </c>
      <c r="CQ25" s="742">
        <v>1</v>
      </c>
      <c r="CR25" s="742">
        <v>9.6040792543666806E-2</v>
      </c>
      <c r="CS25" s="742">
        <v>1</v>
      </c>
      <c r="CT25" s="742">
        <v>1</v>
      </c>
      <c r="CU25" s="742">
        <v>1</v>
      </c>
      <c r="CV25" s="742">
        <v>1</v>
      </c>
      <c r="CW25" s="742">
        <v>1</v>
      </c>
      <c r="CX25" s="742">
        <v>1</v>
      </c>
      <c r="CY25" s="742">
        <v>9.6041105760717602E-2</v>
      </c>
      <c r="CZ25" s="742">
        <v>1</v>
      </c>
      <c r="DA25" s="742">
        <v>1</v>
      </c>
      <c r="DB25" s="742">
        <v>1.0000000000000799</v>
      </c>
      <c r="DC25" s="742">
        <v>9.6039995859837302E-2</v>
      </c>
      <c r="DD25" s="742">
        <v>1</v>
      </c>
      <c r="DE25" s="742">
        <v>1</v>
      </c>
      <c r="DF25" s="742">
        <v>1.0000000000000799</v>
      </c>
      <c r="DG25" s="742">
        <v>9.6039843125552998E-2</v>
      </c>
      <c r="DH25" s="742">
        <v>1</v>
      </c>
      <c r="DI25" s="742">
        <v>1</v>
      </c>
      <c r="DJ25" s="742">
        <v>1.0000000000000799</v>
      </c>
      <c r="DK25" s="742">
        <v>0.99999999999962497</v>
      </c>
      <c r="DL25" s="742">
        <v>1</v>
      </c>
      <c r="DM25" s="742">
        <v>1</v>
      </c>
      <c r="DN25" s="742">
        <v>1</v>
      </c>
      <c r="DO25" s="742">
        <v>9.6040791785427307E-2</v>
      </c>
      <c r="DP25" s="742">
        <v>1</v>
      </c>
      <c r="DQ25" s="742">
        <v>1</v>
      </c>
      <c r="DR25" s="742">
        <v>1</v>
      </c>
      <c r="DS25" s="742">
        <v>1</v>
      </c>
      <c r="DT25" s="742">
        <v>1</v>
      </c>
      <c r="DU25" s="742">
        <v>1</v>
      </c>
      <c r="DV25" s="742">
        <v>9.6038589907915001E-2</v>
      </c>
      <c r="DW25" s="742">
        <v>1</v>
      </c>
      <c r="DX25" s="742">
        <v>1</v>
      </c>
      <c r="DY25" s="742">
        <v>1.00000000000006</v>
      </c>
      <c r="DZ25" s="742">
        <v>9.6037967414553504E-2</v>
      </c>
      <c r="EA25" s="742">
        <v>1</v>
      </c>
      <c r="EB25" s="742">
        <v>1</v>
      </c>
      <c r="EC25" s="742">
        <v>1.00000000000006</v>
      </c>
      <c r="ED25" s="742">
        <v>9.6037814537585003E-2</v>
      </c>
      <c r="EE25" s="742">
        <v>1</v>
      </c>
      <c r="EF25" s="742">
        <v>1</v>
      </c>
      <c r="EG25" s="742">
        <v>1.00000000000006</v>
      </c>
      <c r="EH25" s="742">
        <v>0.99999999999989198</v>
      </c>
      <c r="EI25" s="742">
        <v>1</v>
      </c>
      <c r="EJ25" s="742">
        <v>1</v>
      </c>
      <c r="EK25" s="742">
        <v>1</v>
      </c>
      <c r="EL25" s="742">
        <v>9.6037172251019903E-2</v>
      </c>
      <c r="EM25" s="742">
        <v>1</v>
      </c>
      <c r="EN25" s="742">
        <v>1</v>
      </c>
      <c r="EO25" s="742">
        <v>1</v>
      </c>
      <c r="EP25" s="742">
        <v>1</v>
      </c>
      <c r="EQ25" s="742">
        <v>1</v>
      </c>
      <c r="ER25" s="742">
        <v>1</v>
      </c>
      <c r="ES25" s="742">
        <v>9.6027475488909303E-2</v>
      </c>
      <c r="ET25" s="742">
        <v>1</v>
      </c>
      <c r="EU25" s="742">
        <v>1</v>
      </c>
      <c r="EV25" s="742">
        <v>1</v>
      </c>
      <c r="EW25" s="742">
        <v>9.6027432501621504E-2</v>
      </c>
      <c r="EX25" s="742">
        <v>1</v>
      </c>
      <c r="EY25" s="742">
        <v>1</v>
      </c>
      <c r="EZ25" s="742">
        <v>1</v>
      </c>
      <c r="FA25" s="742">
        <v>9.60272795890426E-2</v>
      </c>
      <c r="FB25" s="742">
        <v>1</v>
      </c>
      <c r="FC25" s="742">
        <v>1</v>
      </c>
      <c r="FD25" s="742">
        <v>1</v>
      </c>
      <c r="FE25" s="742">
        <v>0.99999999997563405</v>
      </c>
      <c r="FF25" s="742">
        <v>1</v>
      </c>
      <c r="FG25" s="742">
        <v>1</v>
      </c>
      <c r="FH25" s="742">
        <v>1</v>
      </c>
    </row>
    <row r="26" spans="1:164" ht="12.75" customHeight="1" x14ac:dyDescent="0.2">
      <c r="A26" s="489"/>
      <c r="B26" s="489"/>
      <c r="C26" s="489"/>
      <c r="D26" s="489"/>
      <c r="E26" s="489"/>
      <c r="F26" s="744"/>
      <c r="G26" s="745"/>
      <c r="H26" s="506"/>
      <c r="I26" s="750">
        <v>502553.43974563299</v>
      </c>
      <c r="J26" s="742">
        <v>0.14491681157390801</v>
      </c>
      <c r="K26" s="742">
        <v>1</v>
      </c>
      <c r="L26" s="742">
        <v>1</v>
      </c>
      <c r="M26" s="742">
        <v>1</v>
      </c>
      <c r="N26" s="742">
        <v>1</v>
      </c>
      <c r="O26" s="742">
        <v>1</v>
      </c>
      <c r="P26" s="742">
        <v>1</v>
      </c>
      <c r="Q26" s="742">
        <v>1</v>
      </c>
      <c r="R26" s="742">
        <v>1</v>
      </c>
      <c r="S26" s="742">
        <v>1</v>
      </c>
      <c r="T26" s="742">
        <v>1</v>
      </c>
      <c r="U26" s="742">
        <v>1</v>
      </c>
      <c r="V26" s="742">
        <v>1</v>
      </c>
      <c r="W26" s="742">
        <v>1</v>
      </c>
      <c r="X26" s="742">
        <v>1</v>
      </c>
      <c r="Y26" s="742">
        <v>0.26706047522509802</v>
      </c>
      <c r="Z26" s="742">
        <v>1</v>
      </c>
      <c r="AA26" s="742">
        <v>1</v>
      </c>
      <c r="AB26" s="742">
        <v>1</v>
      </c>
      <c r="AC26" s="742">
        <v>1</v>
      </c>
      <c r="AD26" s="742">
        <v>1</v>
      </c>
      <c r="AE26" s="742">
        <v>1</v>
      </c>
      <c r="AF26" s="742">
        <v>1</v>
      </c>
      <c r="AG26" s="742">
        <v>1</v>
      </c>
      <c r="AH26" s="742">
        <v>1</v>
      </c>
      <c r="AI26" s="742">
        <v>1</v>
      </c>
      <c r="AJ26" s="742">
        <v>1</v>
      </c>
      <c r="AK26" s="742">
        <v>0.26963913825816699</v>
      </c>
      <c r="AL26" s="742">
        <v>1</v>
      </c>
      <c r="AM26" s="742">
        <v>1</v>
      </c>
      <c r="AN26" s="742">
        <v>1</v>
      </c>
      <c r="AO26" s="742">
        <v>1</v>
      </c>
      <c r="AP26" s="742">
        <v>1</v>
      </c>
      <c r="AQ26" s="742">
        <v>1</v>
      </c>
      <c r="AR26" s="742">
        <v>1</v>
      </c>
      <c r="AS26" s="742">
        <v>1</v>
      </c>
      <c r="AT26" s="742">
        <v>1</v>
      </c>
      <c r="AU26" s="742">
        <v>1</v>
      </c>
      <c r="AV26" s="742">
        <v>1</v>
      </c>
      <c r="AW26" s="742">
        <v>1</v>
      </c>
      <c r="AX26" s="742">
        <v>1</v>
      </c>
      <c r="AY26" s="742">
        <v>1</v>
      </c>
      <c r="AZ26" s="742">
        <v>1</v>
      </c>
      <c r="BA26" s="742">
        <v>0.11479281833077</v>
      </c>
      <c r="BB26" s="742">
        <v>1</v>
      </c>
      <c r="BC26" s="742">
        <v>1</v>
      </c>
      <c r="BD26" s="742">
        <v>1</v>
      </c>
      <c r="BE26" s="742">
        <v>1</v>
      </c>
      <c r="BF26" s="742">
        <v>1</v>
      </c>
      <c r="BG26" s="742">
        <v>1</v>
      </c>
      <c r="BH26" s="742">
        <v>0.999999999999997</v>
      </c>
      <c r="BI26" s="742">
        <v>1</v>
      </c>
      <c r="BJ26" s="742">
        <v>1</v>
      </c>
      <c r="BK26" s="742">
        <v>1</v>
      </c>
      <c r="BL26" s="742">
        <v>0.99999999999999301</v>
      </c>
      <c r="BM26" s="742">
        <v>1</v>
      </c>
      <c r="BN26" s="742">
        <v>1</v>
      </c>
      <c r="BO26" s="742">
        <v>1</v>
      </c>
      <c r="BP26" s="742">
        <v>0.114232183572418</v>
      </c>
      <c r="BQ26" s="742">
        <v>1</v>
      </c>
      <c r="BR26" s="742">
        <v>1</v>
      </c>
      <c r="BS26" s="742">
        <v>0.999999999999995</v>
      </c>
      <c r="BT26" s="742">
        <v>0.999999999999997</v>
      </c>
      <c r="BU26" s="742">
        <v>1</v>
      </c>
      <c r="BV26" s="742">
        <v>1</v>
      </c>
      <c r="BW26" s="742">
        <v>1</v>
      </c>
      <c r="BX26" s="742">
        <v>0.99999999999999301</v>
      </c>
      <c r="BY26" s="742">
        <v>1</v>
      </c>
      <c r="BZ26" s="742">
        <v>1</v>
      </c>
      <c r="CA26" s="742">
        <v>1</v>
      </c>
      <c r="CB26" s="742">
        <v>0.114232301902849</v>
      </c>
      <c r="CC26" s="742">
        <v>1</v>
      </c>
      <c r="CD26" s="742">
        <v>1</v>
      </c>
      <c r="CE26" s="742">
        <v>0.99999999999996303</v>
      </c>
      <c r="CF26" s="742">
        <v>0.99999999999999201</v>
      </c>
      <c r="CG26" s="742">
        <v>1</v>
      </c>
      <c r="CH26" s="742">
        <v>1</v>
      </c>
      <c r="CI26" s="742">
        <v>1</v>
      </c>
      <c r="CJ26" s="742">
        <v>0.99999999999999201</v>
      </c>
      <c r="CK26" s="742">
        <v>1</v>
      </c>
      <c r="CL26" s="742">
        <v>1</v>
      </c>
      <c r="CM26" s="742">
        <v>1</v>
      </c>
      <c r="CN26" s="742">
        <v>0.99999999999999101</v>
      </c>
      <c r="CO26" s="742">
        <v>1</v>
      </c>
      <c r="CP26" s="742">
        <v>1</v>
      </c>
      <c r="CQ26" s="742">
        <v>1</v>
      </c>
      <c r="CR26" s="742">
        <v>0.114111059439613</v>
      </c>
      <c r="CS26" s="742">
        <v>1</v>
      </c>
      <c r="CT26" s="742">
        <v>1</v>
      </c>
      <c r="CU26" s="742">
        <v>1</v>
      </c>
      <c r="CV26" s="742">
        <v>1</v>
      </c>
      <c r="CW26" s="742">
        <v>1</v>
      </c>
      <c r="CX26" s="742">
        <v>1</v>
      </c>
      <c r="CY26" s="742">
        <v>0.114111366395414</v>
      </c>
      <c r="CZ26" s="742">
        <v>1</v>
      </c>
      <c r="DA26" s="742">
        <v>1</v>
      </c>
      <c r="DB26" s="742">
        <v>1.00000000000005</v>
      </c>
      <c r="DC26" s="742">
        <v>0.11411027868160301</v>
      </c>
      <c r="DD26" s="742">
        <v>1</v>
      </c>
      <c r="DE26" s="742">
        <v>1</v>
      </c>
      <c r="DF26" s="742">
        <v>1.00000000000005</v>
      </c>
      <c r="DG26" s="742">
        <v>0.114110129000498</v>
      </c>
      <c r="DH26" s="742">
        <v>1</v>
      </c>
      <c r="DI26" s="742">
        <v>1</v>
      </c>
      <c r="DJ26" s="742">
        <v>1.00000000000005</v>
      </c>
      <c r="DK26" s="742">
        <v>0.99999999999963296</v>
      </c>
      <c r="DL26" s="742">
        <v>1</v>
      </c>
      <c r="DM26" s="742">
        <v>1</v>
      </c>
      <c r="DN26" s="742">
        <v>1</v>
      </c>
      <c r="DO26" s="742">
        <v>0.114111058696531</v>
      </c>
      <c r="DP26" s="742">
        <v>1</v>
      </c>
      <c r="DQ26" s="742">
        <v>1</v>
      </c>
      <c r="DR26" s="742">
        <v>1</v>
      </c>
      <c r="DS26" s="742">
        <v>1</v>
      </c>
      <c r="DT26" s="742">
        <v>1</v>
      </c>
      <c r="DU26" s="742">
        <v>1</v>
      </c>
      <c r="DV26" s="742">
        <v>0.11410890083484999</v>
      </c>
      <c r="DW26" s="742">
        <v>1</v>
      </c>
      <c r="DX26" s="742">
        <v>1</v>
      </c>
      <c r="DY26" s="742">
        <v>1.00000000000004</v>
      </c>
      <c r="DZ26" s="742">
        <v>0.11410829078521501</v>
      </c>
      <c r="EA26" s="742">
        <v>1</v>
      </c>
      <c r="EB26" s="742">
        <v>1</v>
      </c>
      <c r="EC26" s="742">
        <v>1.00000000000004</v>
      </c>
      <c r="ED26" s="742">
        <v>0.114108140964278</v>
      </c>
      <c r="EE26" s="742">
        <v>1</v>
      </c>
      <c r="EF26" s="742">
        <v>1</v>
      </c>
      <c r="EG26" s="742">
        <v>1.00000000000004</v>
      </c>
      <c r="EH26" s="742">
        <v>0.99999999999989397</v>
      </c>
      <c r="EI26" s="742">
        <v>1</v>
      </c>
      <c r="EJ26" s="742">
        <v>1</v>
      </c>
      <c r="EK26" s="742">
        <v>1</v>
      </c>
      <c r="EL26" s="742">
        <v>0.114107511517107</v>
      </c>
      <c r="EM26" s="742">
        <v>1</v>
      </c>
      <c r="EN26" s="742">
        <v>1</v>
      </c>
      <c r="EO26" s="742">
        <v>1</v>
      </c>
      <c r="EP26" s="742">
        <v>1</v>
      </c>
      <c r="EQ26" s="742">
        <v>1</v>
      </c>
      <c r="ER26" s="742">
        <v>1</v>
      </c>
      <c r="ES26" s="742">
        <v>0.11409800859458299</v>
      </c>
      <c r="ET26" s="742">
        <v>1</v>
      </c>
      <c r="EU26" s="742">
        <v>1</v>
      </c>
      <c r="EV26" s="742">
        <v>1</v>
      </c>
      <c r="EW26" s="742">
        <v>0.114097966466617</v>
      </c>
      <c r="EX26" s="742">
        <v>1</v>
      </c>
      <c r="EY26" s="742">
        <v>1</v>
      </c>
      <c r="EZ26" s="742">
        <v>1</v>
      </c>
      <c r="FA26" s="742">
        <v>0.114097816610781</v>
      </c>
      <c r="FB26" s="742">
        <v>1</v>
      </c>
      <c r="FC26" s="742">
        <v>1</v>
      </c>
      <c r="FD26" s="742">
        <v>1</v>
      </c>
      <c r="FE26" s="742">
        <v>0.99999999997612099</v>
      </c>
      <c r="FF26" s="742">
        <v>1</v>
      </c>
      <c r="FG26" s="742">
        <v>1</v>
      </c>
      <c r="FH26" s="742">
        <v>1</v>
      </c>
    </row>
    <row r="27" spans="1:164" ht="12.75" customHeight="1" x14ac:dyDescent="0.2">
      <c r="A27" s="489"/>
      <c r="B27" s="489"/>
      <c r="C27" s="489"/>
      <c r="D27" s="489"/>
      <c r="E27" s="489"/>
      <c r="F27" s="744"/>
      <c r="G27" s="745"/>
      <c r="H27" s="506"/>
      <c r="I27" s="750">
        <v>586312.34636990598</v>
      </c>
      <c r="J27" s="742">
        <v>0.16201003884071699</v>
      </c>
      <c r="K27" s="742">
        <v>1</v>
      </c>
      <c r="L27" s="742">
        <v>1</v>
      </c>
      <c r="M27" s="742">
        <v>1</v>
      </c>
      <c r="N27" s="742">
        <v>1</v>
      </c>
      <c r="O27" s="742">
        <v>1</v>
      </c>
      <c r="P27" s="742">
        <v>1</v>
      </c>
      <c r="Q27" s="742">
        <v>1</v>
      </c>
      <c r="R27" s="742">
        <v>1</v>
      </c>
      <c r="S27" s="742">
        <v>1</v>
      </c>
      <c r="T27" s="742">
        <v>1</v>
      </c>
      <c r="U27" s="742">
        <v>1</v>
      </c>
      <c r="V27" s="742">
        <v>1</v>
      </c>
      <c r="W27" s="742">
        <v>1</v>
      </c>
      <c r="X27" s="742">
        <v>1</v>
      </c>
      <c r="Y27" s="742">
        <v>0.28171203432412001</v>
      </c>
      <c r="Z27" s="742">
        <v>1</v>
      </c>
      <c r="AA27" s="742">
        <v>1</v>
      </c>
      <c r="AB27" s="742">
        <v>1</v>
      </c>
      <c r="AC27" s="742">
        <v>1</v>
      </c>
      <c r="AD27" s="742">
        <v>1</v>
      </c>
      <c r="AE27" s="742">
        <v>1</v>
      </c>
      <c r="AF27" s="742">
        <v>1</v>
      </c>
      <c r="AG27" s="742">
        <v>1</v>
      </c>
      <c r="AH27" s="742">
        <v>1</v>
      </c>
      <c r="AI27" s="742">
        <v>1</v>
      </c>
      <c r="AJ27" s="742">
        <v>1</v>
      </c>
      <c r="AK27" s="742">
        <v>0.28423914953837398</v>
      </c>
      <c r="AL27" s="742">
        <v>1</v>
      </c>
      <c r="AM27" s="742">
        <v>1</v>
      </c>
      <c r="AN27" s="742">
        <v>1</v>
      </c>
      <c r="AO27" s="742">
        <v>0.999999999999999</v>
      </c>
      <c r="AP27" s="742">
        <v>1</v>
      </c>
      <c r="AQ27" s="742">
        <v>1</v>
      </c>
      <c r="AR27" s="742">
        <v>1</v>
      </c>
      <c r="AS27" s="742">
        <v>1</v>
      </c>
      <c r="AT27" s="742">
        <v>1</v>
      </c>
      <c r="AU27" s="742">
        <v>1</v>
      </c>
      <c r="AV27" s="742">
        <v>1</v>
      </c>
      <c r="AW27" s="742">
        <v>0.999999999999999</v>
      </c>
      <c r="AX27" s="742">
        <v>1</v>
      </c>
      <c r="AY27" s="742">
        <v>1</v>
      </c>
      <c r="AZ27" s="742">
        <v>1</v>
      </c>
      <c r="BA27" s="742">
        <v>0.132488228250282</v>
      </c>
      <c r="BB27" s="742">
        <v>1</v>
      </c>
      <c r="BC27" s="742">
        <v>1</v>
      </c>
      <c r="BD27" s="742">
        <v>1</v>
      </c>
      <c r="BE27" s="742">
        <v>1</v>
      </c>
      <c r="BF27" s="742">
        <v>1</v>
      </c>
      <c r="BG27" s="742">
        <v>1</v>
      </c>
      <c r="BH27" s="742">
        <v>0.999999999999996</v>
      </c>
      <c r="BI27" s="742">
        <v>1</v>
      </c>
      <c r="BJ27" s="742">
        <v>0.999999999999999</v>
      </c>
      <c r="BK27" s="742">
        <v>1</v>
      </c>
      <c r="BL27" s="742">
        <v>0.99999999999999301</v>
      </c>
      <c r="BM27" s="742">
        <v>1</v>
      </c>
      <c r="BN27" s="742">
        <v>1</v>
      </c>
      <c r="BO27" s="742">
        <v>1</v>
      </c>
      <c r="BP27" s="742">
        <v>0.13193880065571201</v>
      </c>
      <c r="BQ27" s="742">
        <v>1</v>
      </c>
      <c r="BR27" s="742">
        <v>1</v>
      </c>
      <c r="BS27" s="742">
        <v>1.0000000000000799</v>
      </c>
      <c r="BT27" s="742">
        <v>0.999999999999997</v>
      </c>
      <c r="BU27" s="742">
        <v>1</v>
      </c>
      <c r="BV27" s="742">
        <v>1</v>
      </c>
      <c r="BW27" s="742">
        <v>1</v>
      </c>
      <c r="BX27" s="742">
        <v>0.99999999999999301</v>
      </c>
      <c r="BY27" s="742">
        <v>1</v>
      </c>
      <c r="BZ27" s="742">
        <v>1</v>
      </c>
      <c r="CA27" s="742">
        <v>1</v>
      </c>
      <c r="CB27" s="742">
        <v>0.13193891662070101</v>
      </c>
      <c r="CC27" s="742">
        <v>1</v>
      </c>
      <c r="CD27" s="742">
        <v>1</v>
      </c>
      <c r="CE27" s="742">
        <v>1.00000000000005</v>
      </c>
      <c r="CF27" s="742">
        <v>0.99999999999999101</v>
      </c>
      <c r="CG27" s="742">
        <v>1</v>
      </c>
      <c r="CH27" s="742">
        <v>0.999999999999999</v>
      </c>
      <c r="CI27" s="742">
        <v>1</v>
      </c>
      <c r="CJ27" s="742">
        <v>0.99999999999999201</v>
      </c>
      <c r="CK27" s="742">
        <v>1</v>
      </c>
      <c r="CL27" s="742">
        <v>1</v>
      </c>
      <c r="CM27" s="742">
        <v>1</v>
      </c>
      <c r="CN27" s="742">
        <v>0.99999999999999101</v>
      </c>
      <c r="CO27" s="742">
        <v>1</v>
      </c>
      <c r="CP27" s="742">
        <v>0.999999999999999</v>
      </c>
      <c r="CQ27" s="742">
        <v>1</v>
      </c>
      <c r="CR27" s="742">
        <v>0.13182009781051601</v>
      </c>
      <c r="CS27" s="742">
        <v>1</v>
      </c>
      <c r="CT27" s="742">
        <v>1</v>
      </c>
      <c r="CU27" s="742">
        <v>1</v>
      </c>
      <c r="CV27" s="742">
        <v>1</v>
      </c>
      <c r="CW27" s="742">
        <v>1</v>
      </c>
      <c r="CX27" s="742">
        <v>1</v>
      </c>
      <c r="CY27" s="742">
        <v>0.13182039863023001</v>
      </c>
      <c r="CZ27" s="742">
        <v>1</v>
      </c>
      <c r="DA27" s="742">
        <v>1</v>
      </c>
      <c r="DB27" s="742">
        <v>1.00000000000002</v>
      </c>
      <c r="DC27" s="742">
        <v>0.13181933265996401</v>
      </c>
      <c r="DD27" s="742">
        <v>1</v>
      </c>
      <c r="DE27" s="742">
        <v>1</v>
      </c>
      <c r="DF27" s="742">
        <v>1.00000000000002</v>
      </c>
      <c r="DG27" s="742">
        <v>0.131819185971004</v>
      </c>
      <c r="DH27" s="742">
        <v>1</v>
      </c>
      <c r="DI27" s="742">
        <v>1</v>
      </c>
      <c r="DJ27" s="742">
        <v>1.00000000000002</v>
      </c>
      <c r="DK27" s="742">
        <v>0.99999999999963995</v>
      </c>
      <c r="DL27" s="742">
        <v>1</v>
      </c>
      <c r="DM27" s="742">
        <v>1</v>
      </c>
      <c r="DN27" s="742">
        <v>1</v>
      </c>
      <c r="DO27" s="742">
        <v>0.13182009708228801</v>
      </c>
      <c r="DP27" s="742">
        <v>1</v>
      </c>
      <c r="DQ27" s="742">
        <v>1</v>
      </c>
      <c r="DR27" s="742">
        <v>1</v>
      </c>
      <c r="DS27" s="742">
        <v>1</v>
      </c>
      <c r="DT27" s="742">
        <v>1</v>
      </c>
      <c r="DU27" s="742">
        <v>1</v>
      </c>
      <c r="DV27" s="742">
        <v>0.13181798235655201</v>
      </c>
      <c r="DW27" s="742">
        <v>1</v>
      </c>
      <c r="DX27" s="742">
        <v>1</v>
      </c>
      <c r="DY27" s="742">
        <v>1.00000000000001</v>
      </c>
      <c r="DZ27" s="742">
        <v>0.13181738450189101</v>
      </c>
      <c r="EA27" s="742">
        <v>1</v>
      </c>
      <c r="EB27" s="742">
        <v>1</v>
      </c>
      <c r="EC27" s="742">
        <v>1.00000000000002</v>
      </c>
      <c r="ED27" s="742">
        <v>0.13181723767589401</v>
      </c>
      <c r="EE27" s="742">
        <v>1</v>
      </c>
      <c r="EF27" s="742">
        <v>1</v>
      </c>
      <c r="EG27" s="742">
        <v>1.00000000000002</v>
      </c>
      <c r="EH27" s="742">
        <v>0.99999999999989597</v>
      </c>
      <c r="EI27" s="742">
        <v>1</v>
      </c>
      <c r="EJ27" s="742">
        <v>1</v>
      </c>
      <c r="EK27" s="742">
        <v>1</v>
      </c>
      <c r="EL27" s="742">
        <v>0.13181662081145401</v>
      </c>
      <c r="EM27" s="742">
        <v>1</v>
      </c>
      <c r="EN27" s="742">
        <v>1</v>
      </c>
      <c r="EO27" s="742">
        <v>1</v>
      </c>
      <c r="EP27" s="742">
        <v>1</v>
      </c>
      <c r="EQ27" s="742">
        <v>0.999999999999999</v>
      </c>
      <c r="ER27" s="742">
        <v>1</v>
      </c>
      <c r="ES27" s="742">
        <v>0.13180730785362199</v>
      </c>
      <c r="ET27" s="742">
        <v>0.999999999999999</v>
      </c>
      <c r="EU27" s="742">
        <v>0.999999999999999</v>
      </c>
      <c r="EV27" s="742">
        <v>1</v>
      </c>
      <c r="EW27" s="742">
        <v>0.13180726656780001</v>
      </c>
      <c r="EX27" s="742">
        <v>1</v>
      </c>
      <c r="EY27" s="742">
        <v>0.999999999999999</v>
      </c>
      <c r="EZ27" s="742">
        <v>1</v>
      </c>
      <c r="FA27" s="742">
        <v>0.131807119707603</v>
      </c>
      <c r="FB27" s="742">
        <v>1</v>
      </c>
      <c r="FC27" s="742">
        <v>0.999999999999999</v>
      </c>
      <c r="FD27" s="742">
        <v>1</v>
      </c>
      <c r="FE27" s="742">
        <v>0.99999999997659805</v>
      </c>
      <c r="FF27" s="742">
        <v>1</v>
      </c>
      <c r="FG27" s="742">
        <v>0.999999999999999</v>
      </c>
      <c r="FH27" s="742">
        <v>1</v>
      </c>
    </row>
    <row r="28" spans="1:164" ht="12.75" customHeight="1" x14ac:dyDescent="0.2">
      <c r="A28" s="489"/>
      <c r="B28" s="489"/>
      <c r="C28" s="489"/>
      <c r="D28" s="489"/>
      <c r="E28" s="489"/>
      <c r="F28" s="744"/>
      <c r="G28" s="745"/>
      <c r="H28" s="506"/>
      <c r="I28" s="750">
        <v>670071.25299417798</v>
      </c>
      <c r="J28" s="742">
        <v>0.178761569751232</v>
      </c>
      <c r="K28" s="742">
        <v>1</v>
      </c>
      <c r="L28" s="742">
        <v>1</v>
      </c>
      <c r="M28" s="742">
        <v>1</v>
      </c>
      <c r="N28" s="742">
        <v>1</v>
      </c>
      <c r="O28" s="742">
        <v>1</v>
      </c>
      <c r="P28" s="742">
        <v>1</v>
      </c>
      <c r="Q28" s="742">
        <v>1</v>
      </c>
      <c r="R28" s="742">
        <v>1</v>
      </c>
      <c r="S28" s="742">
        <v>1</v>
      </c>
      <c r="T28" s="742">
        <v>1</v>
      </c>
      <c r="U28" s="742">
        <v>1</v>
      </c>
      <c r="V28" s="742">
        <v>1</v>
      </c>
      <c r="W28" s="742">
        <v>1</v>
      </c>
      <c r="X28" s="742">
        <v>1</v>
      </c>
      <c r="Y28" s="742">
        <v>0.29607070640537497</v>
      </c>
      <c r="Z28" s="742">
        <v>1</v>
      </c>
      <c r="AA28" s="742">
        <v>1</v>
      </c>
      <c r="AB28" s="742">
        <v>1</v>
      </c>
      <c r="AC28" s="742">
        <v>1</v>
      </c>
      <c r="AD28" s="742">
        <v>1</v>
      </c>
      <c r="AE28" s="742">
        <v>1</v>
      </c>
      <c r="AF28" s="742">
        <v>1</v>
      </c>
      <c r="AG28" s="742">
        <v>1</v>
      </c>
      <c r="AH28" s="742">
        <v>1</v>
      </c>
      <c r="AI28" s="742">
        <v>1</v>
      </c>
      <c r="AJ28" s="742">
        <v>1</v>
      </c>
      <c r="AK28" s="742">
        <v>0.29854730424998499</v>
      </c>
      <c r="AL28" s="742">
        <v>1</v>
      </c>
      <c r="AM28" s="742">
        <v>1</v>
      </c>
      <c r="AN28" s="742">
        <v>1</v>
      </c>
      <c r="AO28" s="742">
        <v>1</v>
      </c>
      <c r="AP28" s="742">
        <v>1</v>
      </c>
      <c r="AQ28" s="742">
        <v>1</v>
      </c>
      <c r="AR28" s="742">
        <v>1</v>
      </c>
      <c r="AS28" s="742">
        <v>1</v>
      </c>
      <c r="AT28" s="742">
        <v>1</v>
      </c>
      <c r="AU28" s="742">
        <v>1</v>
      </c>
      <c r="AV28" s="742">
        <v>1</v>
      </c>
      <c r="AW28" s="742">
        <v>1</v>
      </c>
      <c r="AX28" s="742">
        <v>1</v>
      </c>
      <c r="AY28" s="742">
        <v>1</v>
      </c>
      <c r="AZ28" s="742">
        <v>1</v>
      </c>
      <c r="BA28" s="742">
        <v>0.14982990408563099</v>
      </c>
      <c r="BB28" s="742">
        <v>1</v>
      </c>
      <c r="BC28" s="742">
        <v>1</v>
      </c>
      <c r="BD28" s="742">
        <v>1</v>
      </c>
      <c r="BE28" s="742">
        <v>1</v>
      </c>
      <c r="BF28" s="742">
        <v>1</v>
      </c>
      <c r="BG28" s="742">
        <v>1</v>
      </c>
      <c r="BH28" s="742">
        <v>0.999999999999997</v>
      </c>
      <c r="BI28" s="742">
        <v>1</v>
      </c>
      <c r="BJ28" s="742">
        <v>1</v>
      </c>
      <c r="BK28" s="742">
        <v>1</v>
      </c>
      <c r="BL28" s="742">
        <v>0.99999999999999301</v>
      </c>
      <c r="BM28" s="742">
        <v>1</v>
      </c>
      <c r="BN28" s="742">
        <v>1</v>
      </c>
      <c r="BO28" s="742">
        <v>1</v>
      </c>
      <c r="BP28" s="742">
        <v>0.14929145962183801</v>
      </c>
      <c r="BQ28" s="742">
        <v>1</v>
      </c>
      <c r="BR28" s="742">
        <v>1</v>
      </c>
      <c r="BS28" s="742">
        <v>0.99999999999996403</v>
      </c>
      <c r="BT28" s="742">
        <v>0.999999999999998</v>
      </c>
      <c r="BU28" s="742">
        <v>1</v>
      </c>
      <c r="BV28" s="742">
        <v>1</v>
      </c>
      <c r="BW28" s="742">
        <v>1</v>
      </c>
      <c r="BX28" s="742">
        <v>0.99999999999999301</v>
      </c>
      <c r="BY28" s="742">
        <v>1</v>
      </c>
      <c r="BZ28" s="742">
        <v>1</v>
      </c>
      <c r="CA28" s="742">
        <v>1</v>
      </c>
      <c r="CB28" s="742">
        <v>0.14929157326867101</v>
      </c>
      <c r="CC28" s="742">
        <v>1</v>
      </c>
      <c r="CD28" s="742">
        <v>1</v>
      </c>
      <c r="CE28" s="742">
        <v>0.99999999999997702</v>
      </c>
      <c r="CF28" s="742">
        <v>0.99999999999999201</v>
      </c>
      <c r="CG28" s="742">
        <v>1</v>
      </c>
      <c r="CH28" s="742">
        <v>1</v>
      </c>
      <c r="CI28" s="742">
        <v>1</v>
      </c>
      <c r="CJ28" s="742">
        <v>0.99999999999999301</v>
      </c>
      <c r="CK28" s="742">
        <v>1</v>
      </c>
      <c r="CL28" s="742">
        <v>1</v>
      </c>
      <c r="CM28" s="742">
        <v>1</v>
      </c>
      <c r="CN28" s="742">
        <v>0.99999999999999201</v>
      </c>
      <c r="CO28" s="742">
        <v>1</v>
      </c>
      <c r="CP28" s="742">
        <v>1</v>
      </c>
      <c r="CQ28" s="742">
        <v>1</v>
      </c>
      <c r="CR28" s="742">
        <v>0.14917512966232299</v>
      </c>
      <c r="CS28" s="742">
        <v>1</v>
      </c>
      <c r="CT28" s="742">
        <v>1</v>
      </c>
      <c r="CU28" s="742">
        <v>1</v>
      </c>
      <c r="CV28" s="742">
        <v>1</v>
      </c>
      <c r="CW28" s="742">
        <v>1</v>
      </c>
      <c r="CX28" s="742">
        <v>1</v>
      </c>
      <c r="CY28" s="742">
        <v>0.14917542446861201</v>
      </c>
      <c r="CZ28" s="742">
        <v>1</v>
      </c>
      <c r="DA28" s="742">
        <v>1</v>
      </c>
      <c r="DB28" s="742">
        <v>1</v>
      </c>
      <c r="DC28" s="742">
        <v>0.149174379807233</v>
      </c>
      <c r="DD28" s="742">
        <v>1</v>
      </c>
      <c r="DE28" s="742">
        <v>1</v>
      </c>
      <c r="DF28" s="742">
        <v>1</v>
      </c>
      <c r="DG28" s="742">
        <v>0.14917423605060501</v>
      </c>
      <c r="DH28" s="742">
        <v>1</v>
      </c>
      <c r="DI28" s="742">
        <v>1</v>
      </c>
      <c r="DJ28" s="742">
        <v>1</v>
      </c>
      <c r="DK28" s="742">
        <v>0.99999999999964695</v>
      </c>
      <c r="DL28" s="742">
        <v>1</v>
      </c>
      <c r="DM28" s="742">
        <v>1</v>
      </c>
      <c r="DN28" s="742">
        <v>1</v>
      </c>
      <c r="DO28" s="742">
        <v>0.14917512894865301</v>
      </c>
      <c r="DP28" s="742">
        <v>1</v>
      </c>
      <c r="DQ28" s="742">
        <v>1</v>
      </c>
      <c r="DR28" s="742">
        <v>1</v>
      </c>
      <c r="DS28" s="742">
        <v>1</v>
      </c>
      <c r="DT28" s="742">
        <v>1</v>
      </c>
      <c r="DU28" s="742">
        <v>1</v>
      </c>
      <c r="DV28" s="742">
        <v>0.14917305649656601</v>
      </c>
      <c r="DW28" s="742">
        <v>1</v>
      </c>
      <c r="DX28" s="742">
        <v>1</v>
      </c>
      <c r="DY28" s="742">
        <v>1</v>
      </c>
      <c r="DZ28" s="742">
        <v>0.14917247059309999</v>
      </c>
      <c r="EA28" s="742">
        <v>1</v>
      </c>
      <c r="EB28" s="742">
        <v>1</v>
      </c>
      <c r="EC28" s="742">
        <v>1</v>
      </c>
      <c r="ED28" s="742">
        <v>0.14917232670217401</v>
      </c>
      <c r="EE28" s="742">
        <v>1</v>
      </c>
      <c r="EF28" s="742">
        <v>1</v>
      </c>
      <c r="EG28" s="742">
        <v>1</v>
      </c>
      <c r="EH28" s="742">
        <v>0.99999999999989897</v>
      </c>
      <c r="EI28" s="742">
        <v>1</v>
      </c>
      <c r="EJ28" s="742">
        <v>1</v>
      </c>
      <c r="EK28" s="742">
        <v>1</v>
      </c>
      <c r="EL28" s="742">
        <v>0.14917172216893601</v>
      </c>
      <c r="EM28" s="742">
        <v>1</v>
      </c>
      <c r="EN28" s="742">
        <v>1</v>
      </c>
      <c r="EO28" s="742">
        <v>1</v>
      </c>
      <c r="EP28" s="742">
        <v>1</v>
      </c>
      <c r="EQ28" s="742">
        <v>1</v>
      </c>
      <c r="ER28" s="742">
        <v>1</v>
      </c>
      <c r="ES28" s="742">
        <v>0.14916259537837101</v>
      </c>
      <c r="ET28" s="742">
        <v>1</v>
      </c>
      <c r="EU28" s="742">
        <v>1</v>
      </c>
      <c r="EV28" s="742">
        <v>1</v>
      </c>
      <c r="EW28" s="742">
        <v>0.14916255491785799</v>
      </c>
      <c r="EX28" s="742">
        <v>1</v>
      </c>
      <c r="EY28" s="742">
        <v>1</v>
      </c>
      <c r="EZ28" s="742">
        <v>1</v>
      </c>
      <c r="FA28" s="742">
        <v>0.14916241099341601</v>
      </c>
      <c r="FB28" s="742">
        <v>1</v>
      </c>
      <c r="FC28" s="742">
        <v>1</v>
      </c>
      <c r="FD28" s="742">
        <v>1</v>
      </c>
      <c r="FE28" s="742">
        <v>0.99999999997706701</v>
      </c>
      <c r="FF28" s="742">
        <v>1</v>
      </c>
      <c r="FG28" s="742">
        <v>1</v>
      </c>
      <c r="FH28" s="742">
        <v>1</v>
      </c>
    </row>
    <row r="29" spans="1:164" ht="12.75" customHeight="1" x14ac:dyDescent="0.2">
      <c r="A29" s="489"/>
      <c r="B29" s="489"/>
      <c r="C29" s="489"/>
      <c r="D29" s="489"/>
      <c r="E29" s="489"/>
      <c r="F29" s="744"/>
      <c r="G29" s="745"/>
      <c r="H29" s="506"/>
      <c r="I29" s="750">
        <v>753830.15961844998</v>
      </c>
      <c r="J29" s="742">
        <v>0.19517823548933</v>
      </c>
      <c r="K29" s="742">
        <v>1</v>
      </c>
      <c r="L29" s="742">
        <v>1</v>
      </c>
      <c r="M29" s="742">
        <v>1</v>
      </c>
      <c r="N29" s="742">
        <v>1</v>
      </c>
      <c r="O29" s="742">
        <v>1</v>
      </c>
      <c r="P29" s="742">
        <v>1</v>
      </c>
      <c r="Q29" s="742">
        <v>1</v>
      </c>
      <c r="R29" s="742">
        <v>1</v>
      </c>
      <c r="S29" s="742">
        <v>1</v>
      </c>
      <c r="T29" s="742">
        <v>1</v>
      </c>
      <c r="U29" s="742">
        <v>1</v>
      </c>
      <c r="V29" s="742">
        <v>1</v>
      </c>
      <c r="W29" s="742">
        <v>1</v>
      </c>
      <c r="X29" s="742">
        <v>1</v>
      </c>
      <c r="Y29" s="742">
        <v>0.31014234685782999</v>
      </c>
      <c r="Z29" s="742">
        <v>1</v>
      </c>
      <c r="AA29" s="742">
        <v>1</v>
      </c>
      <c r="AB29" s="742">
        <v>1</v>
      </c>
      <c r="AC29" s="742">
        <v>1</v>
      </c>
      <c r="AD29" s="742">
        <v>1</v>
      </c>
      <c r="AE29" s="742">
        <v>1</v>
      </c>
      <c r="AF29" s="742">
        <v>1</v>
      </c>
      <c r="AG29" s="742">
        <v>1</v>
      </c>
      <c r="AH29" s="742">
        <v>1</v>
      </c>
      <c r="AI29" s="742">
        <v>1</v>
      </c>
      <c r="AJ29" s="742">
        <v>1</v>
      </c>
      <c r="AK29" s="742">
        <v>0.31256943718125602</v>
      </c>
      <c r="AL29" s="742">
        <v>1</v>
      </c>
      <c r="AM29" s="742">
        <v>1</v>
      </c>
      <c r="AN29" s="742">
        <v>1</v>
      </c>
      <c r="AO29" s="742">
        <v>1</v>
      </c>
      <c r="AP29" s="742">
        <v>1</v>
      </c>
      <c r="AQ29" s="742">
        <v>1</v>
      </c>
      <c r="AR29" s="742">
        <v>1</v>
      </c>
      <c r="AS29" s="742">
        <v>1</v>
      </c>
      <c r="AT29" s="742">
        <v>1</v>
      </c>
      <c r="AU29" s="742">
        <v>1</v>
      </c>
      <c r="AV29" s="742">
        <v>1</v>
      </c>
      <c r="AW29" s="742">
        <v>1</v>
      </c>
      <c r="AX29" s="742">
        <v>1</v>
      </c>
      <c r="AY29" s="742">
        <v>1</v>
      </c>
      <c r="AZ29" s="742">
        <v>1</v>
      </c>
      <c r="BA29" s="742">
        <v>0.16682491767860799</v>
      </c>
      <c r="BB29" s="742">
        <v>1</v>
      </c>
      <c r="BC29" s="742">
        <v>1</v>
      </c>
      <c r="BD29" s="742">
        <v>1</v>
      </c>
      <c r="BE29" s="742">
        <v>1</v>
      </c>
      <c r="BF29" s="742">
        <v>1</v>
      </c>
      <c r="BG29" s="742">
        <v>1</v>
      </c>
      <c r="BH29" s="742">
        <v>0.999999999999997</v>
      </c>
      <c r="BI29" s="742">
        <v>1</v>
      </c>
      <c r="BJ29" s="742">
        <v>1</v>
      </c>
      <c r="BK29" s="742">
        <v>1</v>
      </c>
      <c r="BL29" s="742">
        <v>0.99999999999999301</v>
      </c>
      <c r="BM29" s="742">
        <v>1</v>
      </c>
      <c r="BN29" s="742">
        <v>1</v>
      </c>
      <c r="BO29" s="742">
        <v>1</v>
      </c>
      <c r="BP29" s="742">
        <v>0.166297236791452</v>
      </c>
      <c r="BQ29" s="742">
        <v>1</v>
      </c>
      <c r="BR29" s="742">
        <v>1</v>
      </c>
      <c r="BS29" s="742">
        <v>1.00000000000002</v>
      </c>
      <c r="BT29" s="742">
        <v>0.999999999999997</v>
      </c>
      <c r="BU29" s="742">
        <v>1</v>
      </c>
      <c r="BV29" s="742">
        <v>1</v>
      </c>
      <c r="BW29" s="742">
        <v>1</v>
      </c>
      <c r="BX29" s="742">
        <v>0.99999999999999301</v>
      </c>
      <c r="BY29" s="742">
        <v>1</v>
      </c>
      <c r="BZ29" s="742">
        <v>1</v>
      </c>
      <c r="CA29" s="742">
        <v>1</v>
      </c>
      <c r="CB29" s="742">
        <v>0.16629734816646999</v>
      </c>
      <c r="CC29" s="742">
        <v>1</v>
      </c>
      <c r="CD29" s="742">
        <v>1</v>
      </c>
      <c r="CE29" s="742">
        <v>1.00000000000001</v>
      </c>
      <c r="CF29" s="742">
        <v>0.99999999999999101</v>
      </c>
      <c r="CG29" s="742">
        <v>1</v>
      </c>
      <c r="CH29" s="742">
        <v>1</v>
      </c>
      <c r="CI29" s="742">
        <v>1</v>
      </c>
      <c r="CJ29" s="742">
        <v>0.99999999999999201</v>
      </c>
      <c r="CK29" s="742">
        <v>1</v>
      </c>
      <c r="CL29" s="742">
        <v>1</v>
      </c>
      <c r="CM29" s="742">
        <v>1</v>
      </c>
      <c r="CN29" s="742">
        <v>0.99999999999999201</v>
      </c>
      <c r="CO29" s="742">
        <v>1</v>
      </c>
      <c r="CP29" s="742">
        <v>1</v>
      </c>
      <c r="CQ29" s="742">
        <v>1</v>
      </c>
      <c r="CR29" s="742">
        <v>0.166183232283341</v>
      </c>
      <c r="CS29" s="742">
        <v>1</v>
      </c>
      <c r="CT29" s="742">
        <v>1</v>
      </c>
      <c r="CU29" s="742">
        <v>1</v>
      </c>
      <c r="CV29" s="742">
        <v>1</v>
      </c>
      <c r="CW29" s="742">
        <v>1</v>
      </c>
      <c r="CX29" s="742">
        <v>1</v>
      </c>
      <c r="CY29" s="742">
        <v>0.166183521196413</v>
      </c>
      <c r="CZ29" s="742">
        <v>1</v>
      </c>
      <c r="DA29" s="742">
        <v>1</v>
      </c>
      <c r="DB29" s="742">
        <v>1.00000000000001</v>
      </c>
      <c r="DC29" s="742">
        <v>0.16618249741795399</v>
      </c>
      <c r="DD29" s="742">
        <v>1</v>
      </c>
      <c r="DE29" s="742">
        <v>1</v>
      </c>
      <c r="DF29" s="742">
        <v>1.00000000000001</v>
      </c>
      <c r="DG29" s="742">
        <v>0.16618235653504099</v>
      </c>
      <c r="DH29" s="742">
        <v>1</v>
      </c>
      <c r="DI29" s="742">
        <v>1</v>
      </c>
      <c r="DJ29" s="742">
        <v>1.00000000000001</v>
      </c>
      <c r="DK29" s="742">
        <v>0.99999999999965405</v>
      </c>
      <c r="DL29" s="742">
        <v>1</v>
      </c>
      <c r="DM29" s="742">
        <v>1</v>
      </c>
      <c r="DN29" s="742">
        <v>1</v>
      </c>
      <c r="DO29" s="742">
        <v>0.166183231583937</v>
      </c>
      <c r="DP29" s="742">
        <v>1</v>
      </c>
      <c r="DQ29" s="742">
        <v>1</v>
      </c>
      <c r="DR29" s="742">
        <v>1</v>
      </c>
      <c r="DS29" s="742">
        <v>1</v>
      </c>
      <c r="DT29" s="742">
        <v>1</v>
      </c>
      <c r="DU29" s="742">
        <v>1</v>
      </c>
      <c r="DV29" s="742">
        <v>0.166181200560445</v>
      </c>
      <c r="DW29" s="742">
        <v>1</v>
      </c>
      <c r="DX29" s="742">
        <v>1</v>
      </c>
      <c r="DY29" s="742">
        <v>1</v>
      </c>
      <c r="DZ29" s="742">
        <v>0.166180626369266</v>
      </c>
      <c r="EA29" s="742">
        <v>1</v>
      </c>
      <c r="EB29" s="742">
        <v>1</v>
      </c>
      <c r="EC29" s="742">
        <v>1</v>
      </c>
      <c r="ED29" s="742">
        <v>0.16618048535474</v>
      </c>
      <c r="EE29" s="742">
        <v>1</v>
      </c>
      <c r="EF29" s="742">
        <v>1</v>
      </c>
      <c r="EG29" s="742">
        <v>1</v>
      </c>
      <c r="EH29" s="742">
        <v>0.99999999999989997</v>
      </c>
      <c r="EI29" s="742">
        <v>1</v>
      </c>
      <c r="EJ29" s="742">
        <v>1</v>
      </c>
      <c r="EK29" s="742">
        <v>1</v>
      </c>
      <c r="EL29" s="742">
        <v>0.166179892906201</v>
      </c>
      <c r="EM29" s="742">
        <v>1</v>
      </c>
      <c r="EN29" s="742">
        <v>1</v>
      </c>
      <c r="EO29" s="742">
        <v>1</v>
      </c>
      <c r="EP29" s="742">
        <v>1</v>
      </c>
      <c r="EQ29" s="742">
        <v>0.999999999999999</v>
      </c>
      <c r="ER29" s="742">
        <v>1</v>
      </c>
      <c r="ES29" s="742">
        <v>0.166170948561397</v>
      </c>
      <c r="ET29" s="742">
        <v>1</v>
      </c>
      <c r="EU29" s="742">
        <v>0.999999999999999</v>
      </c>
      <c r="EV29" s="742">
        <v>1</v>
      </c>
      <c r="EW29" s="742">
        <v>0.16617090890969499</v>
      </c>
      <c r="EX29" s="742">
        <v>1</v>
      </c>
      <c r="EY29" s="742">
        <v>0.999999999999999</v>
      </c>
      <c r="EZ29" s="742">
        <v>1</v>
      </c>
      <c r="FA29" s="742">
        <v>0.16617076786232099</v>
      </c>
      <c r="FB29" s="742">
        <v>1</v>
      </c>
      <c r="FC29" s="742">
        <v>0.999999999999999</v>
      </c>
      <c r="FD29" s="742">
        <v>1</v>
      </c>
      <c r="FE29" s="742">
        <v>0.99999999997752398</v>
      </c>
      <c r="FF29" s="742">
        <v>1</v>
      </c>
      <c r="FG29" s="742">
        <v>0.999999999999999</v>
      </c>
      <c r="FH29" s="742">
        <v>1</v>
      </c>
    </row>
    <row r="30" spans="1:164" ht="12.75" customHeight="1" x14ac:dyDescent="0.2">
      <c r="A30" s="489"/>
      <c r="B30" s="489"/>
      <c r="C30" s="489"/>
      <c r="D30" s="489"/>
      <c r="E30" s="489"/>
      <c r="F30" s="744"/>
      <c r="G30" s="745"/>
      <c r="H30" s="506"/>
      <c r="I30" s="750">
        <v>837589.06624272198</v>
      </c>
      <c r="J30" s="742">
        <v>0.21126673010891101</v>
      </c>
      <c r="K30" s="742">
        <v>1</v>
      </c>
      <c r="L30" s="742">
        <v>1</v>
      </c>
      <c r="M30" s="742">
        <v>1</v>
      </c>
      <c r="N30" s="742">
        <v>1</v>
      </c>
      <c r="O30" s="742">
        <v>1</v>
      </c>
      <c r="P30" s="742">
        <v>1</v>
      </c>
      <c r="Q30" s="742">
        <v>1</v>
      </c>
      <c r="R30" s="742">
        <v>1</v>
      </c>
      <c r="S30" s="742">
        <v>1</v>
      </c>
      <c r="T30" s="742">
        <v>1</v>
      </c>
      <c r="U30" s="742">
        <v>1</v>
      </c>
      <c r="V30" s="742">
        <v>1</v>
      </c>
      <c r="W30" s="742">
        <v>1</v>
      </c>
      <c r="X30" s="742">
        <v>1</v>
      </c>
      <c r="Y30" s="742">
        <v>0.32393269352868798</v>
      </c>
      <c r="Z30" s="742">
        <v>1</v>
      </c>
      <c r="AA30" s="742">
        <v>1</v>
      </c>
      <c r="AB30" s="742">
        <v>1</v>
      </c>
      <c r="AC30" s="742">
        <v>1</v>
      </c>
      <c r="AD30" s="742">
        <v>1</v>
      </c>
      <c r="AE30" s="742">
        <v>1</v>
      </c>
      <c r="AF30" s="742">
        <v>1</v>
      </c>
      <c r="AG30" s="742">
        <v>1</v>
      </c>
      <c r="AH30" s="742">
        <v>1</v>
      </c>
      <c r="AI30" s="742">
        <v>1</v>
      </c>
      <c r="AJ30" s="742">
        <v>1</v>
      </c>
      <c r="AK30" s="742">
        <v>0.32631126599222099</v>
      </c>
      <c r="AL30" s="742">
        <v>1</v>
      </c>
      <c r="AM30" s="742">
        <v>1</v>
      </c>
      <c r="AN30" s="742">
        <v>1</v>
      </c>
      <c r="AO30" s="742">
        <v>1</v>
      </c>
      <c r="AP30" s="742">
        <v>1</v>
      </c>
      <c r="AQ30" s="742">
        <v>1</v>
      </c>
      <c r="AR30" s="742">
        <v>1</v>
      </c>
      <c r="AS30" s="742">
        <v>1</v>
      </c>
      <c r="AT30" s="742">
        <v>1</v>
      </c>
      <c r="AU30" s="742">
        <v>1</v>
      </c>
      <c r="AV30" s="742">
        <v>1</v>
      </c>
      <c r="AW30" s="742">
        <v>1</v>
      </c>
      <c r="AX30" s="742">
        <v>1</v>
      </c>
      <c r="AY30" s="742">
        <v>1</v>
      </c>
      <c r="AZ30" s="742">
        <v>1</v>
      </c>
      <c r="BA30" s="742">
        <v>0.18348019891003201</v>
      </c>
      <c r="BB30" s="742">
        <v>1</v>
      </c>
      <c r="BC30" s="742">
        <v>1</v>
      </c>
      <c r="BD30" s="742">
        <v>1</v>
      </c>
      <c r="BE30" s="742">
        <v>1</v>
      </c>
      <c r="BF30" s="742">
        <v>1</v>
      </c>
      <c r="BG30" s="742">
        <v>1</v>
      </c>
      <c r="BH30" s="742">
        <v>0.999999999999997</v>
      </c>
      <c r="BI30" s="742">
        <v>1</v>
      </c>
      <c r="BJ30" s="742">
        <v>1</v>
      </c>
      <c r="BK30" s="742">
        <v>1</v>
      </c>
      <c r="BL30" s="742">
        <v>0.99999999999999301</v>
      </c>
      <c r="BM30" s="742">
        <v>1</v>
      </c>
      <c r="BN30" s="742">
        <v>1</v>
      </c>
      <c r="BO30" s="742">
        <v>1</v>
      </c>
      <c r="BP30" s="742">
        <v>0.182963066434323</v>
      </c>
      <c r="BQ30" s="742">
        <v>1</v>
      </c>
      <c r="BR30" s="742">
        <v>1</v>
      </c>
      <c r="BS30" s="742">
        <v>0.999999999999999</v>
      </c>
      <c r="BT30" s="742">
        <v>0.999999999999997</v>
      </c>
      <c r="BU30" s="742">
        <v>1</v>
      </c>
      <c r="BV30" s="742">
        <v>1</v>
      </c>
      <c r="BW30" s="742">
        <v>1</v>
      </c>
      <c r="BX30" s="742">
        <v>0.99999999999999301</v>
      </c>
      <c r="BY30" s="742">
        <v>1</v>
      </c>
      <c r="BZ30" s="742">
        <v>1</v>
      </c>
      <c r="CA30" s="742">
        <v>1</v>
      </c>
      <c r="CB30" s="742">
        <v>0.18296317558294001</v>
      </c>
      <c r="CC30" s="742">
        <v>1</v>
      </c>
      <c r="CD30" s="742">
        <v>1</v>
      </c>
      <c r="CE30" s="742">
        <v>1.00000000000001</v>
      </c>
      <c r="CF30" s="742">
        <v>0.99999999999999201</v>
      </c>
      <c r="CG30" s="742">
        <v>1</v>
      </c>
      <c r="CH30" s="742">
        <v>1</v>
      </c>
      <c r="CI30" s="742">
        <v>1</v>
      </c>
      <c r="CJ30" s="742">
        <v>0.99999999999999301</v>
      </c>
      <c r="CK30" s="742">
        <v>1</v>
      </c>
      <c r="CL30" s="742">
        <v>1</v>
      </c>
      <c r="CM30" s="742">
        <v>1</v>
      </c>
      <c r="CN30" s="742">
        <v>0.99999999999999201</v>
      </c>
      <c r="CO30" s="742">
        <v>1</v>
      </c>
      <c r="CP30" s="742">
        <v>1</v>
      </c>
      <c r="CQ30" s="742">
        <v>1</v>
      </c>
      <c r="CR30" s="742">
        <v>0.18285134089156399</v>
      </c>
      <c r="CS30" s="742">
        <v>1</v>
      </c>
      <c r="CT30" s="742">
        <v>1</v>
      </c>
      <c r="CU30" s="742">
        <v>1</v>
      </c>
      <c r="CV30" s="742">
        <v>1</v>
      </c>
      <c r="CW30" s="742">
        <v>1</v>
      </c>
      <c r="CX30" s="742">
        <v>1</v>
      </c>
      <c r="CY30" s="742">
        <v>0.182851624029225</v>
      </c>
      <c r="CZ30" s="742">
        <v>1</v>
      </c>
      <c r="DA30" s="742">
        <v>1</v>
      </c>
      <c r="DB30" s="742">
        <v>1.00000000000001</v>
      </c>
      <c r="DC30" s="742">
        <v>0.18285062071623401</v>
      </c>
      <c r="DD30" s="742">
        <v>1</v>
      </c>
      <c r="DE30" s="742">
        <v>1</v>
      </c>
      <c r="DF30" s="742">
        <v>1.00000000000001</v>
      </c>
      <c r="DG30" s="742">
        <v>0.182850482649589</v>
      </c>
      <c r="DH30" s="742">
        <v>1</v>
      </c>
      <c r="DI30" s="742">
        <v>1</v>
      </c>
      <c r="DJ30" s="742">
        <v>1.00000000000001</v>
      </c>
      <c r="DK30" s="742">
        <v>0.99999999999966105</v>
      </c>
      <c r="DL30" s="742">
        <v>1</v>
      </c>
      <c r="DM30" s="742">
        <v>1</v>
      </c>
      <c r="DN30" s="742">
        <v>1</v>
      </c>
      <c r="DO30" s="742">
        <v>0.18285134020614099</v>
      </c>
      <c r="DP30" s="742">
        <v>1</v>
      </c>
      <c r="DQ30" s="742">
        <v>1</v>
      </c>
      <c r="DR30" s="742">
        <v>1</v>
      </c>
      <c r="DS30" s="742">
        <v>1</v>
      </c>
      <c r="DT30" s="742">
        <v>1</v>
      </c>
      <c r="DU30" s="742">
        <v>1</v>
      </c>
      <c r="DV30" s="742">
        <v>0.18284934978308001</v>
      </c>
      <c r="DW30" s="742">
        <v>1</v>
      </c>
      <c r="DX30" s="742">
        <v>1</v>
      </c>
      <c r="DY30" s="742">
        <v>1.00000000000001</v>
      </c>
      <c r="DZ30" s="742">
        <v>0.18284878707006</v>
      </c>
      <c r="EA30" s="742">
        <v>1</v>
      </c>
      <c r="EB30" s="742">
        <v>1</v>
      </c>
      <c r="EC30" s="742">
        <v>1.00000000000001</v>
      </c>
      <c r="ED30" s="742">
        <v>0.182848648874432</v>
      </c>
      <c r="EE30" s="742">
        <v>1</v>
      </c>
      <c r="EF30" s="742">
        <v>1</v>
      </c>
      <c r="EG30" s="742">
        <v>1.00000000000001</v>
      </c>
      <c r="EH30" s="742">
        <v>0.99999999999990197</v>
      </c>
      <c r="EI30" s="742">
        <v>1</v>
      </c>
      <c r="EJ30" s="742">
        <v>1</v>
      </c>
      <c r="EK30" s="742">
        <v>1</v>
      </c>
      <c r="EL30" s="742">
        <v>0.182848068269019</v>
      </c>
      <c r="EM30" s="742">
        <v>1</v>
      </c>
      <c r="EN30" s="742">
        <v>1</v>
      </c>
      <c r="EO30" s="742">
        <v>1</v>
      </c>
      <c r="EP30" s="742">
        <v>1</v>
      </c>
      <c r="EQ30" s="742">
        <v>1</v>
      </c>
      <c r="ER30" s="742">
        <v>1</v>
      </c>
      <c r="ES30" s="742">
        <v>0.182839302722863</v>
      </c>
      <c r="ET30" s="742">
        <v>0.999999999999999</v>
      </c>
      <c r="EU30" s="742">
        <v>1</v>
      </c>
      <c r="EV30" s="742">
        <v>0.999999999999999</v>
      </c>
      <c r="EW30" s="742">
        <v>0.182839263863804</v>
      </c>
      <c r="EX30" s="742">
        <v>1</v>
      </c>
      <c r="EY30" s="742">
        <v>1</v>
      </c>
      <c r="EZ30" s="742">
        <v>1</v>
      </c>
      <c r="FA30" s="742">
        <v>0.18283912563598601</v>
      </c>
      <c r="FB30" s="742">
        <v>1</v>
      </c>
      <c r="FC30" s="742">
        <v>1</v>
      </c>
      <c r="FD30" s="742">
        <v>1</v>
      </c>
      <c r="FE30" s="742">
        <v>0.99999999997797395</v>
      </c>
      <c r="FF30" s="742">
        <v>1</v>
      </c>
      <c r="FG30" s="742">
        <v>1</v>
      </c>
      <c r="FH30" s="742">
        <v>0.999999999999999</v>
      </c>
    </row>
    <row r="31" spans="1:164" ht="12.75" customHeight="1" x14ac:dyDescent="0.2">
      <c r="A31" s="489"/>
      <c r="B31" s="489"/>
      <c r="C31" s="489"/>
      <c r="D31" s="489"/>
      <c r="E31" s="489"/>
      <c r="F31" s="744"/>
      <c r="G31" s="745"/>
      <c r="H31" s="506"/>
      <c r="I31" s="750">
        <v>921347.97286699503</v>
      </c>
      <c r="J31" s="742">
        <v>0.22703361362927199</v>
      </c>
      <c r="K31" s="742">
        <v>1</v>
      </c>
      <c r="L31" s="742">
        <v>1</v>
      </c>
      <c r="M31" s="742">
        <v>1</v>
      </c>
      <c r="N31" s="742">
        <v>1</v>
      </c>
      <c r="O31" s="742">
        <v>1</v>
      </c>
      <c r="P31" s="742">
        <v>1</v>
      </c>
      <c r="Q31" s="742">
        <v>1</v>
      </c>
      <c r="R31" s="742">
        <v>1</v>
      </c>
      <c r="S31" s="742">
        <v>1</v>
      </c>
      <c r="T31" s="742">
        <v>1</v>
      </c>
      <c r="U31" s="742">
        <v>1</v>
      </c>
      <c r="V31" s="742">
        <v>1</v>
      </c>
      <c r="W31" s="742">
        <v>1</v>
      </c>
      <c r="X31" s="742">
        <v>1</v>
      </c>
      <c r="Y31" s="742">
        <v>0.33744736937662101</v>
      </c>
      <c r="Z31" s="742">
        <v>1</v>
      </c>
      <c r="AA31" s="742">
        <v>1</v>
      </c>
      <c r="AB31" s="742">
        <v>1</v>
      </c>
      <c r="AC31" s="742">
        <v>1</v>
      </c>
      <c r="AD31" s="742">
        <v>1</v>
      </c>
      <c r="AE31" s="742">
        <v>1</v>
      </c>
      <c r="AF31" s="742">
        <v>1</v>
      </c>
      <c r="AG31" s="742">
        <v>1</v>
      </c>
      <c r="AH31" s="742">
        <v>1</v>
      </c>
      <c r="AI31" s="742">
        <v>1</v>
      </c>
      <c r="AJ31" s="742">
        <v>1</v>
      </c>
      <c r="AK31" s="742">
        <v>0.33977839385858799</v>
      </c>
      <c r="AL31" s="742">
        <v>1</v>
      </c>
      <c r="AM31" s="742">
        <v>1</v>
      </c>
      <c r="AN31" s="742">
        <v>1</v>
      </c>
      <c r="AO31" s="742">
        <v>1</v>
      </c>
      <c r="AP31" s="742">
        <v>1</v>
      </c>
      <c r="AQ31" s="742">
        <v>1</v>
      </c>
      <c r="AR31" s="742">
        <v>1</v>
      </c>
      <c r="AS31" s="742">
        <v>1</v>
      </c>
      <c r="AT31" s="742">
        <v>1</v>
      </c>
      <c r="AU31" s="742">
        <v>1</v>
      </c>
      <c r="AV31" s="742">
        <v>1</v>
      </c>
      <c r="AW31" s="742">
        <v>1</v>
      </c>
      <c r="AX31" s="742">
        <v>1</v>
      </c>
      <c r="AY31" s="742">
        <v>1</v>
      </c>
      <c r="AZ31" s="742">
        <v>1</v>
      </c>
      <c r="BA31" s="742">
        <v>0.19980253890417499</v>
      </c>
      <c r="BB31" s="742">
        <v>1</v>
      </c>
      <c r="BC31" s="742">
        <v>1</v>
      </c>
      <c r="BD31" s="742">
        <v>1</v>
      </c>
      <c r="BE31" s="742">
        <v>1</v>
      </c>
      <c r="BF31" s="742">
        <v>1</v>
      </c>
      <c r="BG31" s="742">
        <v>1</v>
      </c>
      <c r="BH31" s="742">
        <v>0.999999999999997</v>
      </c>
      <c r="BI31" s="742">
        <v>1</v>
      </c>
      <c r="BJ31" s="742">
        <v>1</v>
      </c>
      <c r="BK31" s="742">
        <v>1</v>
      </c>
      <c r="BL31" s="742">
        <v>0.99999999999999301</v>
      </c>
      <c r="BM31" s="742">
        <v>1</v>
      </c>
      <c r="BN31" s="742">
        <v>1</v>
      </c>
      <c r="BO31" s="742">
        <v>1</v>
      </c>
      <c r="BP31" s="742">
        <v>0.199295743975798</v>
      </c>
      <c r="BQ31" s="742">
        <v>1</v>
      </c>
      <c r="BR31" s="742">
        <v>1</v>
      </c>
      <c r="BS31" s="742">
        <v>0.99999999999999001</v>
      </c>
      <c r="BT31" s="742">
        <v>0.999999999999997</v>
      </c>
      <c r="BU31" s="742">
        <v>1</v>
      </c>
      <c r="BV31" s="742">
        <v>1</v>
      </c>
      <c r="BW31" s="742">
        <v>1</v>
      </c>
      <c r="BX31" s="742">
        <v>0.99999999999999301</v>
      </c>
      <c r="BY31" s="742">
        <v>1</v>
      </c>
      <c r="BZ31" s="742">
        <v>1</v>
      </c>
      <c r="CA31" s="742">
        <v>1</v>
      </c>
      <c r="CB31" s="742">
        <v>0.199295850942519</v>
      </c>
      <c r="CC31" s="742">
        <v>1</v>
      </c>
      <c r="CD31" s="742">
        <v>1</v>
      </c>
      <c r="CE31" s="742">
        <v>0.99999999999998701</v>
      </c>
      <c r="CF31" s="742">
        <v>0.99999999999999201</v>
      </c>
      <c r="CG31" s="742">
        <v>1</v>
      </c>
      <c r="CH31" s="742">
        <v>1</v>
      </c>
      <c r="CI31" s="742">
        <v>1</v>
      </c>
      <c r="CJ31" s="742">
        <v>0.99999999999999301</v>
      </c>
      <c r="CK31" s="742">
        <v>1</v>
      </c>
      <c r="CL31" s="742">
        <v>1</v>
      </c>
      <c r="CM31" s="742">
        <v>1</v>
      </c>
      <c r="CN31" s="742">
        <v>0.99999999999999201</v>
      </c>
      <c r="CO31" s="742">
        <v>1</v>
      </c>
      <c r="CP31" s="742">
        <v>1</v>
      </c>
      <c r="CQ31" s="742">
        <v>1</v>
      </c>
      <c r="CR31" s="742">
        <v>0.19918625184157601</v>
      </c>
      <c r="CS31" s="742">
        <v>1</v>
      </c>
      <c r="CT31" s="742">
        <v>1</v>
      </c>
      <c r="CU31" s="742">
        <v>1</v>
      </c>
      <c r="CV31" s="742">
        <v>1</v>
      </c>
      <c r="CW31" s="742">
        <v>1</v>
      </c>
      <c r="CX31" s="742">
        <v>1</v>
      </c>
      <c r="CY31" s="742">
        <v>0.19918652931927699</v>
      </c>
      <c r="CZ31" s="742">
        <v>1</v>
      </c>
      <c r="DA31" s="742">
        <v>1</v>
      </c>
      <c r="DB31" s="742">
        <v>1.00000000000001</v>
      </c>
      <c r="DC31" s="742">
        <v>0.19918554606264699</v>
      </c>
      <c r="DD31" s="742">
        <v>1</v>
      </c>
      <c r="DE31" s="742">
        <v>1</v>
      </c>
      <c r="DF31" s="742">
        <v>1.00000000000001</v>
      </c>
      <c r="DG31" s="742">
        <v>0.19918541075597199</v>
      </c>
      <c r="DH31" s="742">
        <v>1</v>
      </c>
      <c r="DI31" s="742">
        <v>1</v>
      </c>
      <c r="DJ31" s="742">
        <v>1.00000000000001</v>
      </c>
      <c r="DK31" s="742">
        <v>0.99999999999966804</v>
      </c>
      <c r="DL31" s="742">
        <v>1</v>
      </c>
      <c r="DM31" s="742">
        <v>1</v>
      </c>
      <c r="DN31" s="742">
        <v>1</v>
      </c>
      <c r="DO31" s="742">
        <v>0.199186251169855</v>
      </c>
      <c r="DP31" s="742">
        <v>1</v>
      </c>
      <c r="DQ31" s="742">
        <v>1</v>
      </c>
      <c r="DR31" s="742">
        <v>1</v>
      </c>
      <c r="DS31" s="742">
        <v>1</v>
      </c>
      <c r="DT31" s="742">
        <v>1</v>
      </c>
      <c r="DU31" s="742">
        <v>1</v>
      </c>
      <c r="DV31" s="742">
        <v>0.199184300535616</v>
      </c>
      <c r="DW31" s="742">
        <v>1</v>
      </c>
      <c r="DX31" s="742">
        <v>1</v>
      </c>
      <c r="DY31" s="742">
        <v>1.00000000000001</v>
      </c>
      <c r="DZ31" s="742">
        <v>0.19918374907130501</v>
      </c>
      <c r="EA31" s="742">
        <v>1</v>
      </c>
      <c r="EB31" s="742">
        <v>1</v>
      </c>
      <c r="EC31" s="742">
        <v>1.00000000000001</v>
      </c>
      <c r="ED31" s="742">
        <v>0.19918361363822601</v>
      </c>
      <c r="EE31" s="742">
        <v>1</v>
      </c>
      <c r="EF31" s="742">
        <v>1</v>
      </c>
      <c r="EG31" s="742">
        <v>1.00000000000001</v>
      </c>
      <c r="EH31" s="742">
        <v>0.99999999999990297</v>
      </c>
      <c r="EI31" s="742">
        <v>1</v>
      </c>
      <c r="EJ31" s="742">
        <v>1</v>
      </c>
      <c r="EK31" s="742">
        <v>1</v>
      </c>
      <c r="EL31" s="742">
        <v>0.19918304463919301</v>
      </c>
      <c r="EM31" s="742">
        <v>1</v>
      </c>
      <c r="EN31" s="742">
        <v>1</v>
      </c>
      <c r="EO31" s="742">
        <v>1</v>
      </c>
      <c r="EP31" s="742">
        <v>1</v>
      </c>
      <c r="EQ31" s="742">
        <v>1</v>
      </c>
      <c r="ER31" s="742">
        <v>1</v>
      </c>
      <c r="ES31" s="742">
        <v>0.19917445431747699</v>
      </c>
      <c r="ET31" s="742">
        <v>1</v>
      </c>
      <c r="EU31" s="742">
        <v>0.999999999999999</v>
      </c>
      <c r="EV31" s="742">
        <v>1</v>
      </c>
      <c r="EW31" s="742">
        <v>0.19917441623521501</v>
      </c>
      <c r="EX31" s="742">
        <v>1</v>
      </c>
      <c r="EY31" s="742">
        <v>0.999999999999999</v>
      </c>
      <c r="EZ31" s="742">
        <v>1</v>
      </c>
      <c r="FA31" s="742">
        <v>0.19917428077058999</v>
      </c>
      <c r="FB31" s="742">
        <v>1</v>
      </c>
      <c r="FC31" s="742">
        <v>1</v>
      </c>
      <c r="FD31" s="742">
        <v>1</v>
      </c>
      <c r="FE31" s="742">
        <v>0.99999999997841404</v>
      </c>
      <c r="FF31" s="742">
        <v>1</v>
      </c>
      <c r="FG31" s="742">
        <v>1</v>
      </c>
      <c r="FH31" s="742">
        <v>1</v>
      </c>
    </row>
    <row r="32" spans="1:164" ht="12.75" customHeight="1" x14ac:dyDescent="0.2">
      <c r="A32" s="489"/>
      <c r="B32" s="489"/>
      <c r="C32" s="489"/>
      <c r="D32" s="489"/>
      <c r="E32" s="489"/>
      <c r="F32" s="744"/>
      <c r="G32" s="745"/>
      <c r="H32" s="506"/>
      <c r="I32" s="750">
        <v>1005106.8794912701</v>
      </c>
      <c r="J32" s="742">
        <v>0.24248531492877701</v>
      </c>
      <c r="K32" s="742">
        <v>1</v>
      </c>
      <c r="L32" s="742">
        <v>1</v>
      </c>
      <c r="M32" s="742">
        <v>1</v>
      </c>
      <c r="N32" s="742">
        <v>1</v>
      </c>
      <c r="O32" s="742">
        <v>1</v>
      </c>
      <c r="P32" s="742">
        <v>1</v>
      </c>
      <c r="Q32" s="742">
        <v>1</v>
      </c>
      <c r="R32" s="742">
        <v>1</v>
      </c>
      <c r="S32" s="742">
        <v>1</v>
      </c>
      <c r="T32" s="742">
        <v>1</v>
      </c>
      <c r="U32" s="742">
        <v>0.999999999999999</v>
      </c>
      <c r="V32" s="742">
        <v>1</v>
      </c>
      <c r="W32" s="742">
        <v>1</v>
      </c>
      <c r="X32" s="742">
        <v>1</v>
      </c>
      <c r="Y32" s="742">
        <v>0.35069188495207998</v>
      </c>
      <c r="Z32" s="742">
        <v>1</v>
      </c>
      <c r="AA32" s="742">
        <v>1</v>
      </c>
      <c r="AB32" s="742">
        <v>1</v>
      </c>
      <c r="AC32" s="742">
        <v>1</v>
      </c>
      <c r="AD32" s="742">
        <v>1</v>
      </c>
      <c r="AE32" s="742">
        <v>1</v>
      </c>
      <c r="AF32" s="742">
        <v>1</v>
      </c>
      <c r="AG32" s="742">
        <v>0.999999999999999</v>
      </c>
      <c r="AH32" s="742">
        <v>1</v>
      </c>
      <c r="AI32" s="742">
        <v>1</v>
      </c>
      <c r="AJ32" s="742">
        <v>1</v>
      </c>
      <c r="AK32" s="742">
        <v>0.35297631194332502</v>
      </c>
      <c r="AL32" s="742">
        <v>1</v>
      </c>
      <c r="AM32" s="742">
        <v>1</v>
      </c>
      <c r="AN32" s="742">
        <v>1</v>
      </c>
      <c r="AO32" s="742">
        <v>1</v>
      </c>
      <c r="AP32" s="742">
        <v>1</v>
      </c>
      <c r="AQ32" s="742">
        <v>1</v>
      </c>
      <c r="AR32" s="742">
        <v>1</v>
      </c>
      <c r="AS32" s="742">
        <v>1</v>
      </c>
      <c r="AT32" s="742">
        <v>1</v>
      </c>
      <c r="AU32" s="742">
        <v>1</v>
      </c>
      <c r="AV32" s="742">
        <v>1</v>
      </c>
      <c r="AW32" s="742">
        <v>1</v>
      </c>
      <c r="AX32" s="742">
        <v>1</v>
      </c>
      <c r="AY32" s="742">
        <v>1</v>
      </c>
      <c r="AZ32" s="742">
        <v>1</v>
      </c>
      <c r="BA32" s="742">
        <v>0.21579859302436599</v>
      </c>
      <c r="BB32" s="742">
        <v>1</v>
      </c>
      <c r="BC32" s="742">
        <v>1</v>
      </c>
      <c r="BD32" s="742">
        <v>1</v>
      </c>
      <c r="BE32" s="742">
        <v>1</v>
      </c>
      <c r="BF32" s="742">
        <v>1</v>
      </c>
      <c r="BG32" s="742">
        <v>1</v>
      </c>
      <c r="BH32" s="742">
        <v>0.999999999999997</v>
      </c>
      <c r="BI32" s="742">
        <v>1</v>
      </c>
      <c r="BJ32" s="742">
        <v>1</v>
      </c>
      <c r="BK32" s="742">
        <v>1</v>
      </c>
      <c r="BL32" s="742">
        <v>0.999999999999994</v>
      </c>
      <c r="BM32" s="742">
        <v>1</v>
      </c>
      <c r="BN32" s="742">
        <v>1</v>
      </c>
      <c r="BO32" s="742">
        <v>1</v>
      </c>
      <c r="BP32" s="742">
        <v>0.21530192899429301</v>
      </c>
      <c r="BQ32" s="742">
        <v>1</v>
      </c>
      <c r="BR32" s="742">
        <v>1</v>
      </c>
      <c r="BS32" s="742">
        <v>1.00000000000002</v>
      </c>
      <c r="BT32" s="742">
        <v>0.999999999999997</v>
      </c>
      <c r="BU32" s="742">
        <v>1</v>
      </c>
      <c r="BV32" s="742">
        <v>1</v>
      </c>
      <c r="BW32" s="742">
        <v>1</v>
      </c>
      <c r="BX32" s="742">
        <v>0.99999999999999301</v>
      </c>
      <c r="BY32" s="742">
        <v>1</v>
      </c>
      <c r="BZ32" s="742">
        <v>1</v>
      </c>
      <c r="CA32" s="742">
        <v>1</v>
      </c>
      <c r="CB32" s="742">
        <v>0.21530203382273599</v>
      </c>
      <c r="CC32" s="742">
        <v>1</v>
      </c>
      <c r="CD32" s="742">
        <v>1</v>
      </c>
      <c r="CE32" s="742">
        <v>1.00000000000001</v>
      </c>
      <c r="CF32" s="742">
        <v>0.99999999999999201</v>
      </c>
      <c r="CG32" s="742">
        <v>1</v>
      </c>
      <c r="CH32" s="742">
        <v>1</v>
      </c>
      <c r="CI32" s="742">
        <v>1</v>
      </c>
      <c r="CJ32" s="742">
        <v>0.99999999999999301</v>
      </c>
      <c r="CK32" s="742">
        <v>1</v>
      </c>
      <c r="CL32" s="742">
        <v>1</v>
      </c>
      <c r="CM32" s="742">
        <v>1</v>
      </c>
      <c r="CN32" s="742">
        <v>0.99999999999999201</v>
      </c>
      <c r="CO32" s="742">
        <v>1</v>
      </c>
      <c r="CP32" s="742">
        <v>1</v>
      </c>
      <c r="CQ32" s="742">
        <v>1</v>
      </c>
      <c r="CR32" s="742">
        <v>0.215194625622459</v>
      </c>
      <c r="CS32" s="742">
        <v>1</v>
      </c>
      <c r="CT32" s="742">
        <v>1</v>
      </c>
      <c r="CU32" s="742">
        <v>1</v>
      </c>
      <c r="CV32" s="742">
        <v>1</v>
      </c>
      <c r="CW32" s="742">
        <v>1</v>
      </c>
      <c r="CX32" s="742">
        <v>1</v>
      </c>
      <c r="CY32" s="742">
        <v>0.21519489755334301</v>
      </c>
      <c r="CZ32" s="742">
        <v>1</v>
      </c>
      <c r="DA32" s="742">
        <v>1</v>
      </c>
      <c r="DB32" s="742">
        <v>1.00000000000001</v>
      </c>
      <c r="DC32" s="742">
        <v>0.21519393395214501</v>
      </c>
      <c r="DD32" s="742">
        <v>1</v>
      </c>
      <c r="DE32" s="742">
        <v>1</v>
      </c>
      <c r="DF32" s="742">
        <v>1.00000000000001</v>
      </c>
      <c r="DG32" s="742">
        <v>0.215193801350269</v>
      </c>
      <c r="DH32" s="742">
        <v>1</v>
      </c>
      <c r="DI32" s="742">
        <v>1</v>
      </c>
      <c r="DJ32" s="742">
        <v>1.00000000000001</v>
      </c>
      <c r="DK32" s="742">
        <v>0.99999999999967504</v>
      </c>
      <c r="DL32" s="742">
        <v>1</v>
      </c>
      <c r="DM32" s="742">
        <v>1</v>
      </c>
      <c r="DN32" s="742">
        <v>1</v>
      </c>
      <c r="DO32" s="742">
        <v>0.215194624964165</v>
      </c>
      <c r="DP32" s="742">
        <v>1</v>
      </c>
      <c r="DQ32" s="742">
        <v>1</v>
      </c>
      <c r="DR32" s="742">
        <v>1</v>
      </c>
      <c r="DS32" s="742">
        <v>1</v>
      </c>
      <c r="DT32" s="742">
        <v>1</v>
      </c>
      <c r="DU32" s="742">
        <v>1</v>
      </c>
      <c r="DV32" s="742">
        <v>0.21519271332336501</v>
      </c>
      <c r="DW32" s="742">
        <v>1</v>
      </c>
      <c r="DX32" s="742">
        <v>1</v>
      </c>
      <c r="DY32" s="742">
        <v>1.00000000000001</v>
      </c>
      <c r="DZ32" s="742">
        <v>0.21519217288289899</v>
      </c>
      <c r="EA32" s="742">
        <v>1</v>
      </c>
      <c r="EB32" s="742">
        <v>1</v>
      </c>
      <c r="EC32" s="742">
        <v>1.00000000000001</v>
      </c>
      <c r="ED32" s="742">
        <v>0.21519204015714599</v>
      </c>
      <c r="EE32" s="742">
        <v>1</v>
      </c>
      <c r="EF32" s="742">
        <v>1</v>
      </c>
      <c r="EG32" s="742">
        <v>1.00000000000001</v>
      </c>
      <c r="EH32" s="742">
        <v>0.99999999999990696</v>
      </c>
      <c r="EI32" s="742">
        <v>1</v>
      </c>
      <c r="EJ32" s="742">
        <v>1</v>
      </c>
      <c r="EK32" s="742">
        <v>1</v>
      </c>
      <c r="EL32" s="742">
        <v>0.21519148253247999</v>
      </c>
      <c r="EM32" s="742">
        <v>1</v>
      </c>
      <c r="EN32" s="742">
        <v>1</v>
      </c>
      <c r="EO32" s="742">
        <v>1</v>
      </c>
      <c r="EP32" s="742">
        <v>1</v>
      </c>
      <c r="EQ32" s="742">
        <v>1</v>
      </c>
      <c r="ER32" s="742">
        <v>1</v>
      </c>
      <c r="ES32" s="742">
        <v>0.21518306393244199</v>
      </c>
      <c r="ET32" s="742">
        <v>1</v>
      </c>
      <c r="EU32" s="742">
        <v>1</v>
      </c>
      <c r="EV32" s="742">
        <v>1</v>
      </c>
      <c r="EW32" s="742">
        <v>0.21518302661145</v>
      </c>
      <c r="EX32" s="742">
        <v>1</v>
      </c>
      <c r="EY32" s="742">
        <v>1</v>
      </c>
      <c r="EZ32" s="742">
        <v>1</v>
      </c>
      <c r="FA32" s="742">
        <v>0.21518289385478001</v>
      </c>
      <c r="FB32" s="742">
        <v>1</v>
      </c>
      <c r="FC32" s="742">
        <v>1</v>
      </c>
      <c r="FD32" s="742">
        <v>1</v>
      </c>
      <c r="FE32" s="742">
        <v>0.99999999997884603</v>
      </c>
      <c r="FF32" s="742">
        <v>1</v>
      </c>
      <c r="FG32" s="742">
        <v>1</v>
      </c>
      <c r="FH32" s="742">
        <v>1</v>
      </c>
    </row>
    <row r="33" spans="1:164" ht="12.75" customHeight="1" x14ac:dyDescent="0.2">
      <c r="A33" s="489"/>
      <c r="B33" s="489"/>
      <c r="C33" s="489"/>
      <c r="D33" s="489"/>
      <c r="E33" s="489"/>
      <c r="F33" s="744"/>
      <c r="G33" s="745"/>
      <c r="H33" s="506"/>
      <c r="I33" s="750">
        <v>1088865.78611554</v>
      </c>
      <c r="J33" s="742">
        <v>0.25762813426126402</v>
      </c>
      <c r="K33" s="742">
        <v>1</v>
      </c>
      <c r="L33" s="742">
        <v>1</v>
      </c>
      <c r="M33" s="742">
        <v>1</v>
      </c>
      <c r="N33" s="742">
        <v>1</v>
      </c>
      <c r="O33" s="742">
        <v>1</v>
      </c>
      <c r="P33" s="742">
        <v>1</v>
      </c>
      <c r="Q33" s="742">
        <v>1</v>
      </c>
      <c r="R33" s="742">
        <v>1</v>
      </c>
      <c r="S33" s="742">
        <v>1</v>
      </c>
      <c r="T33" s="742">
        <v>1</v>
      </c>
      <c r="U33" s="742">
        <v>0.999999999999999</v>
      </c>
      <c r="V33" s="742">
        <v>1</v>
      </c>
      <c r="W33" s="742">
        <v>1</v>
      </c>
      <c r="X33" s="742">
        <v>1</v>
      </c>
      <c r="Y33" s="742">
        <v>0.36367164055426199</v>
      </c>
      <c r="Z33" s="742">
        <v>1</v>
      </c>
      <c r="AA33" s="742">
        <v>1</v>
      </c>
      <c r="AB33" s="742">
        <v>1</v>
      </c>
      <c r="AC33" s="742">
        <v>1</v>
      </c>
      <c r="AD33" s="742">
        <v>1</v>
      </c>
      <c r="AE33" s="742">
        <v>1</v>
      </c>
      <c r="AF33" s="742">
        <v>1</v>
      </c>
      <c r="AG33" s="742">
        <v>1</v>
      </c>
      <c r="AH33" s="742">
        <v>1</v>
      </c>
      <c r="AI33" s="742">
        <v>0.999999999999999</v>
      </c>
      <c r="AJ33" s="742">
        <v>1</v>
      </c>
      <c r="AK33" s="742">
        <v>0.36591040154603799</v>
      </c>
      <c r="AL33" s="742">
        <v>1</v>
      </c>
      <c r="AM33" s="742">
        <v>0.999999999999999</v>
      </c>
      <c r="AN33" s="742">
        <v>1</v>
      </c>
      <c r="AO33" s="742">
        <v>1</v>
      </c>
      <c r="AP33" s="742">
        <v>1</v>
      </c>
      <c r="AQ33" s="742">
        <v>1</v>
      </c>
      <c r="AR33" s="742">
        <v>1</v>
      </c>
      <c r="AS33" s="742">
        <v>1</v>
      </c>
      <c r="AT33" s="742">
        <v>1</v>
      </c>
      <c r="AU33" s="742">
        <v>1</v>
      </c>
      <c r="AV33" s="742">
        <v>1</v>
      </c>
      <c r="AW33" s="742">
        <v>1</v>
      </c>
      <c r="AX33" s="742">
        <v>1</v>
      </c>
      <c r="AY33" s="742">
        <v>1</v>
      </c>
      <c r="AZ33" s="742">
        <v>1</v>
      </c>
      <c r="BA33" s="742">
        <v>0.231474883478059</v>
      </c>
      <c r="BB33" s="742">
        <v>1</v>
      </c>
      <c r="BC33" s="742">
        <v>1</v>
      </c>
      <c r="BD33" s="742">
        <v>1</v>
      </c>
      <c r="BE33" s="742">
        <v>1</v>
      </c>
      <c r="BF33" s="742">
        <v>1</v>
      </c>
      <c r="BG33" s="742">
        <v>1</v>
      </c>
      <c r="BH33" s="742">
        <v>0.999999999999997</v>
      </c>
      <c r="BI33" s="742">
        <v>1</v>
      </c>
      <c r="BJ33" s="742">
        <v>1</v>
      </c>
      <c r="BK33" s="742">
        <v>1</v>
      </c>
      <c r="BL33" s="742">
        <v>0.99999999999999301</v>
      </c>
      <c r="BM33" s="742">
        <v>1</v>
      </c>
      <c r="BN33" s="742">
        <v>1</v>
      </c>
      <c r="BO33" s="742">
        <v>1</v>
      </c>
      <c r="BP33" s="742">
        <v>0.23098814782802299</v>
      </c>
      <c r="BQ33" s="742">
        <v>1</v>
      </c>
      <c r="BR33" s="742">
        <v>1</v>
      </c>
      <c r="BS33" s="742">
        <v>0.999999999999994</v>
      </c>
      <c r="BT33" s="742">
        <v>0.999999999999997</v>
      </c>
      <c r="BU33" s="742">
        <v>1</v>
      </c>
      <c r="BV33" s="742">
        <v>1</v>
      </c>
      <c r="BW33" s="742">
        <v>1</v>
      </c>
      <c r="BX33" s="742">
        <v>0.999999999999994</v>
      </c>
      <c r="BY33" s="742">
        <v>1</v>
      </c>
      <c r="BZ33" s="742">
        <v>1</v>
      </c>
      <c r="CA33" s="742">
        <v>1</v>
      </c>
      <c r="CB33" s="742">
        <v>0.23098825056093</v>
      </c>
      <c r="CC33" s="742">
        <v>1</v>
      </c>
      <c r="CD33" s="742">
        <v>1</v>
      </c>
      <c r="CE33" s="742">
        <v>1.00000000000002</v>
      </c>
      <c r="CF33" s="742">
        <v>0.99999999999999201</v>
      </c>
      <c r="CG33" s="742">
        <v>1</v>
      </c>
      <c r="CH33" s="742">
        <v>1</v>
      </c>
      <c r="CI33" s="742">
        <v>1</v>
      </c>
      <c r="CJ33" s="742">
        <v>0.99999999999999301</v>
      </c>
      <c r="CK33" s="742">
        <v>1</v>
      </c>
      <c r="CL33" s="742">
        <v>1</v>
      </c>
      <c r="CM33" s="742">
        <v>1</v>
      </c>
      <c r="CN33" s="742">
        <v>0.99999999999999201</v>
      </c>
      <c r="CO33" s="742">
        <v>1</v>
      </c>
      <c r="CP33" s="742">
        <v>1</v>
      </c>
      <c r="CQ33" s="742">
        <v>1</v>
      </c>
      <c r="CR33" s="742">
        <v>0.23088298946486599</v>
      </c>
      <c r="CS33" s="742">
        <v>1</v>
      </c>
      <c r="CT33" s="742">
        <v>1</v>
      </c>
      <c r="CU33" s="742">
        <v>1</v>
      </c>
      <c r="CV33" s="742">
        <v>1</v>
      </c>
      <c r="CW33" s="742">
        <v>1</v>
      </c>
      <c r="CX33" s="742">
        <v>1</v>
      </c>
      <c r="CY33" s="742">
        <v>0.23088325595981599</v>
      </c>
      <c r="CZ33" s="742">
        <v>1</v>
      </c>
      <c r="DA33" s="742">
        <v>1</v>
      </c>
      <c r="DB33" s="742">
        <v>1.00000000000001</v>
      </c>
      <c r="DC33" s="742">
        <v>0.23088231162113401</v>
      </c>
      <c r="DD33" s="742">
        <v>1</v>
      </c>
      <c r="DE33" s="742">
        <v>0.999999999999999</v>
      </c>
      <c r="DF33" s="742">
        <v>1.00000000000001</v>
      </c>
      <c r="DG33" s="742">
        <v>0.230882181669987</v>
      </c>
      <c r="DH33" s="742">
        <v>1</v>
      </c>
      <c r="DI33" s="742">
        <v>0.999999999999999</v>
      </c>
      <c r="DJ33" s="742">
        <v>1.00000000000001</v>
      </c>
      <c r="DK33" s="742">
        <v>0.99999999999968103</v>
      </c>
      <c r="DL33" s="742">
        <v>1</v>
      </c>
      <c r="DM33" s="742">
        <v>1</v>
      </c>
      <c r="DN33" s="742">
        <v>1</v>
      </c>
      <c r="DO33" s="742">
        <v>0.23088298881973199</v>
      </c>
      <c r="DP33" s="742">
        <v>1</v>
      </c>
      <c r="DQ33" s="742">
        <v>1</v>
      </c>
      <c r="DR33" s="742">
        <v>1</v>
      </c>
      <c r="DS33" s="742">
        <v>1</v>
      </c>
      <c r="DT33" s="742">
        <v>1</v>
      </c>
      <c r="DU33" s="742">
        <v>1</v>
      </c>
      <c r="DV33" s="742">
        <v>0.230881115392886</v>
      </c>
      <c r="DW33" s="742">
        <v>1</v>
      </c>
      <c r="DX33" s="742">
        <v>1</v>
      </c>
      <c r="DY33" s="742">
        <v>1.00000000000001</v>
      </c>
      <c r="DZ33" s="742">
        <v>0.23088058575589701</v>
      </c>
      <c r="EA33" s="742">
        <v>1</v>
      </c>
      <c r="EB33" s="742">
        <v>1</v>
      </c>
      <c r="EC33" s="742">
        <v>1.00000000000001</v>
      </c>
      <c r="ED33" s="742">
        <v>0.230880455683349</v>
      </c>
      <c r="EE33" s="742">
        <v>1</v>
      </c>
      <c r="EF33" s="742">
        <v>1</v>
      </c>
      <c r="EG33" s="742">
        <v>1.00000000000001</v>
      </c>
      <c r="EH33" s="742">
        <v>0.99999999999990796</v>
      </c>
      <c r="EI33" s="742">
        <v>1</v>
      </c>
      <c r="EJ33" s="742">
        <v>1</v>
      </c>
      <c r="EK33" s="742">
        <v>1</v>
      </c>
      <c r="EL33" s="742">
        <v>0.230879909205674</v>
      </c>
      <c r="EM33" s="742">
        <v>1</v>
      </c>
      <c r="EN33" s="742">
        <v>1</v>
      </c>
      <c r="EO33" s="742">
        <v>1</v>
      </c>
      <c r="EP33" s="742">
        <v>1</v>
      </c>
      <c r="EQ33" s="742">
        <v>1</v>
      </c>
      <c r="ER33" s="742">
        <v>1</v>
      </c>
      <c r="ES33" s="742">
        <v>0.23087165889457101</v>
      </c>
      <c r="ET33" s="742">
        <v>1</v>
      </c>
      <c r="EU33" s="742">
        <v>1</v>
      </c>
      <c r="EV33" s="742">
        <v>0.999999999999999</v>
      </c>
      <c r="EW33" s="742">
        <v>0.23087162231962999</v>
      </c>
      <c r="EX33" s="742">
        <v>1</v>
      </c>
      <c r="EY33" s="742">
        <v>1</v>
      </c>
      <c r="EZ33" s="742">
        <v>1</v>
      </c>
      <c r="FA33" s="742">
        <v>0.23087149221678499</v>
      </c>
      <c r="FB33" s="742">
        <v>1</v>
      </c>
      <c r="FC33" s="742">
        <v>1</v>
      </c>
      <c r="FD33" s="742">
        <v>1</v>
      </c>
      <c r="FE33" s="742">
        <v>0.99999999997926803</v>
      </c>
      <c r="FF33" s="742">
        <v>1</v>
      </c>
      <c r="FG33" s="742">
        <v>1</v>
      </c>
      <c r="FH33" s="742">
        <v>0.999999999999999</v>
      </c>
    </row>
    <row r="34" spans="1:164" ht="12.75" customHeight="1" x14ac:dyDescent="0.2">
      <c r="A34" s="489"/>
      <c r="B34" s="489"/>
      <c r="C34" s="489"/>
      <c r="D34" s="489"/>
      <c r="E34" s="489"/>
      <c r="F34" s="744"/>
      <c r="G34" s="745"/>
      <c r="H34" s="506"/>
      <c r="I34" s="750">
        <v>1172624.6927398101</v>
      </c>
      <c r="J34" s="742">
        <v>0.27246824627650801</v>
      </c>
      <c r="K34" s="742">
        <v>1</v>
      </c>
      <c r="L34" s="742">
        <v>1</v>
      </c>
      <c r="M34" s="742">
        <v>1</v>
      </c>
      <c r="N34" s="742">
        <v>1</v>
      </c>
      <c r="O34" s="742">
        <v>0.999999999999999</v>
      </c>
      <c r="P34" s="742">
        <v>1</v>
      </c>
      <c r="Q34" s="742">
        <v>1</v>
      </c>
      <c r="R34" s="742">
        <v>1</v>
      </c>
      <c r="S34" s="742">
        <v>1</v>
      </c>
      <c r="T34" s="742">
        <v>1</v>
      </c>
      <c r="U34" s="742">
        <v>1</v>
      </c>
      <c r="V34" s="742">
        <v>1</v>
      </c>
      <c r="W34" s="742">
        <v>1</v>
      </c>
      <c r="X34" s="742">
        <v>1</v>
      </c>
      <c r="Y34" s="742">
        <v>0.37639192882010902</v>
      </c>
      <c r="Z34" s="742">
        <v>1</v>
      </c>
      <c r="AA34" s="742">
        <v>1</v>
      </c>
      <c r="AB34" s="742">
        <v>1</v>
      </c>
      <c r="AC34" s="742">
        <v>1</v>
      </c>
      <c r="AD34" s="742">
        <v>1</v>
      </c>
      <c r="AE34" s="742">
        <v>1</v>
      </c>
      <c r="AF34" s="742">
        <v>1</v>
      </c>
      <c r="AG34" s="742">
        <v>1</v>
      </c>
      <c r="AH34" s="742">
        <v>1</v>
      </c>
      <c r="AI34" s="742">
        <v>1</v>
      </c>
      <c r="AJ34" s="742">
        <v>1</v>
      </c>
      <c r="AK34" s="742">
        <v>0.378585936682859</v>
      </c>
      <c r="AL34" s="742">
        <v>1</v>
      </c>
      <c r="AM34" s="742">
        <v>1</v>
      </c>
      <c r="AN34" s="742">
        <v>1</v>
      </c>
      <c r="AO34" s="742">
        <v>0.999999999999999</v>
      </c>
      <c r="AP34" s="742">
        <v>1</v>
      </c>
      <c r="AQ34" s="742">
        <v>1</v>
      </c>
      <c r="AR34" s="742">
        <v>1</v>
      </c>
      <c r="AS34" s="742">
        <v>1</v>
      </c>
      <c r="AT34" s="742">
        <v>1</v>
      </c>
      <c r="AU34" s="742">
        <v>1</v>
      </c>
      <c r="AV34" s="742">
        <v>1</v>
      </c>
      <c r="AW34" s="742">
        <v>0.999999999999999</v>
      </c>
      <c r="AX34" s="742">
        <v>1</v>
      </c>
      <c r="AY34" s="742">
        <v>1</v>
      </c>
      <c r="AZ34" s="742">
        <v>1</v>
      </c>
      <c r="BA34" s="742">
        <v>0.24683780244369799</v>
      </c>
      <c r="BB34" s="742">
        <v>1</v>
      </c>
      <c r="BC34" s="742">
        <v>1</v>
      </c>
      <c r="BD34" s="742">
        <v>1</v>
      </c>
      <c r="BE34" s="742">
        <v>1</v>
      </c>
      <c r="BF34" s="742">
        <v>1</v>
      </c>
      <c r="BG34" s="742">
        <v>1</v>
      </c>
      <c r="BH34" s="742">
        <v>0.999999999999997</v>
      </c>
      <c r="BI34" s="742">
        <v>1</v>
      </c>
      <c r="BJ34" s="742">
        <v>1</v>
      </c>
      <c r="BK34" s="742">
        <v>1</v>
      </c>
      <c r="BL34" s="742">
        <v>0.99999999999999301</v>
      </c>
      <c r="BM34" s="742">
        <v>1</v>
      </c>
      <c r="BN34" s="742">
        <v>1</v>
      </c>
      <c r="BO34" s="742">
        <v>1</v>
      </c>
      <c r="BP34" s="742">
        <v>0.24636079670383501</v>
      </c>
      <c r="BQ34" s="742">
        <v>1</v>
      </c>
      <c r="BR34" s="742">
        <v>1</v>
      </c>
      <c r="BS34" s="742">
        <v>0.99999999999996503</v>
      </c>
      <c r="BT34" s="742">
        <v>0.999999999999997</v>
      </c>
      <c r="BU34" s="742">
        <v>0.999999999999999</v>
      </c>
      <c r="BV34" s="742">
        <v>1</v>
      </c>
      <c r="BW34" s="742">
        <v>1</v>
      </c>
      <c r="BX34" s="742">
        <v>0.999999999999994</v>
      </c>
      <c r="BY34" s="742">
        <v>1</v>
      </c>
      <c r="BZ34" s="742">
        <v>1</v>
      </c>
      <c r="CA34" s="742">
        <v>1</v>
      </c>
      <c r="CB34" s="742">
        <v>0.24636089738309799</v>
      </c>
      <c r="CC34" s="742">
        <v>1</v>
      </c>
      <c r="CD34" s="742">
        <v>1</v>
      </c>
      <c r="CE34" s="742">
        <v>0.99999999999997102</v>
      </c>
      <c r="CF34" s="742">
        <v>0.99999999999999201</v>
      </c>
      <c r="CG34" s="742">
        <v>1</v>
      </c>
      <c r="CH34" s="742">
        <v>1</v>
      </c>
      <c r="CI34" s="742">
        <v>1</v>
      </c>
      <c r="CJ34" s="742">
        <v>0.99999999999999301</v>
      </c>
      <c r="CK34" s="742">
        <v>1</v>
      </c>
      <c r="CL34" s="742">
        <v>1</v>
      </c>
      <c r="CM34" s="742">
        <v>1</v>
      </c>
      <c r="CN34" s="742">
        <v>0.99999999999999201</v>
      </c>
      <c r="CO34" s="742">
        <v>1</v>
      </c>
      <c r="CP34" s="742">
        <v>1</v>
      </c>
      <c r="CQ34" s="742">
        <v>1</v>
      </c>
      <c r="CR34" s="742">
        <v>0.246257740470298</v>
      </c>
      <c r="CS34" s="742">
        <v>1</v>
      </c>
      <c r="CT34" s="742">
        <v>0.999999999999999</v>
      </c>
      <c r="CU34" s="742">
        <v>1</v>
      </c>
      <c r="CV34" s="742">
        <v>1</v>
      </c>
      <c r="CW34" s="742">
        <v>1</v>
      </c>
      <c r="CX34" s="742">
        <v>1</v>
      </c>
      <c r="CY34" s="742">
        <v>0.24625800163798001</v>
      </c>
      <c r="CZ34" s="742">
        <v>1</v>
      </c>
      <c r="DA34" s="742">
        <v>1</v>
      </c>
      <c r="DB34" s="742">
        <v>0.999999999999996</v>
      </c>
      <c r="DC34" s="742">
        <v>0.24625707617675299</v>
      </c>
      <c r="DD34" s="742">
        <v>1</v>
      </c>
      <c r="DE34" s="742">
        <v>0.999999999999999</v>
      </c>
      <c r="DF34" s="742">
        <v>0.999999999999996</v>
      </c>
      <c r="DG34" s="742">
        <v>0.24625694882334601</v>
      </c>
      <c r="DH34" s="742">
        <v>1</v>
      </c>
      <c r="DI34" s="742">
        <v>1</v>
      </c>
      <c r="DJ34" s="742">
        <v>0.999999999999996</v>
      </c>
      <c r="DK34" s="742">
        <v>0.99999999999968803</v>
      </c>
      <c r="DL34" s="742">
        <v>1</v>
      </c>
      <c r="DM34" s="742">
        <v>1</v>
      </c>
      <c r="DN34" s="742">
        <v>1</v>
      </c>
      <c r="DO34" s="742">
        <v>0.24625773983806001</v>
      </c>
      <c r="DP34" s="742">
        <v>1</v>
      </c>
      <c r="DQ34" s="742">
        <v>0.999999999999999</v>
      </c>
      <c r="DR34" s="742">
        <v>1</v>
      </c>
      <c r="DS34" s="742">
        <v>1</v>
      </c>
      <c r="DT34" s="742">
        <v>0.999999999999999</v>
      </c>
      <c r="DU34" s="742">
        <v>1</v>
      </c>
      <c r="DV34" s="742">
        <v>0.246255903861266</v>
      </c>
      <c r="DW34" s="742">
        <v>1</v>
      </c>
      <c r="DX34" s="742">
        <v>0.999999999999999</v>
      </c>
      <c r="DY34" s="742">
        <v>0.999999999999997</v>
      </c>
      <c r="DZ34" s="742">
        <v>0.24625538481179099</v>
      </c>
      <c r="EA34" s="742">
        <v>1</v>
      </c>
      <c r="EB34" s="742">
        <v>0.999999999999999</v>
      </c>
      <c r="EC34" s="742">
        <v>0.999999999999997</v>
      </c>
      <c r="ED34" s="742">
        <v>0.24625525733941001</v>
      </c>
      <c r="EE34" s="742">
        <v>1</v>
      </c>
      <c r="EF34" s="742">
        <v>0.999999999999999</v>
      </c>
      <c r="EG34" s="742">
        <v>0.999999999999996</v>
      </c>
      <c r="EH34" s="742">
        <v>0.99999999999990796</v>
      </c>
      <c r="EI34" s="742">
        <v>1</v>
      </c>
      <c r="EJ34" s="742">
        <v>0.999999999999999</v>
      </c>
      <c r="EK34" s="742">
        <v>1</v>
      </c>
      <c r="EL34" s="742">
        <v>0.246254721785896</v>
      </c>
      <c r="EM34" s="742">
        <v>1</v>
      </c>
      <c r="EN34" s="742">
        <v>0.999999999999999</v>
      </c>
      <c r="EO34" s="742">
        <v>1</v>
      </c>
      <c r="EP34" s="742">
        <v>1</v>
      </c>
      <c r="EQ34" s="742">
        <v>0.999999999999999</v>
      </c>
      <c r="ER34" s="742">
        <v>1</v>
      </c>
      <c r="ES34" s="742">
        <v>0.24624663639960501</v>
      </c>
      <c r="ET34" s="742">
        <v>1</v>
      </c>
      <c r="EU34" s="742">
        <v>0.999999999999999</v>
      </c>
      <c r="EV34" s="742">
        <v>1</v>
      </c>
      <c r="EW34" s="742">
        <v>0.246246600555803</v>
      </c>
      <c r="EX34" s="742">
        <v>1</v>
      </c>
      <c r="EY34" s="742">
        <v>0.999999999999999</v>
      </c>
      <c r="EZ34" s="742">
        <v>0.999999999999999</v>
      </c>
      <c r="FA34" s="742">
        <v>0.24624647305372999</v>
      </c>
      <c r="FB34" s="742">
        <v>1</v>
      </c>
      <c r="FC34" s="742">
        <v>0.999999999999999</v>
      </c>
      <c r="FD34" s="742">
        <v>0.999999999999999</v>
      </c>
      <c r="FE34" s="742">
        <v>0.99999999997968303</v>
      </c>
      <c r="FF34" s="742">
        <v>1</v>
      </c>
      <c r="FG34" s="742">
        <v>0.999999999999999</v>
      </c>
      <c r="FH34" s="742">
        <v>1</v>
      </c>
    </row>
    <row r="35" spans="1:164" ht="12.75" customHeight="1" x14ac:dyDescent="0.2">
      <c r="A35" s="489"/>
      <c r="B35" s="489"/>
      <c r="C35" s="489"/>
      <c r="D35" s="489"/>
      <c r="E35" s="489"/>
      <c r="F35" s="744"/>
      <c r="G35" s="745"/>
      <c r="H35" s="506"/>
      <c r="I35" s="750">
        <v>1256383.59936408</v>
      </c>
      <c r="J35" s="742">
        <v>0.28701170248436603</v>
      </c>
      <c r="K35" s="742">
        <v>1</v>
      </c>
      <c r="L35" s="742">
        <v>1</v>
      </c>
      <c r="M35" s="742">
        <v>1</v>
      </c>
      <c r="N35" s="742">
        <v>1</v>
      </c>
      <c r="O35" s="742">
        <v>1</v>
      </c>
      <c r="P35" s="742">
        <v>1</v>
      </c>
      <c r="Q35" s="742">
        <v>1</v>
      </c>
      <c r="R35" s="742">
        <v>1</v>
      </c>
      <c r="S35" s="742">
        <v>1</v>
      </c>
      <c r="T35" s="742">
        <v>1</v>
      </c>
      <c r="U35" s="742">
        <v>0.999999999999999</v>
      </c>
      <c r="V35" s="742">
        <v>1</v>
      </c>
      <c r="W35" s="742">
        <v>1</v>
      </c>
      <c r="X35" s="742">
        <v>1</v>
      </c>
      <c r="Y35" s="742">
        <v>0.38885793683646602</v>
      </c>
      <c r="Z35" s="742">
        <v>1</v>
      </c>
      <c r="AA35" s="742">
        <v>1</v>
      </c>
      <c r="AB35" s="742">
        <v>1</v>
      </c>
      <c r="AC35" s="742">
        <v>1</v>
      </c>
      <c r="AD35" s="742">
        <v>1</v>
      </c>
      <c r="AE35" s="742">
        <v>1</v>
      </c>
      <c r="AF35" s="742">
        <v>1</v>
      </c>
      <c r="AG35" s="742">
        <v>0.999999999999999</v>
      </c>
      <c r="AH35" s="742">
        <v>1</v>
      </c>
      <c r="AI35" s="742">
        <v>1</v>
      </c>
      <c r="AJ35" s="742">
        <v>1</v>
      </c>
      <c r="AK35" s="742">
        <v>0.391008086191173</v>
      </c>
      <c r="AL35" s="742">
        <v>1</v>
      </c>
      <c r="AM35" s="742">
        <v>1</v>
      </c>
      <c r="AN35" s="742">
        <v>1</v>
      </c>
      <c r="AO35" s="742">
        <v>1</v>
      </c>
      <c r="AP35" s="742">
        <v>1</v>
      </c>
      <c r="AQ35" s="742">
        <v>1</v>
      </c>
      <c r="AR35" s="742">
        <v>1</v>
      </c>
      <c r="AS35" s="742">
        <v>1</v>
      </c>
      <c r="AT35" s="742">
        <v>1</v>
      </c>
      <c r="AU35" s="742">
        <v>1</v>
      </c>
      <c r="AV35" s="742">
        <v>1</v>
      </c>
      <c r="AW35" s="742">
        <v>1</v>
      </c>
      <c r="AX35" s="742">
        <v>1</v>
      </c>
      <c r="AY35" s="742">
        <v>1</v>
      </c>
      <c r="AZ35" s="742">
        <v>1</v>
      </c>
      <c r="BA35" s="742">
        <v>0.26189361462167299</v>
      </c>
      <c r="BB35" s="742">
        <v>1</v>
      </c>
      <c r="BC35" s="742">
        <v>1</v>
      </c>
      <c r="BD35" s="742">
        <v>1</v>
      </c>
      <c r="BE35" s="742">
        <v>1</v>
      </c>
      <c r="BF35" s="742">
        <v>1</v>
      </c>
      <c r="BG35" s="742">
        <v>1</v>
      </c>
      <c r="BH35" s="742">
        <v>0.999999999999997</v>
      </c>
      <c r="BI35" s="742">
        <v>1</v>
      </c>
      <c r="BJ35" s="742">
        <v>1</v>
      </c>
      <c r="BK35" s="742">
        <v>1</v>
      </c>
      <c r="BL35" s="742">
        <v>0.999999999999994</v>
      </c>
      <c r="BM35" s="742">
        <v>1</v>
      </c>
      <c r="BN35" s="742">
        <v>1</v>
      </c>
      <c r="BO35" s="742">
        <v>1</v>
      </c>
      <c r="BP35" s="742">
        <v>0.261426144289788</v>
      </c>
      <c r="BQ35" s="742">
        <v>1</v>
      </c>
      <c r="BR35" s="742">
        <v>1</v>
      </c>
      <c r="BS35" s="742">
        <v>1</v>
      </c>
      <c r="BT35" s="742">
        <v>0.999999999999998</v>
      </c>
      <c r="BU35" s="742">
        <v>1</v>
      </c>
      <c r="BV35" s="742">
        <v>1</v>
      </c>
      <c r="BW35" s="742">
        <v>1</v>
      </c>
      <c r="BX35" s="742">
        <v>0.999999999999994</v>
      </c>
      <c r="BY35" s="742">
        <v>1</v>
      </c>
      <c r="BZ35" s="742">
        <v>1</v>
      </c>
      <c r="CA35" s="742">
        <v>1</v>
      </c>
      <c r="CB35" s="742">
        <v>0.261426242956459</v>
      </c>
      <c r="CC35" s="742">
        <v>1</v>
      </c>
      <c r="CD35" s="742">
        <v>1</v>
      </c>
      <c r="CE35" s="742">
        <v>0.99999999999996902</v>
      </c>
      <c r="CF35" s="742">
        <v>0.99999999999999201</v>
      </c>
      <c r="CG35" s="742">
        <v>1</v>
      </c>
      <c r="CH35" s="742">
        <v>1</v>
      </c>
      <c r="CI35" s="742">
        <v>1</v>
      </c>
      <c r="CJ35" s="742">
        <v>0.999999999999994</v>
      </c>
      <c r="CK35" s="742">
        <v>1</v>
      </c>
      <c r="CL35" s="742">
        <v>1</v>
      </c>
      <c r="CM35" s="742">
        <v>1</v>
      </c>
      <c r="CN35" s="742">
        <v>0.99999999999999301</v>
      </c>
      <c r="CO35" s="742">
        <v>1</v>
      </c>
      <c r="CP35" s="742">
        <v>1</v>
      </c>
      <c r="CQ35" s="742">
        <v>1</v>
      </c>
      <c r="CR35" s="742">
        <v>0.26132514816402203</v>
      </c>
      <c r="CS35" s="742">
        <v>1</v>
      </c>
      <c r="CT35" s="742">
        <v>1</v>
      </c>
      <c r="CU35" s="742">
        <v>1</v>
      </c>
      <c r="CV35" s="742">
        <v>1</v>
      </c>
      <c r="CW35" s="742">
        <v>1</v>
      </c>
      <c r="CX35" s="742">
        <v>1</v>
      </c>
      <c r="CY35" s="742">
        <v>0.26132540411092697</v>
      </c>
      <c r="CZ35" s="742">
        <v>1</v>
      </c>
      <c r="DA35" s="742">
        <v>1</v>
      </c>
      <c r="DB35" s="742">
        <v>0.99999999999999001</v>
      </c>
      <c r="DC35" s="742">
        <v>0.261324497149793</v>
      </c>
      <c r="DD35" s="742">
        <v>1</v>
      </c>
      <c r="DE35" s="742">
        <v>1</v>
      </c>
      <c r="DF35" s="742">
        <v>0.99999999999998901</v>
      </c>
      <c r="DG35" s="742">
        <v>0.26132437234219802</v>
      </c>
      <c r="DH35" s="742">
        <v>1</v>
      </c>
      <c r="DI35" s="742">
        <v>1</v>
      </c>
      <c r="DJ35" s="742">
        <v>0.99999999999998901</v>
      </c>
      <c r="DK35" s="742">
        <v>0.99999999999969402</v>
      </c>
      <c r="DL35" s="742">
        <v>1</v>
      </c>
      <c r="DM35" s="742">
        <v>1</v>
      </c>
      <c r="DN35" s="742">
        <v>1</v>
      </c>
      <c r="DO35" s="742">
        <v>0.26132514754442199</v>
      </c>
      <c r="DP35" s="742">
        <v>1</v>
      </c>
      <c r="DQ35" s="742">
        <v>1</v>
      </c>
      <c r="DR35" s="742">
        <v>1</v>
      </c>
      <c r="DS35" s="742">
        <v>1</v>
      </c>
      <c r="DT35" s="742">
        <v>1</v>
      </c>
      <c r="DU35" s="742">
        <v>1</v>
      </c>
      <c r="DV35" s="742">
        <v>0.26132334826904902</v>
      </c>
      <c r="DW35" s="742">
        <v>1</v>
      </c>
      <c r="DX35" s="742">
        <v>1</v>
      </c>
      <c r="DY35" s="742">
        <v>0.99999999999999101</v>
      </c>
      <c r="DZ35" s="742">
        <v>0.261322839595441</v>
      </c>
      <c r="EA35" s="742">
        <v>1</v>
      </c>
      <c r="EB35" s="742">
        <v>1</v>
      </c>
      <c r="EC35" s="742">
        <v>0.99999999999999101</v>
      </c>
      <c r="ED35" s="742">
        <v>0.26132271467125001</v>
      </c>
      <c r="EE35" s="742">
        <v>1</v>
      </c>
      <c r="EF35" s="742">
        <v>1</v>
      </c>
      <c r="EG35" s="742">
        <v>0.99999999999999201</v>
      </c>
      <c r="EH35" s="742">
        <v>0.99999999999991296</v>
      </c>
      <c r="EI35" s="742">
        <v>1</v>
      </c>
      <c r="EJ35" s="742">
        <v>1</v>
      </c>
      <c r="EK35" s="742">
        <v>1</v>
      </c>
      <c r="EL35" s="742">
        <v>0.26132218982352101</v>
      </c>
      <c r="EM35" s="742">
        <v>1</v>
      </c>
      <c r="EN35" s="742">
        <v>1</v>
      </c>
      <c r="EO35" s="742">
        <v>1</v>
      </c>
      <c r="EP35" s="742">
        <v>1</v>
      </c>
      <c r="EQ35" s="742">
        <v>1</v>
      </c>
      <c r="ER35" s="742">
        <v>1</v>
      </c>
      <c r="ES35" s="742">
        <v>0.26131426606517399</v>
      </c>
      <c r="ET35" s="742">
        <v>1</v>
      </c>
      <c r="EU35" s="742">
        <v>1</v>
      </c>
      <c r="EV35" s="742">
        <v>1</v>
      </c>
      <c r="EW35" s="742">
        <v>0.26131423093789402</v>
      </c>
      <c r="EX35" s="742">
        <v>1</v>
      </c>
      <c r="EY35" s="742">
        <v>1</v>
      </c>
      <c r="EZ35" s="742">
        <v>0.999999999999999</v>
      </c>
      <c r="FA35" s="742">
        <v>0.26131410598460397</v>
      </c>
      <c r="FB35" s="742">
        <v>1</v>
      </c>
      <c r="FC35" s="742">
        <v>1</v>
      </c>
      <c r="FD35" s="742">
        <v>0.999999999999999</v>
      </c>
      <c r="FE35" s="742">
        <v>0.99999999998009004</v>
      </c>
      <c r="FF35" s="742">
        <v>1</v>
      </c>
      <c r="FG35" s="742">
        <v>1</v>
      </c>
      <c r="FH35" s="742">
        <v>1</v>
      </c>
    </row>
    <row r="36" spans="1:164" ht="12.75" customHeight="1" x14ac:dyDescent="0.2">
      <c r="A36" s="489"/>
      <c r="B36" s="489"/>
      <c r="C36" s="489"/>
      <c r="D36" s="489"/>
      <c r="E36" s="489"/>
      <c r="F36" s="744"/>
      <c r="G36" s="745"/>
      <c r="H36" s="506"/>
      <c r="I36" s="750">
        <v>1340142.5059883599</v>
      </c>
      <c r="J36" s="742">
        <v>0.30126443327661001</v>
      </c>
      <c r="K36" s="742">
        <v>1</v>
      </c>
      <c r="L36" s="742">
        <v>1</v>
      </c>
      <c r="M36" s="742">
        <v>0.999999999999999</v>
      </c>
      <c r="N36" s="742">
        <v>1</v>
      </c>
      <c r="O36" s="742">
        <v>1</v>
      </c>
      <c r="P36" s="742">
        <v>1</v>
      </c>
      <c r="Q36" s="742">
        <v>1</v>
      </c>
      <c r="R36" s="742">
        <v>1</v>
      </c>
      <c r="S36" s="742">
        <v>1</v>
      </c>
      <c r="T36" s="742">
        <v>1</v>
      </c>
      <c r="U36" s="742">
        <v>0.999999999999998</v>
      </c>
      <c r="V36" s="742">
        <v>1</v>
      </c>
      <c r="W36" s="742">
        <v>1</v>
      </c>
      <c r="X36" s="742">
        <v>1</v>
      </c>
      <c r="Y36" s="742">
        <v>0.40107474787310898</v>
      </c>
      <c r="Z36" s="742">
        <v>1</v>
      </c>
      <c r="AA36" s="742">
        <v>1</v>
      </c>
      <c r="AB36" s="742">
        <v>1</v>
      </c>
      <c r="AC36" s="742">
        <v>1</v>
      </c>
      <c r="AD36" s="742">
        <v>1</v>
      </c>
      <c r="AE36" s="742">
        <v>1</v>
      </c>
      <c r="AF36" s="742">
        <v>1</v>
      </c>
      <c r="AG36" s="742">
        <v>0.999999999999999</v>
      </c>
      <c r="AH36" s="742">
        <v>1</v>
      </c>
      <c r="AI36" s="742">
        <v>0.999999999999999</v>
      </c>
      <c r="AJ36" s="742">
        <v>1</v>
      </c>
      <c r="AK36" s="742">
        <v>0.40318191545655502</v>
      </c>
      <c r="AL36" s="742">
        <v>1</v>
      </c>
      <c r="AM36" s="742">
        <v>0.999999999999999</v>
      </c>
      <c r="AN36" s="742">
        <v>1</v>
      </c>
      <c r="AO36" s="742">
        <v>1</v>
      </c>
      <c r="AP36" s="742">
        <v>1</v>
      </c>
      <c r="AQ36" s="742">
        <v>1</v>
      </c>
      <c r="AR36" s="742">
        <v>1</v>
      </c>
      <c r="AS36" s="742">
        <v>0.999999999999999</v>
      </c>
      <c r="AT36" s="742">
        <v>1</v>
      </c>
      <c r="AU36" s="742">
        <v>1</v>
      </c>
      <c r="AV36" s="742">
        <v>1</v>
      </c>
      <c r="AW36" s="742">
        <v>0.999999999999999</v>
      </c>
      <c r="AX36" s="742">
        <v>1</v>
      </c>
      <c r="AY36" s="742">
        <v>1</v>
      </c>
      <c r="AZ36" s="742">
        <v>1</v>
      </c>
      <c r="BA36" s="742">
        <v>0.27664845932738602</v>
      </c>
      <c r="BB36" s="742">
        <v>0.999999999999999</v>
      </c>
      <c r="BC36" s="742">
        <v>1</v>
      </c>
      <c r="BD36" s="742">
        <v>1</v>
      </c>
      <c r="BE36" s="742">
        <v>1</v>
      </c>
      <c r="BF36" s="742">
        <v>1</v>
      </c>
      <c r="BG36" s="742">
        <v>0.999999999999999</v>
      </c>
      <c r="BH36" s="742">
        <v>0.999999999999997</v>
      </c>
      <c r="BI36" s="742">
        <v>1</v>
      </c>
      <c r="BJ36" s="742">
        <v>1</v>
      </c>
      <c r="BK36" s="742">
        <v>0.999999999999999</v>
      </c>
      <c r="BL36" s="742">
        <v>0.999999999999994</v>
      </c>
      <c r="BM36" s="742">
        <v>0.999999999999999</v>
      </c>
      <c r="BN36" s="742">
        <v>1</v>
      </c>
      <c r="BO36" s="742">
        <v>0.999999999999999</v>
      </c>
      <c r="BP36" s="742">
        <v>0.276190333789541</v>
      </c>
      <c r="BQ36" s="742">
        <v>1</v>
      </c>
      <c r="BR36" s="742">
        <v>1</v>
      </c>
      <c r="BS36" s="742">
        <v>1.00000000000002</v>
      </c>
      <c r="BT36" s="742">
        <v>0.999999999999998</v>
      </c>
      <c r="BU36" s="742">
        <v>1</v>
      </c>
      <c r="BV36" s="742">
        <v>1</v>
      </c>
      <c r="BW36" s="742">
        <v>1</v>
      </c>
      <c r="BX36" s="742">
        <v>0.999999999999994</v>
      </c>
      <c r="BY36" s="742">
        <v>0.999999999999999</v>
      </c>
      <c r="BZ36" s="742">
        <v>1</v>
      </c>
      <c r="CA36" s="742">
        <v>1</v>
      </c>
      <c r="CB36" s="742">
        <v>0.276190430483853</v>
      </c>
      <c r="CC36" s="742">
        <v>1</v>
      </c>
      <c r="CD36" s="742">
        <v>1</v>
      </c>
      <c r="CE36" s="742">
        <v>1.00000000000005</v>
      </c>
      <c r="CF36" s="742">
        <v>0.99999999999999301</v>
      </c>
      <c r="CG36" s="742">
        <v>0.999999999999999</v>
      </c>
      <c r="CH36" s="742">
        <v>1</v>
      </c>
      <c r="CI36" s="742">
        <v>1</v>
      </c>
      <c r="CJ36" s="742">
        <v>0.99999999999999301</v>
      </c>
      <c r="CK36" s="742">
        <v>0.999999999999999</v>
      </c>
      <c r="CL36" s="742">
        <v>1</v>
      </c>
      <c r="CM36" s="742">
        <v>1</v>
      </c>
      <c r="CN36" s="742">
        <v>0.99999999999999201</v>
      </c>
      <c r="CO36" s="742">
        <v>1</v>
      </c>
      <c r="CP36" s="742">
        <v>1</v>
      </c>
      <c r="CQ36" s="742">
        <v>1</v>
      </c>
      <c r="CR36" s="742">
        <v>0.27609135658974798</v>
      </c>
      <c r="CS36" s="742">
        <v>1</v>
      </c>
      <c r="CT36" s="742">
        <v>1</v>
      </c>
      <c r="CU36" s="742">
        <v>1</v>
      </c>
      <c r="CV36" s="742">
        <v>1</v>
      </c>
      <c r="CW36" s="742">
        <v>1</v>
      </c>
      <c r="CX36" s="742">
        <v>0.999999999999999</v>
      </c>
      <c r="CY36" s="742">
        <v>0.27609160742024003</v>
      </c>
      <c r="CZ36" s="742">
        <v>1</v>
      </c>
      <c r="DA36" s="742">
        <v>1</v>
      </c>
      <c r="DB36" s="742">
        <v>1</v>
      </c>
      <c r="DC36" s="742">
        <v>0.276090718589379</v>
      </c>
      <c r="DD36" s="742">
        <v>0.999999999999999</v>
      </c>
      <c r="DE36" s="742">
        <v>1</v>
      </c>
      <c r="DF36" s="742">
        <v>1</v>
      </c>
      <c r="DG36" s="742">
        <v>0.27609059627670501</v>
      </c>
      <c r="DH36" s="742">
        <v>1</v>
      </c>
      <c r="DI36" s="742">
        <v>1</v>
      </c>
      <c r="DJ36" s="742">
        <v>1</v>
      </c>
      <c r="DK36" s="742">
        <v>0.99999999999969902</v>
      </c>
      <c r="DL36" s="742">
        <v>1</v>
      </c>
      <c r="DM36" s="742">
        <v>1</v>
      </c>
      <c r="DN36" s="742">
        <v>0.999999999999999</v>
      </c>
      <c r="DO36" s="742">
        <v>0.27609135598253498</v>
      </c>
      <c r="DP36" s="742">
        <v>1</v>
      </c>
      <c r="DQ36" s="742">
        <v>1</v>
      </c>
      <c r="DR36" s="742">
        <v>1</v>
      </c>
      <c r="DS36" s="742">
        <v>0.999999999999999</v>
      </c>
      <c r="DT36" s="742">
        <v>1</v>
      </c>
      <c r="DU36" s="742">
        <v>1</v>
      </c>
      <c r="DV36" s="742">
        <v>0.27608959267491401</v>
      </c>
      <c r="DW36" s="742">
        <v>1</v>
      </c>
      <c r="DX36" s="742">
        <v>1</v>
      </c>
      <c r="DY36" s="742">
        <v>1</v>
      </c>
      <c r="DZ36" s="742">
        <v>0.27608909416975902</v>
      </c>
      <c r="EA36" s="742">
        <v>1</v>
      </c>
      <c r="EB36" s="742">
        <v>1</v>
      </c>
      <c r="EC36" s="742">
        <v>1</v>
      </c>
      <c r="ED36" s="742">
        <v>0.27608897174281899</v>
      </c>
      <c r="EE36" s="742">
        <v>0.999999999999999</v>
      </c>
      <c r="EF36" s="742">
        <v>1</v>
      </c>
      <c r="EG36" s="742">
        <v>1</v>
      </c>
      <c r="EH36" s="742">
        <v>0.99999999999991496</v>
      </c>
      <c r="EI36" s="742">
        <v>1</v>
      </c>
      <c r="EJ36" s="742">
        <v>1</v>
      </c>
      <c r="EK36" s="742">
        <v>0.999999999999999</v>
      </c>
      <c r="EL36" s="742">
        <v>0.27608845738686699</v>
      </c>
      <c r="EM36" s="742">
        <v>1</v>
      </c>
      <c r="EN36" s="742">
        <v>1</v>
      </c>
      <c r="EO36" s="742">
        <v>1</v>
      </c>
      <c r="EP36" s="742">
        <v>1</v>
      </c>
      <c r="EQ36" s="742">
        <v>1</v>
      </c>
      <c r="ER36" s="742">
        <v>1</v>
      </c>
      <c r="ES36" s="742">
        <v>0.27608069202550201</v>
      </c>
      <c r="ET36" s="742">
        <v>0.999999999999999</v>
      </c>
      <c r="EU36" s="742">
        <v>1</v>
      </c>
      <c r="EV36" s="742">
        <v>0.999999999999999</v>
      </c>
      <c r="EW36" s="742">
        <v>0.276080657600421</v>
      </c>
      <c r="EX36" s="742">
        <v>1</v>
      </c>
      <c r="EY36" s="742">
        <v>1</v>
      </c>
      <c r="EZ36" s="742">
        <v>0.999999999999999</v>
      </c>
      <c r="FA36" s="742">
        <v>0.276080535144965</v>
      </c>
      <c r="FB36" s="742">
        <v>0.999999999999999</v>
      </c>
      <c r="FC36" s="742">
        <v>1</v>
      </c>
      <c r="FD36" s="742">
        <v>0.999999999999999</v>
      </c>
      <c r="FE36" s="742">
        <v>0.99999999998048705</v>
      </c>
      <c r="FF36" s="742">
        <v>0.999999999999999</v>
      </c>
      <c r="FG36" s="742">
        <v>1</v>
      </c>
      <c r="FH36" s="742">
        <v>0.999999999999999</v>
      </c>
    </row>
    <row r="37" spans="1:164" ht="12.75" customHeight="1" x14ac:dyDescent="0.2">
      <c r="A37" s="489"/>
      <c r="B37" s="489"/>
      <c r="C37" s="489"/>
      <c r="D37" s="489"/>
      <c r="E37" s="489"/>
      <c r="F37" s="744"/>
      <c r="G37" s="745"/>
      <c r="H37" s="506"/>
      <c r="I37" s="750">
        <v>1423901.4126126301</v>
      </c>
      <c r="J37" s="742">
        <v>0.31523225020213402</v>
      </c>
      <c r="K37" s="742">
        <v>1</v>
      </c>
      <c r="L37" s="742">
        <v>0.999999999999999</v>
      </c>
      <c r="M37" s="742">
        <v>1</v>
      </c>
      <c r="N37" s="742">
        <v>1</v>
      </c>
      <c r="O37" s="742">
        <v>0.999999999999999</v>
      </c>
      <c r="P37" s="742">
        <v>1</v>
      </c>
      <c r="Q37" s="742">
        <v>1</v>
      </c>
      <c r="R37" s="742">
        <v>1</v>
      </c>
      <c r="S37" s="742">
        <v>0.999999999999999</v>
      </c>
      <c r="T37" s="742">
        <v>0.999999999999999</v>
      </c>
      <c r="U37" s="742">
        <v>1</v>
      </c>
      <c r="V37" s="742">
        <v>1</v>
      </c>
      <c r="W37" s="742">
        <v>1</v>
      </c>
      <c r="X37" s="742">
        <v>1</v>
      </c>
      <c r="Y37" s="742">
        <v>0.41304734333295001</v>
      </c>
      <c r="Z37" s="742">
        <v>1</v>
      </c>
      <c r="AA37" s="742">
        <v>0.999999999999999</v>
      </c>
      <c r="AB37" s="742">
        <v>1</v>
      </c>
      <c r="AC37" s="742">
        <v>1</v>
      </c>
      <c r="AD37" s="742">
        <v>1</v>
      </c>
      <c r="AE37" s="742">
        <v>1</v>
      </c>
      <c r="AF37" s="742">
        <v>0.999999999999998</v>
      </c>
      <c r="AG37" s="742">
        <v>1</v>
      </c>
      <c r="AH37" s="742">
        <v>1</v>
      </c>
      <c r="AI37" s="742">
        <v>1</v>
      </c>
      <c r="AJ37" s="742">
        <v>1</v>
      </c>
      <c r="AK37" s="742">
        <v>0.41511238835610398</v>
      </c>
      <c r="AL37" s="742">
        <v>1</v>
      </c>
      <c r="AM37" s="742">
        <v>1</v>
      </c>
      <c r="AN37" s="742">
        <v>1</v>
      </c>
      <c r="AO37" s="742">
        <v>0.999999999999999</v>
      </c>
      <c r="AP37" s="742">
        <v>1</v>
      </c>
      <c r="AQ37" s="742">
        <v>0.999999999999999</v>
      </c>
      <c r="AR37" s="742">
        <v>0.999999999999999</v>
      </c>
      <c r="AS37" s="742">
        <v>1</v>
      </c>
      <c r="AT37" s="742">
        <v>1</v>
      </c>
      <c r="AU37" s="742">
        <v>1</v>
      </c>
      <c r="AV37" s="742">
        <v>1</v>
      </c>
      <c r="AW37" s="742">
        <v>0.999999999999999</v>
      </c>
      <c r="AX37" s="742">
        <v>1</v>
      </c>
      <c r="AY37" s="742">
        <v>1</v>
      </c>
      <c r="AZ37" s="742">
        <v>1</v>
      </c>
      <c r="BA37" s="742">
        <v>0.29110835284660402</v>
      </c>
      <c r="BB37" s="742">
        <v>1</v>
      </c>
      <c r="BC37" s="742">
        <v>0.999999999999999</v>
      </c>
      <c r="BD37" s="742">
        <v>1</v>
      </c>
      <c r="BE37" s="742">
        <v>1</v>
      </c>
      <c r="BF37" s="742">
        <v>0.999999999999999</v>
      </c>
      <c r="BG37" s="742">
        <v>0.999999999999999</v>
      </c>
      <c r="BH37" s="742">
        <v>0.999999999999997</v>
      </c>
      <c r="BI37" s="742">
        <v>0.999999999999999</v>
      </c>
      <c r="BJ37" s="742">
        <v>1</v>
      </c>
      <c r="BK37" s="742">
        <v>0.999999999999999</v>
      </c>
      <c r="BL37" s="742">
        <v>0.99999999999999301</v>
      </c>
      <c r="BM37" s="742">
        <v>1</v>
      </c>
      <c r="BN37" s="742">
        <v>1</v>
      </c>
      <c r="BO37" s="742">
        <v>1</v>
      </c>
      <c r="BP37" s="742">
        <v>0.29065938529920099</v>
      </c>
      <c r="BQ37" s="742">
        <v>1</v>
      </c>
      <c r="BR37" s="742">
        <v>0.999999999999999</v>
      </c>
      <c r="BS37" s="742">
        <v>0.99999999999995803</v>
      </c>
      <c r="BT37" s="742">
        <v>0.999999999999997</v>
      </c>
      <c r="BU37" s="742">
        <v>0.999999999999999</v>
      </c>
      <c r="BV37" s="742">
        <v>0.999999999999999</v>
      </c>
      <c r="BW37" s="742">
        <v>0.999999999999999</v>
      </c>
      <c r="BX37" s="742">
        <v>0.999999999999994</v>
      </c>
      <c r="BY37" s="742">
        <v>1</v>
      </c>
      <c r="BZ37" s="742">
        <v>1</v>
      </c>
      <c r="CA37" s="742">
        <v>0.999999999999999</v>
      </c>
      <c r="CB37" s="742">
        <v>0.29065948006058001</v>
      </c>
      <c r="CC37" s="742">
        <v>1</v>
      </c>
      <c r="CD37" s="742">
        <v>0.999999999999999</v>
      </c>
      <c r="CE37" s="742">
        <v>0.99999999999998901</v>
      </c>
      <c r="CF37" s="742">
        <v>0.99999999999999301</v>
      </c>
      <c r="CG37" s="742">
        <v>1</v>
      </c>
      <c r="CH37" s="742">
        <v>1</v>
      </c>
      <c r="CI37" s="742">
        <v>0.999999999999999</v>
      </c>
      <c r="CJ37" s="742">
        <v>0.99999999999999201</v>
      </c>
      <c r="CK37" s="742">
        <v>1</v>
      </c>
      <c r="CL37" s="742">
        <v>1</v>
      </c>
      <c r="CM37" s="742">
        <v>1</v>
      </c>
      <c r="CN37" s="742">
        <v>0.99999999999999201</v>
      </c>
      <c r="CO37" s="742">
        <v>1</v>
      </c>
      <c r="CP37" s="742">
        <v>0.999999999999999</v>
      </c>
      <c r="CQ37" s="742">
        <v>1</v>
      </c>
      <c r="CR37" s="742">
        <v>0.29056238666679701</v>
      </c>
      <c r="CS37" s="742">
        <v>0.999999999999999</v>
      </c>
      <c r="CT37" s="742">
        <v>0.999999999999998</v>
      </c>
      <c r="CU37" s="742">
        <v>1</v>
      </c>
      <c r="CV37" s="742">
        <v>1</v>
      </c>
      <c r="CW37" s="742">
        <v>0.999999999999999</v>
      </c>
      <c r="CX37" s="742">
        <v>1</v>
      </c>
      <c r="CY37" s="742">
        <v>0.290562632483154</v>
      </c>
      <c r="CZ37" s="742">
        <v>1</v>
      </c>
      <c r="DA37" s="742">
        <v>0.999999999999999</v>
      </c>
      <c r="DB37" s="742">
        <v>1</v>
      </c>
      <c r="DC37" s="742">
        <v>0.29056176142014101</v>
      </c>
      <c r="DD37" s="742">
        <v>1</v>
      </c>
      <c r="DE37" s="742">
        <v>0.999999999999999</v>
      </c>
      <c r="DF37" s="742">
        <v>1</v>
      </c>
      <c r="DG37" s="742">
        <v>0.29056164155251302</v>
      </c>
      <c r="DH37" s="742">
        <v>1</v>
      </c>
      <c r="DI37" s="742">
        <v>0.999999999999999</v>
      </c>
      <c r="DJ37" s="742">
        <v>1</v>
      </c>
      <c r="DK37" s="742">
        <v>0.99999999999970601</v>
      </c>
      <c r="DL37" s="742">
        <v>0.999999999999999</v>
      </c>
      <c r="DM37" s="742">
        <v>0.999999999999999</v>
      </c>
      <c r="DN37" s="742">
        <v>1</v>
      </c>
      <c r="DO37" s="742">
        <v>0.29056238607172202</v>
      </c>
      <c r="DP37" s="742">
        <v>1</v>
      </c>
      <c r="DQ37" s="742">
        <v>0.999999999999998</v>
      </c>
      <c r="DR37" s="742">
        <v>1</v>
      </c>
      <c r="DS37" s="742">
        <v>1</v>
      </c>
      <c r="DT37" s="742">
        <v>0.999999999999998</v>
      </c>
      <c r="DU37" s="742">
        <v>0.999999999999999</v>
      </c>
      <c r="DV37" s="742">
        <v>0.29056065801285502</v>
      </c>
      <c r="DW37" s="742">
        <v>1</v>
      </c>
      <c r="DX37" s="742">
        <v>0.999999999999998</v>
      </c>
      <c r="DY37" s="742">
        <v>1</v>
      </c>
      <c r="DZ37" s="742">
        <v>0.29056016947288499</v>
      </c>
      <c r="EA37" s="742">
        <v>1</v>
      </c>
      <c r="EB37" s="742">
        <v>0.999999999999998</v>
      </c>
      <c r="EC37" s="742">
        <v>1</v>
      </c>
      <c r="ED37" s="742">
        <v>0.29056004949327602</v>
      </c>
      <c r="EE37" s="742">
        <v>1</v>
      </c>
      <c r="EF37" s="742">
        <v>0.999999999999998</v>
      </c>
      <c r="EG37" s="742">
        <v>1</v>
      </c>
      <c r="EH37" s="742">
        <v>0.99999999999991196</v>
      </c>
      <c r="EI37" s="742">
        <v>1</v>
      </c>
      <c r="EJ37" s="742">
        <v>0.999999999999998</v>
      </c>
      <c r="EK37" s="742">
        <v>1</v>
      </c>
      <c r="EL37" s="742">
        <v>0.29055954541936702</v>
      </c>
      <c r="EM37" s="742">
        <v>0.999999999999999</v>
      </c>
      <c r="EN37" s="742">
        <v>0.999999999999999</v>
      </c>
      <c r="EO37" s="742">
        <v>0.999999999999999</v>
      </c>
      <c r="EP37" s="742">
        <v>1</v>
      </c>
      <c r="EQ37" s="742">
        <v>0.999999999999999</v>
      </c>
      <c r="ER37" s="742">
        <v>1</v>
      </c>
      <c r="ES37" s="742">
        <v>0.29055193528860901</v>
      </c>
      <c r="ET37" s="742">
        <v>0.999999999999999</v>
      </c>
      <c r="EU37" s="742">
        <v>0.999999999999998</v>
      </c>
      <c r="EV37" s="742">
        <v>1</v>
      </c>
      <c r="EW37" s="742">
        <v>0.29055190155168997</v>
      </c>
      <c r="EX37" s="742">
        <v>0.999999999999999</v>
      </c>
      <c r="EY37" s="742">
        <v>0.999999999999998</v>
      </c>
      <c r="EZ37" s="742">
        <v>0.999999999999999</v>
      </c>
      <c r="FA37" s="742">
        <v>0.29055178154413402</v>
      </c>
      <c r="FB37" s="742">
        <v>1</v>
      </c>
      <c r="FC37" s="742">
        <v>0.999999999999999</v>
      </c>
      <c r="FD37" s="742">
        <v>1</v>
      </c>
      <c r="FE37" s="742">
        <v>0.99999999998087596</v>
      </c>
      <c r="FF37" s="742">
        <v>0.999999999999999</v>
      </c>
      <c r="FG37" s="742">
        <v>0.999999999999998</v>
      </c>
      <c r="FH37" s="742">
        <v>0.999999999999999</v>
      </c>
    </row>
    <row r="38" spans="1:164" ht="12.75" customHeight="1" x14ac:dyDescent="0.2">
      <c r="A38" s="489"/>
      <c r="B38" s="489"/>
      <c r="C38" s="489"/>
      <c r="D38" s="489"/>
      <c r="E38" s="489"/>
      <c r="F38" s="744"/>
      <c r="G38" s="745"/>
      <c r="H38" s="506"/>
      <c r="I38" s="750">
        <v>1507660.3192369</v>
      </c>
      <c r="J38" s="742">
        <v>0.32892084857426002</v>
      </c>
      <c r="K38" s="742">
        <v>1</v>
      </c>
      <c r="L38" s="742">
        <v>1</v>
      </c>
      <c r="M38" s="742">
        <v>1</v>
      </c>
      <c r="N38" s="742">
        <v>1</v>
      </c>
      <c r="O38" s="742">
        <v>1</v>
      </c>
      <c r="P38" s="742">
        <v>1</v>
      </c>
      <c r="Q38" s="742">
        <v>1</v>
      </c>
      <c r="R38" s="742">
        <v>1</v>
      </c>
      <c r="S38" s="742">
        <v>1</v>
      </c>
      <c r="T38" s="742">
        <v>1</v>
      </c>
      <c r="U38" s="742">
        <v>1</v>
      </c>
      <c r="V38" s="742">
        <v>1</v>
      </c>
      <c r="W38" s="742">
        <v>1</v>
      </c>
      <c r="X38" s="742">
        <v>1</v>
      </c>
      <c r="Y38" s="742">
        <v>0.42478060498690501</v>
      </c>
      <c r="Z38" s="742">
        <v>1</v>
      </c>
      <c r="AA38" s="742">
        <v>1</v>
      </c>
      <c r="AB38" s="742">
        <v>1</v>
      </c>
      <c r="AC38" s="742">
        <v>1</v>
      </c>
      <c r="AD38" s="742">
        <v>1</v>
      </c>
      <c r="AE38" s="742">
        <v>1</v>
      </c>
      <c r="AF38" s="742">
        <v>1</v>
      </c>
      <c r="AG38" s="742">
        <v>1</v>
      </c>
      <c r="AH38" s="742">
        <v>1</v>
      </c>
      <c r="AI38" s="742">
        <v>1</v>
      </c>
      <c r="AJ38" s="742">
        <v>1</v>
      </c>
      <c r="AK38" s="742">
        <v>0.42680436948545702</v>
      </c>
      <c r="AL38" s="742">
        <v>1</v>
      </c>
      <c r="AM38" s="742">
        <v>1</v>
      </c>
      <c r="AN38" s="742">
        <v>1</v>
      </c>
      <c r="AO38" s="742">
        <v>1</v>
      </c>
      <c r="AP38" s="742">
        <v>1</v>
      </c>
      <c r="AQ38" s="742">
        <v>1</v>
      </c>
      <c r="AR38" s="742">
        <v>1</v>
      </c>
      <c r="AS38" s="742">
        <v>1</v>
      </c>
      <c r="AT38" s="742">
        <v>1</v>
      </c>
      <c r="AU38" s="742">
        <v>1</v>
      </c>
      <c r="AV38" s="742">
        <v>1</v>
      </c>
      <c r="AW38" s="742">
        <v>1</v>
      </c>
      <c r="AX38" s="742">
        <v>1</v>
      </c>
      <c r="AY38" s="742">
        <v>1</v>
      </c>
      <c r="AZ38" s="742">
        <v>1</v>
      </c>
      <c r="BA38" s="742">
        <v>0.30527919113462498</v>
      </c>
      <c r="BB38" s="742">
        <v>1</v>
      </c>
      <c r="BC38" s="742">
        <v>1</v>
      </c>
      <c r="BD38" s="742">
        <v>1</v>
      </c>
      <c r="BE38" s="742">
        <v>1</v>
      </c>
      <c r="BF38" s="742">
        <v>1</v>
      </c>
      <c r="BG38" s="742">
        <v>1</v>
      </c>
      <c r="BH38" s="742">
        <v>0.999999999999997</v>
      </c>
      <c r="BI38" s="742">
        <v>1</v>
      </c>
      <c r="BJ38" s="742">
        <v>1</v>
      </c>
      <c r="BK38" s="742">
        <v>1</v>
      </c>
      <c r="BL38" s="742">
        <v>0.999999999999995</v>
      </c>
      <c r="BM38" s="742">
        <v>1</v>
      </c>
      <c r="BN38" s="742">
        <v>1</v>
      </c>
      <c r="BO38" s="742">
        <v>1</v>
      </c>
      <c r="BP38" s="742">
        <v>0.30483919850819502</v>
      </c>
      <c r="BQ38" s="742">
        <v>1</v>
      </c>
      <c r="BR38" s="742">
        <v>1</v>
      </c>
      <c r="BS38" s="742">
        <v>1.00000000000001</v>
      </c>
      <c r="BT38" s="742">
        <v>0.999999999999998</v>
      </c>
      <c r="BU38" s="742">
        <v>1</v>
      </c>
      <c r="BV38" s="742">
        <v>1</v>
      </c>
      <c r="BW38" s="742">
        <v>1</v>
      </c>
      <c r="BX38" s="742">
        <v>0.999999999999994</v>
      </c>
      <c r="BY38" s="742">
        <v>1</v>
      </c>
      <c r="BZ38" s="742">
        <v>1</v>
      </c>
      <c r="CA38" s="742">
        <v>1</v>
      </c>
      <c r="CB38" s="742">
        <v>0.30483929137528099</v>
      </c>
      <c r="CC38" s="742">
        <v>1</v>
      </c>
      <c r="CD38" s="742">
        <v>1</v>
      </c>
      <c r="CE38" s="742">
        <v>0.99999999999991895</v>
      </c>
      <c r="CF38" s="742">
        <v>0.99999999999999301</v>
      </c>
      <c r="CG38" s="742">
        <v>1</v>
      </c>
      <c r="CH38" s="742">
        <v>1</v>
      </c>
      <c r="CI38" s="742">
        <v>1</v>
      </c>
      <c r="CJ38" s="742">
        <v>0.999999999999994</v>
      </c>
      <c r="CK38" s="742">
        <v>1</v>
      </c>
      <c r="CL38" s="742">
        <v>1</v>
      </c>
      <c r="CM38" s="742">
        <v>1</v>
      </c>
      <c r="CN38" s="742">
        <v>0.999999999999994</v>
      </c>
      <c r="CO38" s="742">
        <v>1</v>
      </c>
      <c r="CP38" s="742">
        <v>1</v>
      </c>
      <c r="CQ38" s="742">
        <v>0.999999999999999</v>
      </c>
      <c r="CR38" s="742">
        <v>0.30474413889134999</v>
      </c>
      <c r="CS38" s="742">
        <v>1</v>
      </c>
      <c r="CT38" s="742">
        <v>1</v>
      </c>
      <c r="CU38" s="742">
        <v>1</v>
      </c>
      <c r="CV38" s="742">
        <v>1</v>
      </c>
      <c r="CW38" s="742">
        <v>1</v>
      </c>
      <c r="CX38" s="742">
        <v>1</v>
      </c>
      <c r="CY38" s="742">
        <v>0.30474437979380598</v>
      </c>
      <c r="CZ38" s="742">
        <v>1</v>
      </c>
      <c r="DA38" s="742">
        <v>1</v>
      </c>
      <c r="DB38" s="742">
        <v>0.99999999999998901</v>
      </c>
      <c r="DC38" s="742">
        <v>0.30474352614345901</v>
      </c>
      <c r="DD38" s="742">
        <v>1</v>
      </c>
      <c r="DE38" s="742">
        <v>1</v>
      </c>
      <c r="DF38" s="742">
        <v>0.99999999999998801</v>
      </c>
      <c r="DG38" s="742">
        <v>0.304743408672</v>
      </c>
      <c r="DH38" s="742">
        <v>1</v>
      </c>
      <c r="DI38" s="742">
        <v>1</v>
      </c>
      <c r="DJ38" s="742">
        <v>0.99999999999998801</v>
      </c>
      <c r="DK38" s="742">
        <v>0.99999999999971301</v>
      </c>
      <c r="DL38" s="742">
        <v>1</v>
      </c>
      <c r="DM38" s="742">
        <v>1</v>
      </c>
      <c r="DN38" s="742">
        <v>1</v>
      </c>
      <c r="DO38" s="742">
        <v>0.30474413830816999</v>
      </c>
      <c r="DP38" s="742">
        <v>1</v>
      </c>
      <c r="DQ38" s="742">
        <v>1</v>
      </c>
      <c r="DR38" s="742">
        <v>1</v>
      </c>
      <c r="DS38" s="742">
        <v>1</v>
      </c>
      <c r="DT38" s="742">
        <v>1</v>
      </c>
      <c r="DU38" s="742">
        <v>1</v>
      </c>
      <c r="DV38" s="742">
        <v>0.30474244479343199</v>
      </c>
      <c r="DW38" s="742">
        <v>1</v>
      </c>
      <c r="DX38" s="742">
        <v>1</v>
      </c>
      <c r="DY38" s="742">
        <v>0.99999999999999101</v>
      </c>
      <c r="DZ38" s="742">
        <v>0.30474196601943998</v>
      </c>
      <c r="EA38" s="742">
        <v>1</v>
      </c>
      <c r="EB38" s="742">
        <v>1</v>
      </c>
      <c r="EC38" s="742">
        <v>0.99999999999999101</v>
      </c>
      <c r="ED38" s="742">
        <v>0.30474184843823998</v>
      </c>
      <c r="EE38" s="742">
        <v>1</v>
      </c>
      <c r="EF38" s="742">
        <v>1</v>
      </c>
      <c r="EG38" s="742">
        <v>0.99999999999999101</v>
      </c>
      <c r="EH38" s="742">
        <v>0.99999999999991596</v>
      </c>
      <c r="EI38" s="742">
        <v>1</v>
      </c>
      <c r="EJ38" s="742">
        <v>1</v>
      </c>
      <c r="EK38" s="742">
        <v>1</v>
      </c>
      <c r="EL38" s="742">
        <v>0.304741354440834</v>
      </c>
      <c r="EM38" s="742">
        <v>1</v>
      </c>
      <c r="EN38" s="742">
        <v>1</v>
      </c>
      <c r="EO38" s="742">
        <v>1</v>
      </c>
      <c r="EP38" s="742">
        <v>1</v>
      </c>
      <c r="EQ38" s="742">
        <v>1</v>
      </c>
      <c r="ER38" s="742">
        <v>1</v>
      </c>
      <c r="ES38" s="742">
        <v>0.30473389643760201</v>
      </c>
      <c r="ET38" s="742">
        <v>1</v>
      </c>
      <c r="EU38" s="742">
        <v>1</v>
      </c>
      <c r="EV38" s="742">
        <v>1</v>
      </c>
      <c r="EW38" s="742">
        <v>0.30473386337508801</v>
      </c>
      <c r="EX38" s="742">
        <v>1</v>
      </c>
      <c r="EY38" s="742">
        <v>1</v>
      </c>
      <c r="EZ38" s="742">
        <v>1</v>
      </c>
      <c r="FA38" s="742">
        <v>0.30473374576649898</v>
      </c>
      <c r="FB38" s="742">
        <v>1</v>
      </c>
      <c r="FC38" s="742">
        <v>1</v>
      </c>
      <c r="FD38" s="742">
        <v>1</v>
      </c>
      <c r="FE38" s="742">
        <v>0.99999999998126099</v>
      </c>
      <c r="FF38" s="742">
        <v>1</v>
      </c>
      <c r="FG38" s="742">
        <v>1</v>
      </c>
      <c r="FH38" s="742">
        <v>1</v>
      </c>
    </row>
    <row r="39" spans="1:164" ht="12.75" customHeight="1" x14ac:dyDescent="0.2">
      <c r="A39" s="489"/>
      <c r="B39" s="489"/>
      <c r="C39" s="489"/>
      <c r="D39" s="489"/>
      <c r="E39" s="489"/>
      <c r="F39" s="744"/>
      <c r="G39" s="745"/>
      <c r="H39" s="506"/>
      <c r="I39" s="750">
        <v>1591419.2258611701</v>
      </c>
      <c r="J39" s="742">
        <v>0.34233580998123903</v>
      </c>
      <c r="K39" s="742">
        <v>1</v>
      </c>
      <c r="L39" s="742">
        <v>1</v>
      </c>
      <c r="M39" s="742">
        <v>1</v>
      </c>
      <c r="N39" s="742">
        <v>1</v>
      </c>
      <c r="O39" s="742">
        <v>1</v>
      </c>
      <c r="P39" s="742">
        <v>1</v>
      </c>
      <c r="Q39" s="742">
        <v>1</v>
      </c>
      <c r="R39" s="742">
        <v>1</v>
      </c>
      <c r="S39" s="742">
        <v>1</v>
      </c>
      <c r="T39" s="742">
        <v>1</v>
      </c>
      <c r="U39" s="742">
        <v>0.999999999999996</v>
      </c>
      <c r="V39" s="742">
        <v>1</v>
      </c>
      <c r="W39" s="742">
        <v>0.999999999999999</v>
      </c>
      <c r="X39" s="742">
        <v>1</v>
      </c>
      <c r="Y39" s="742">
        <v>0.436279317125781</v>
      </c>
      <c r="Z39" s="742">
        <v>0.999999999999999</v>
      </c>
      <c r="AA39" s="742">
        <v>1</v>
      </c>
      <c r="AB39" s="742">
        <v>0.999999999999999</v>
      </c>
      <c r="AC39" s="742">
        <v>1</v>
      </c>
      <c r="AD39" s="742">
        <v>1</v>
      </c>
      <c r="AE39" s="742">
        <v>1</v>
      </c>
      <c r="AF39" s="742">
        <v>1</v>
      </c>
      <c r="AG39" s="742">
        <v>0.999999999999996</v>
      </c>
      <c r="AH39" s="742">
        <v>1</v>
      </c>
      <c r="AI39" s="742">
        <v>0.999999999999999</v>
      </c>
      <c r="AJ39" s="742">
        <v>0.999999999999999</v>
      </c>
      <c r="AK39" s="742">
        <v>0.43826262630309798</v>
      </c>
      <c r="AL39" s="742">
        <v>0.999999999999999</v>
      </c>
      <c r="AM39" s="742">
        <v>0.999999999999998</v>
      </c>
      <c r="AN39" s="742">
        <v>1</v>
      </c>
      <c r="AO39" s="742">
        <v>1</v>
      </c>
      <c r="AP39" s="742">
        <v>1</v>
      </c>
      <c r="AQ39" s="742">
        <v>1</v>
      </c>
      <c r="AR39" s="742">
        <v>1</v>
      </c>
      <c r="AS39" s="742">
        <v>0.999999999999999</v>
      </c>
      <c r="AT39" s="742">
        <v>1</v>
      </c>
      <c r="AU39" s="742">
        <v>1</v>
      </c>
      <c r="AV39" s="742">
        <v>1</v>
      </c>
      <c r="AW39" s="742">
        <v>1</v>
      </c>
      <c r="AX39" s="742">
        <v>1</v>
      </c>
      <c r="AY39" s="742">
        <v>1</v>
      </c>
      <c r="AZ39" s="742">
        <v>1</v>
      </c>
      <c r="BA39" s="742">
        <v>0.31916675241522002</v>
      </c>
      <c r="BB39" s="742">
        <v>0.999999999999999</v>
      </c>
      <c r="BC39" s="742">
        <v>1</v>
      </c>
      <c r="BD39" s="742">
        <v>1</v>
      </c>
      <c r="BE39" s="742">
        <v>0.999999999999999</v>
      </c>
      <c r="BF39" s="742">
        <v>1</v>
      </c>
      <c r="BG39" s="742">
        <v>1</v>
      </c>
      <c r="BH39" s="742">
        <v>0.999999999999998</v>
      </c>
      <c r="BI39" s="742">
        <v>1</v>
      </c>
      <c r="BJ39" s="742">
        <v>1</v>
      </c>
      <c r="BK39" s="742">
        <v>1</v>
      </c>
      <c r="BL39" s="742">
        <v>0.999999999999995</v>
      </c>
      <c r="BM39" s="742">
        <v>0.999999999999999</v>
      </c>
      <c r="BN39" s="742">
        <v>1</v>
      </c>
      <c r="BO39" s="742">
        <v>0.999999999999999</v>
      </c>
      <c r="BP39" s="742">
        <v>0.31873555529985498</v>
      </c>
      <c r="BQ39" s="742">
        <v>1</v>
      </c>
      <c r="BR39" s="742">
        <v>1</v>
      </c>
      <c r="BS39" s="742">
        <v>1.00000000000006</v>
      </c>
      <c r="BT39" s="742">
        <v>0.999999999999998</v>
      </c>
      <c r="BU39" s="742">
        <v>1</v>
      </c>
      <c r="BV39" s="742">
        <v>1</v>
      </c>
      <c r="BW39" s="742">
        <v>1</v>
      </c>
      <c r="BX39" s="742">
        <v>0.999999999999995</v>
      </c>
      <c r="BY39" s="742">
        <v>0.999999999999999</v>
      </c>
      <c r="BZ39" s="742">
        <v>1</v>
      </c>
      <c r="CA39" s="742">
        <v>1</v>
      </c>
      <c r="CB39" s="742">
        <v>0.31873564631051698</v>
      </c>
      <c r="CC39" s="742">
        <v>1</v>
      </c>
      <c r="CD39" s="742">
        <v>1</v>
      </c>
      <c r="CE39" s="742">
        <v>1.0000000000000899</v>
      </c>
      <c r="CF39" s="742">
        <v>0.99999999999999301</v>
      </c>
      <c r="CG39" s="742">
        <v>0.999999999999999</v>
      </c>
      <c r="CH39" s="742">
        <v>1</v>
      </c>
      <c r="CI39" s="742">
        <v>1</v>
      </c>
      <c r="CJ39" s="742">
        <v>0.999999999999995</v>
      </c>
      <c r="CK39" s="742">
        <v>0.999999999999999</v>
      </c>
      <c r="CL39" s="742">
        <v>1</v>
      </c>
      <c r="CM39" s="742">
        <v>1</v>
      </c>
      <c r="CN39" s="742">
        <v>0.99999999999999301</v>
      </c>
      <c r="CO39" s="742">
        <v>0.999999999999999</v>
      </c>
      <c r="CP39" s="742">
        <v>1</v>
      </c>
      <c r="CQ39" s="742">
        <v>1</v>
      </c>
      <c r="CR39" s="742">
        <v>0.31864239593738303</v>
      </c>
      <c r="CS39" s="742">
        <v>1</v>
      </c>
      <c r="CT39" s="742">
        <v>1</v>
      </c>
      <c r="CU39" s="742">
        <v>1</v>
      </c>
      <c r="CV39" s="742">
        <v>0.999999999999999</v>
      </c>
      <c r="CW39" s="742">
        <v>1</v>
      </c>
      <c r="CX39" s="742">
        <v>0.999999999999999</v>
      </c>
      <c r="CY39" s="742">
        <v>0.31864263202416598</v>
      </c>
      <c r="CZ39" s="742">
        <v>0.999999999999999</v>
      </c>
      <c r="DA39" s="742">
        <v>1</v>
      </c>
      <c r="DB39" s="742">
        <v>1.00000000000001</v>
      </c>
      <c r="DC39" s="742">
        <v>0.31864179543840199</v>
      </c>
      <c r="DD39" s="742">
        <v>0.999999999999999</v>
      </c>
      <c r="DE39" s="742">
        <v>1</v>
      </c>
      <c r="DF39" s="742">
        <v>1.00000000000001</v>
      </c>
      <c r="DG39" s="742">
        <v>0.318641680315214</v>
      </c>
      <c r="DH39" s="742">
        <v>1</v>
      </c>
      <c r="DI39" s="742">
        <v>1</v>
      </c>
      <c r="DJ39" s="742">
        <v>1.00000000000001</v>
      </c>
      <c r="DK39" s="742">
        <v>0.999999999999716</v>
      </c>
      <c r="DL39" s="742">
        <v>1</v>
      </c>
      <c r="DM39" s="742">
        <v>1</v>
      </c>
      <c r="DN39" s="742">
        <v>0.999999999999999</v>
      </c>
      <c r="DO39" s="742">
        <v>0.31864239536586098</v>
      </c>
      <c r="DP39" s="742">
        <v>1</v>
      </c>
      <c r="DQ39" s="742">
        <v>1</v>
      </c>
      <c r="DR39" s="742">
        <v>1</v>
      </c>
      <c r="DS39" s="742">
        <v>0.999999999999999</v>
      </c>
      <c r="DT39" s="742">
        <v>1</v>
      </c>
      <c r="DU39" s="742">
        <v>1</v>
      </c>
      <c r="DV39" s="742">
        <v>0.31864073570470602</v>
      </c>
      <c r="DW39" s="742">
        <v>1</v>
      </c>
      <c r="DX39" s="742">
        <v>1</v>
      </c>
      <c r="DY39" s="742">
        <v>1</v>
      </c>
      <c r="DZ39" s="742">
        <v>0.31864026650146998</v>
      </c>
      <c r="EA39" s="742">
        <v>1</v>
      </c>
      <c r="EB39" s="742">
        <v>1</v>
      </c>
      <c r="EC39" s="742">
        <v>1.00000000000001</v>
      </c>
      <c r="ED39" s="742">
        <v>0.31864015127073397</v>
      </c>
      <c r="EE39" s="742">
        <v>0.999999999999999</v>
      </c>
      <c r="EF39" s="742">
        <v>1</v>
      </c>
      <c r="EG39" s="742">
        <v>1.00000000000001</v>
      </c>
      <c r="EH39" s="742">
        <v>0.99999999999992395</v>
      </c>
      <c r="EI39" s="742">
        <v>0.999999999999999</v>
      </c>
      <c r="EJ39" s="742">
        <v>1</v>
      </c>
      <c r="EK39" s="742">
        <v>0.999999999999998</v>
      </c>
      <c r="EL39" s="742">
        <v>0.31863966714840303</v>
      </c>
      <c r="EM39" s="742">
        <v>1</v>
      </c>
      <c r="EN39" s="742">
        <v>1</v>
      </c>
      <c r="EO39" s="742">
        <v>1</v>
      </c>
      <c r="EP39" s="742">
        <v>0.999999999999999</v>
      </c>
      <c r="EQ39" s="742">
        <v>1</v>
      </c>
      <c r="ER39" s="742">
        <v>0.999999999999999</v>
      </c>
      <c r="ES39" s="742">
        <v>0.31863235823164698</v>
      </c>
      <c r="ET39" s="742">
        <v>0.999999999999999</v>
      </c>
      <c r="EU39" s="742">
        <v>1</v>
      </c>
      <c r="EV39" s="742">
        <v>0.999999999999998</v>
      </c>
      <c r="EW39" s="742">
        <v>0.31863232583005702</v>
      </c>
      <c r="EX39" s="742">
        <v>1</v>
      </c>
      <c r="EY39" s="742">
        <v>1</v>
      </c>
      <c r="EZ39" s="742">
        <v>1</v>
      </c>
      <c r="FA39" s="742">
        <v>0.31863221057247998</v>
      </c>
      <c r="FB39" s="742">
        <v>0.999999999999999</v>
      </c>
      <c r="FC39" s="742">
        <v>1</v>
      </c>
      <c r="FD39" s="742">
        <v>0.999999999999999</v>
      </c>
      <c r="FE39" s="742">
        <v>0.99999999998163502</v>
      </c>
      <c r="FF39" s="742">
        <v>0.999999999999999</v>
      </c>
      <c r="FG39" s="742">
        <v>1</v>
      </c>
      <c r="FH39" s="742">
        <v>1</v>
      </c>
    </row>
    <row r="40" spans="1:164" ht="12.75" customHeight="1" x14ac:dyDescent="0.2">
      <c r="A40" s="489"/>
      <c r="B40" s="489"/>
      <c r="C40" s="489"/>
      <c r="D40" s="489"/>
      <c r="E40" s="489"/>
      <c r="F40" s="744"/>
      <c r="G40" s="745"/>
      <c r="H40" s="506"/>
      <c r="I40" s="750">
        <v>1675178.13248544</v>
      </c>
      <c r="J40" s="742">
        <v>0.35548260452247699</v>
      </c>
      <c r="K40" s="742">
        <v>0.999999999999999</v>
      </c>
      <c r="L40" s="742">
        <v>0.999999999999999</v>
      </c>
      <c r="M40" s="742">
        <v>0.999999999999999</v>
      </c>
      <c r="N40" s="742">
        <v>1</v>
      </c>
      <c r="O40" s="742">
        <v>0.999999999999998</v>
      </c>
      <c r="P40" s="742">
        <v>0.999999999999999</v>
      </c>
      <c r="Q40" s="742">
        <v>0.999999999999999</v>
      </c>
      <c r="R40" s="742">
        <v>0.999999999999999</v>
      </c>
      <c r="S40" s="742">
        <v>0.999999999999998</v>
      </c>
      <c r="T40" s="742">
        <v>0.999999999999999</v>
      </c>
      <c r="U40" s="742">
        <v>1</v>
      </c>
      <c r="V40" s="742">
        <v>0.999999999999999</v>
      </c>
      <c r="W40" s="742">
        <v>1</v>
      </c>
      <c r="X40" s="742">
        <v>1</v>
      </c>
      <c r="Y40" s="742">
        <v>0.44754816847707901</v>
      </c>
      <c r="Z40" s="742">
        <v>1</v>
      </c>
      <c r="AA40" s="742">
        <v>0.999999999999998</v>
      </c>
      <c r="AB40" s="742">
        <v>1</v>
      </c>
      <c r="AC40" s="742">
        <v>0.999999999999999</v>
      </c>
      <c r="AD40" s="742">
        <v>0.999999999999999</v>
      </c>
      <c r="AE40" s="742">
        <v>1</v>
      </c>
      <c r="AF40" s="742">
        <v>0.999999999999997</v>
      </c>
      <c r="AG40" s="742">
        <v>1</v>
      </c>
      <c r="AH40" s="742">
        <v>1</v>
      </c>
      <c r="AI40" s="742">
        <v>1</v>
      </c>
      <c r="AJ40" s="742">
        <v>1</v>
      </c>
      <c r="AK40" s="742">
        <v>0.44949183104042301</v>
      </c>
      <c r="AL40" s="742">
        <v>1</v>
      </c>
      <c r="AM40" s="742">
        <v>0.999999999999999</v>
      </c>
      <c r="AN40" s="742">
        <v>1</v>
      </c>
      <c r="AO40" s="742">
        <v>0.999999999999998</v>
      </c>
      <c r="AP40" s="742">
        <v>0.999999999999999</v>
      </c>
      <c r="AQ40" s="742">
        <v>0.999999999999998</v>
      </c>
      <c r="AR40" s="742">
        <v>0.999999999999998</v>
      </c>
      <c r="AS40" s="742">
        <v>1</v>
      </c>
      <c r="AT40" s="742">
        <v>1</v>
      </c>
      <c r="AU40" s="742">
        <v>1</v>
      </c>
      <c r="AV40" s="742">
        <v>1</v>
      </c>
      <c r="AW40" s="742">
        <v>0.999999999999998</v>
      </c>
      <c r="AX40" s="742">
        <v>1</v>
      </c>
      <c r="AY40" s="742">
        <v>1</v>
      </c>
      <c r="AZ40" s="742">
        <v>1</v>
      </c>
      <c r="BA40" s="742">
        <v>0.33277669949563699</v>
      </c>
      <c r="BB40" s="742">
        <v>1</v>
      </c>
      <c r="BC40" s="742">
        <v>0.999999999999998</v>
      </c>
      <c r="BD40" s="742">
        <v>1</v>
      </c>
      <c r="BE40" s="742">
        <v>1</v>
      </c>
      <c r="BF40" s="742">
        <v>0.999999999999998</v>
      </c>
      <c r="BG40" s="742">
        <v>0.999999999999998</v>
      </c>
      <c r="BH40" s="742">
        <v>0.999999999999997</v>
      </c>
      <c r="BI40" s="742">
        <v>0.999999999999998</v>
      </c>
      <c r="BJ40" s="742">
        <v>0.999999999999999</v>
      </c>
      <c r="BK40" s="742">
        <v>0.999999999999998</v>
      </c>
      <c r="BL40" s="742">
        <v>0.99999999999999201</v>
      </c>
      <c r="BM40" s="742">
        <v>1</v>
      </c>
      <c r="BN40" s="742">
        <v>0.999999999999999</v>
      </c>
      <c r="BO40" s="742">
        <v>0.999999999999999</v>
      </c>
      <c r="BP40" s="742">
        <v>0.33235412206789999</v>
      </c>
      <c r="BQ40" s="742">
        <v>0.999999999999999</v>
      </c>
      <c r="BR40" s="742">
        <v>0.999999999999999</v>
      </c>
      <c r="BS40" s="742">
        <v>0.99999999999993205</v>
      </c>
      <c r="BT40" s="742">
        <v>0.999999999999997</v>
      </c>
      <c r="BU40" s="742">
        <v>0.999999999999998</v>
      </c>
      <c r="BV40" s="742">
        <v>0.999999999999998</v>
      </c>
      <c r="BW40" s="742">
        <v>0.999999999999998</v>
      </c>
      <c r="BX40" s="742">
        <v>0.999999999999994</v>
      </c>
      <c r="BY40" s="742">
        <v>1</v>
      </c>
      <c r="BZ40" s="742">
        <v>0.999999999999999</v>
      </c>
      <c r="CA40" s="742">
        <v>0.999999999999998</v>
      </c>
      <c r="CB40" s="742">
        <v>0.33235421125924602</v>
      </c>
      <c r="CC40" s="742">
        <v>1</v>
      </c>
      <c r="CD40" s="742">
        <v>0.999999999999998</v>
      </c>
      <c r="CE40" s="742">
        <v>1.00000000000005</v>
      </c>
      <c r="CF40" s="742">
        <v>0.999999999999994</v>
      </c>
      <c r="CG40" s="742">
        <v>1</v>
      </c>
      <c r="CH40" s="742">
        <v>1</v>
      </c>
      <c r="CI40" s="742">
        <v>0.999999999999999</v>
      </c>
      <c r="CJ40" s="742">
        <v>0.99999999999999101</v>
      </c>
      <c r="CK40" s="742">
        <v>0.999999999999999</v>
      </c>
      <c r="CL40" s="742">
        <v>0.999999999999998</v>
      </c>
      <c r="CM40" s="742">
        <v>1</v>
      </c>
      <c r="CN40" s="742">
        <v>0.99999999999999201</v>
      </c>
      <c r="CO40" s="742">
        <v>1</v>
      </c>
      <c r="CP40" s="742">
        <v>0.999999999999998</v>
      </c>
      <c r="CQ40" s="742">
        <v>1</v>
      </c>
      <c r="CR40" s="742">
        <v>0.33226282497346299</v>
      </c>
      <c r="CS40" s="742">
        <v>0.999999999999998</v>
      </c>
      <c r="CT40" s="742">
        <v>0.999999999999997</v>
      </c>
      <c r="CU40" s="742">
        <v>0.999999999999999</v>
      </c>
      <c r="CV40" s="742">
        <v>0.999999999999999</v>
      </c>
      <c r="CW40" s="742">
        <v>0.999999999999998</v>
      </c>
      <c r="CX40" s="742">
        <v>1</v>
      </c>
      <c r="CY40" s="742">
        <v>0.33226305634083902</v>
      </c>
      <c r="CZ40" s="742">
        <v>1</v>
      </c>
      <c r="DA40" s="742">
        <v>0.999999999999998</v>
      </c>
      <c r="DB40" s="742">
        <v>1.00000000000001</v>
      </c>
      <c r="DC40" s="742">
        <v>0.33226223647853498</v>
      </c>
      <c r="DD40" s="742">
        <v>1</v>
      </c>
      <c r="DE40" s="742">
        <v>0.999999999999997</v>
      </c>
      <c r="DF40" s="742">
        <v>1.00000000000001</v>
      </c>
      <c r="DG40" s="742">
        <v>0.33226212365667501</v>
      </c>
      <c r="DH40" s="742">
        <v>0.999999999999999</v>
      </c>
      <c r="DI40" s="742">
        <v>0.999999999999997</v>
      </c>
      <c r="DJ40" s="742">
        <v>1.00000000000001</v>
      </c>
      <c r="DK40" s="742">
        <v>0.999999999999722</v>
      </c>
      <c r="DL40" s="742">
        <v>0.999999999999999</v>
      </c>
      <c r="DM40" s="742">
        <v>0.999999999999999</v>
      </c>
      <c r="DN40" s="742">
        <v>0.999999999999999</v>
      </c>
      <c r="DO40" s="742">
        <v>0.33226282441336702</v>
      </c>
      <c r="DP40" s="742">
        <v>0.999999999999999</v>
      </c>
      <c r="DQ40" s="742">
        <v>0.999999999999997</v>
      </c>
      <c r="DR40" s="742">
        <v>0.999999999999999</v>
      </c>
      <c r="DS40" s="742">
        <v>0.999999999999999</v>
      </c>
      <c r="DT40" s="742">
        <v>0.999999999999997</v>
      </c>
      <c r="DU40" s="742">
        <v>0.999999999999999</v>
      </c>
      <c r="DV40" s="742">
        <v>0.33226119792905601</v>
      </c>
      <c r="DW40" s="742">
        <v>1</v>
      </c>
      <c r="DX40" s="742">
        <v>0.999999999999997</v>
      </c>
      <c r="DY40" s="742">
        <v>1.00000000000001</v>
      </c>
      <c r="DZ40" s="742">
        <v>0.33226073810525503</v>
      </c>
      <c r="EA40" s="742">
        <v>0.999999999999999</v>
      </c>
      <c r="EB40" s="742">
        <v>0.999999999999997</v>
      </c>
      <c r="EC40" s="742">
        <v>1.00000000000001</v>
      </c>
      <c r="ED40" s="742">
        <v>0.33226062517799698</v>
      </c>
      <c r="EE40" s="742">
        <v>1</v>
      </c>
      <c r="EF40" s="742">
        <v>0.999999999999997</v>
      </c>
      <c r="EG40" s="742">
        <v>1.00000000000001</v>
      </c>
      <c r="EH40" s="742">
        <v>0.99999999999991496</v>
      </c>
      <c r="EI40" s="742">
        <v>0.999999999999999</v>
      </c>
      <c r="EJ40" s="742">
        <v>0.999999999999996</v>
      </c>
      <c r="EK40" s="742">
        <v>1</v>
      </c>
      <c r="EL40" s="742">
        <v>0.33226015073333698</v>
      </c>
      <c r="EM40" s="742">
        <v>0.999999999999999</v>
      </c>
      <c r="EN40" s="742">
        <v>0.999999999999997</v>
      </c>
      <c r="EO40" s="742">
        <v>0.999999999999998</v>
      </c>
      <c r="EP40" s="742">
        <v>1</v>
      </c>
      <c r="EQ40" s="742">
        <v>0.999999999999997</v>
      </c>
      <c r="ER40" s="742">
        <v>0.999999999999999</v>
      </c>
      <c r="ES40" s="742">
        <v>0.332252987922798</v>
      </c>
      <c r="ET40" s="742">
        <v>0.999999999999998</v>
      </c>
      <c r="EU40" s="742">
        <v>0.999999999999997</v>
      </c>
      <c r="EV40" s="742">
        <v>0.999999999999999</v>
      </c>
      <c r="EW40" s="742">
        <v>0.33225295616891998</v>
      </c>
      <c r="EX40" s="742">
        <v>0.999999999999998</v>
      </c>
      <c r="EY40" s="742">
        <v>0.999999999999997</v>
      </c>
      <c r="EZ40" s="742">
        <v>0.999999999999999</v>
      </c>
      <c r="FA40" s="742">
        <v>0.33225284321535697</v>
      </c>
      <c r="FB40" s="742">
        <v>1</v>
      </c>
      <c r="FC40" s="742">
        <v>0.999999999999997</v>
      </c>
      <c r="FD40" s="742">
        <v>0.999999999999999</v>
      </c>
      <c r="FE40" s="742">
        <v>0.99999999998199895</v>
      </c>
      <c r="FF40" s="742">
        <v>0.999999999999998</v>
      </c>
      <c r="FG40" s="742">
        <v>0.999999999999997</v>
      </c>
      <c r="FH40" s="742">
        <v>0.999999999999997</v>
      </c>
    </row>
    <row r="41" spans="1:164" ht="12.75" customHeight="1" x14ac:dyDescent="0.2">
      <c r="A41" s="489"/>
      <c r="B41" s="489"/>
      <c r="C41" s="489"/>
      <c r="D41" s="489"/>
      <c r="E41" s="489"/>
      <c r="F41" s="744"/>
      <c r="G41" s="745"/>
      <c r="H41" s="506"/>
      <c r="I41" s="750">
        <v>1758937.0391097199</v>
      </c>
      <c r="J41" s="742">
        <v>0.36836659292593299</v>
      </c>
      <c r="K41" s="742">
        <v>1</v>
      </c>
      <c r="L41" s="742">
        <v>1</v>
      </c>
      <c r="M41" s="742">
        <v>1</v>
      </c>
      <c r="N41" s="742">
        <v>1</v>
      </c>
      <c r="O41" s="742">
        <v>0.999999999999999</v>
      </c>
      <c r="P41" s="742">
        <v>1</v>
      </c>
      <c r="Q41" s="742">
        <v>1</v>
      </c>
      <c r="R41" s="742">
        <v>1</v>
      </c>
      <c r="S41" s="742">
        <v>1</v>
      </c>
      <c r="T41" s="742">
        <v>1</v>
      </c>
      <c r="U41" s="742">
        <v>1</v>
      </c>
      <c r="V41" s="742">
        <v>1</v>
      </c>
      <c r="W41" s="742">
        <v>1</v>
      </c>
      <c r="X41" s="742">
        <v>1</v>
      </c>
      <c r="Y41" s="742">
        <v>0.45859175401992902</v>
      </c>
      <c r="Z41" s="742">
        <v>1</v>
      </c>
      <c r="AA41" s="742">
        <v>1</v>
      </c>
      <c r="AB41" s="742">
        <v>1</v>
      </c>
      <c r="AC41" s="742">
        <v>1</v>
      </c>
      <c r="AD41" s="742">
        <v>1</v>
      </c>
      <c r="AE41" s="742">
        <v>1</v>
      </c>
      <c r="AF41" s="742">
        <v>1</v>
      </c>
      <c r="AG41" s="742">
        <v>1</v>
      </c>
      <c r="AH41" s="742">
        <v>1</v>
      </c>
      <c r="AI41" s="742">
        <v>1</v>
      </c>
      <c r="AJ41" s="742">
        <v>1</v>
      </c>
      <c r="AK41" s="742">
        <v>0.46049656251028498</v>
      </c>
      <c r="AL41" s="742">
        <v>1</v>
      </c>
      <c r="AM41" s="742">
        <v>1</v>
      </c>
      <c r="AN41" s="742">
        <v>0.999999999999998</v>
      </c>
      <c r="AO41" s="742">
        <v>1</v>
      </c>
      <c r="AP41" s="742">
        <v>1</v>
      </c>
      <c r="AQ41" s="742">
        <v>1</v>
      </c>
      <c r="AR41" s="742">
        <v>1</v>
      </c>
      <c r="AS41" s="742">
        <v>1</v>
      </c>
      <c r="AT41" s="742">
        <v>0.999999999999999</v>
      </c>
      <c r="AU41" s="742">
        <v>1</v>
      </c>
      <c r="AV41" s="742">
        <v>0.999999999999999</v>
      </c>
      <c r="AW41" s="742">
        <v>1</v>
      </c>
      <c r="AX41" s="742">
        <v>1</v>
      </c>
      <c r="AY41" s="742">
        <v>1</v>
      </c>
      <c r="AZ41" s="742">
        <v>0.999999999999999</v>
      </c>
      <c r="BA41" s="742">
        <v>0.34611458195859901</v>
      </c>
      <c r="BB41" s="742">
        <v>1</v>
      </c>
      <c r="BC41" s="742">
        <v>1</v>
      </c>
      <c r="BD41" s="742">
        <v>1</v>
      </c>
      <c r="BE41" s="742">
        <v>1</v>
      </c>
      <c r="BF41" s="742">
        <v>0.999999999999999</v>
      </c>
      <c r="BG41" s="742">
        <v>1</v>
      </c>
      <c r="BH41" s="742">
        <v>0.999999999999997</v>
      </c>
      <c r="BI41" s="742">
        <v>0.999999999999999</v>
      </c>
      <c r="BJ41" s="742">
        <v>1</v>
      </c>
      <c r="BK41" s="742">
        <v>1</v>
      </c>
      <c r="BL41" s="742">
        <v>0.999999999999994</v>
      </c>
      <c r="BM41" s="742">
        <v>1</v>
      </c>
      <c r="BN41" s="742">
        <v>1</v>
      </c>
      <c r="BO41" s="742">
        <v>1</v>
      </c>
      <c r="BP41" s="742">
        <v>0.34570045190981302</v>
      </c>
      <c r="BQ41" s="742">
        <v>1</v>
      </c>
      <c r="BR41" s="742">
        <v>1</v>
      </c>
      <c r="BS41" s="742">
        <v>0.99999999999995903</v>
      </c>
      <c r="BT41" s="742">
        <v>0.999999999999998</v>
      </c>
      <c r="BU41" s="742">
        <v>0.999999999999999</v>
      </c>
      <c r="BV41" s="742">
        <v>1</v>
      </c>
      <c r="BW41" s="742">
        <v>1</v>
      </c>
      <c r="BX41" s="742">
        <v>0.999999999999994</v>
      </c>
      <c r="BY41" s="742">
        <v>1</v>
      </c>
      <c r="BZ41" s="742">
        <v>1</v>
      </c>
      <c r="CA41" s="742">
        <v>1</v>
      </c>
      <c r="CB41" s="742">
        <v>0.34570053931821199</v>
      </c>
      <c r="CC41" s="742">
        <v>1</v>
      </c>
      <c r="CD41" s="742">
        <v>1</v>
      </c>
      <c r="CE41" s="742">
        <v>0.99999999999980904</v>
      </c>
      <c r="CF41" s="742">
        <v>0.999999999999994</v>
      </c>
      <c r="CG41" s="742">
        <v>1</v>
      </c>
      <c r="CH41" s="742">
        <v>1</v>
      </c>
      <c r="CI41" s="742">
        <v>0.999999999999999</v>
      </c>
      <c r="CJ41" s="742">
        <v>0.999999999999994</v>
      </c>
      <c r="CK41" s="742">
        <v>1</v>
      </c>
      <c r="CL41" s="742">
        <v>1</v>
      </c>
      <c r="CM41" s="742">
        <v>1</v>
      </c>
      <c r="CN41" s="742">
        <v>0.999999999999995</v>
      </c>
      <c r="CO41" s="742">
        <v>1</v>
      </c>
      <c r="CP41" s="742">
        <v>1</v>
      </c>
      <c r="CQ41" s="742">
        <v>0.999999999999999</v>
      </c>
      <c r="CR41" s="742">
        <v>0.34561097985642603</v>
      </c>
      <c r="CS41" s="742">
        <v>1</v>
      </c>
      <c r="CT41" s="742">
        <v>0.999999999999999</v>
      </c>
      <c r="CU41" s="742">
        <v>1</v>
      </c>
      <c r="CV41" s="742">
        <v>1</v>
      </c>
      <c r="CW41" s="742">
        <v>1</v>
      </c>
      <c r="CX41" s="742">
        <v>1</v>
      </c>
      <c r="CY41" s="742">
        <v>0.34561120659874001</v>
      </c>
      <c r="CZ41" s="742">
        <v>1</v>
      </c>
      <c r="DA41" s="742">
        <v>1</v>
      </c>
      <c r="DB41" s="742">
        <v>0.99999999999997602</v>
      </c>
      <c r="DC41" s="742">
        <v>0.34561040312559299</v>
      </c>
      <c r="DD41" s="742">
        <v>1</v>
      </c>
      <c r="DE41" s="742">
        <v>1</v>
      </c>
      <c r="DF41" s="742">
        <v>0.99999999999997602</v>
      </c>
      <c r="DG41" s="742">
        <v>0.34561029255905701</v>
      </c>
      <c r="DH41" s="742">
        <v>1</v>
      </c>
      <c r="DI41" s="742">
        <v>1</v>
      </c>
      <c r="DJ41" s="742">
        <v>0.99999999999997502</v>
      </c>
      <c r="DK41" s="742">
        <v>0.99999999999973099</v>
      </c>
      <c r="DL41" s="742">
        <v>1</v>
      </c>
      <c r="DM41" s="742">
        <v>1</v>
      </c>
      <c r="DN41" s="742">
        <v>1</v>
      </c>
      <c r="DO41" s="742">
        <v>0.34561097930752599</v>
      </c>
      <c r="DP41" s="742">
        <v>1</v>
      </c>
      <c r="DQ41" s="742">
        <v>0.999999999999998</v>
      </c>
      <c r="DR41" s="742">
        <v>1</v>
      </c>
      <c r="DS41" s="742">
        <v>1</v>
      </c>
      <c r="DT41" s="742">
        <v>0.999999999999997</v>
      </c>
      <c r="DU41" s="742">
        <v>1</v>
      </c>
      <c r="DV41" s="742">
        <v>0.34560938533685698</v>
      </c>
      <c r="DW41" s="742">
        <v>1</v>
      </c>
      <c r="DX41" s="742">
        <v>0.999999999999998</v>
      </c>
      <c r="DY41" s="742">
        <v>0.99999999999998102</v>
      </c>
      <c r="DZ41" s="742">
        <v>0.34560893470499499</v>
      </c>
      <c r="EA41" s="742">
        <v>1</v>
      </c>
      <c r="EB41" s="742">
        <v>0.999999999999997</v>
      </c>
      <c r="EC41" s="742">
        <v>0.99999999999998201</v>
      </c>
      <c r="ED41" s="742">
        <v>0.34560882403516702</v>
      </c>
      <c r="EE41" s="742">
        <v>1</v>
      </c>
      <c r="EF41" s="742">
        <v>0.999999999999999</v>
      </c>
      <c r="EG41" s="742">
        <v>0.99999999999998002</v>
      </c>
      <c r="EH41" s="742">
        <v>0.99999999999991596</v>
      </c>
      <c r="EI41" s="742">
        <v>1</v>
      </c>
      <c r="EJ41" s="742">
        <v>0.999999999999997</v>
      </c>
      <c r="EK41" s="742">
        <v>1</v>
      </c>
      <c r="EL41" s="742">
        <v>0.34560835907471499</v>
      </c>
      <c r="EM41" s="742">
        <v>1</v>
      </c>
      <c r="EN41" s="742">
        <v>1</v>
      </c>
      <c r="EO41" s="742">
        <v>1</v>
      </c>
      <c r="EP41" s="742">
        <v>1</v>
      </c>
      <c r="EQ41" s="742">
        <v>1</v>
      </c>
      <c r="ER41" s="742">
        <v>1</v>
      </c>
      <c r="ES41" s="742">
        <v>0.345601339449711</v>
      </c>
      <c r="ET41" s="742">
        <v>1</v>
      </c>
      <c r="EU41" s="742">
        <v>1</v>
      </c>
      <c r="EV41" s="742">
        <v>1</v>
      </c>
      <c r="EW41" s="742">
        <v>0.34560130833059699</v>
      </c>
      <c r="EX41" s="742">
        <v>1</v>
      </c>
      <c r="EY41" s="742">
        <v>0.999999999999998</v>
      </c>
      <c r="EZ41" s="742">
        <v>1</v>
      </c>
      <c r="FA41" s="742">
        <v>0.34560119763499098</v>
      </c>
      <c r="FB41" s="742">
        <v>1</v>
      </c>
      <c r="FC41" s="742">
        <v>0.999999999999999</v>
      </c>
      <c r="FD41" s="742">
        <v>1</v>
      </c>
      <c r="FE41" s="742">
        <v>0.999999999982362</v>
      </c>
      <c r="FF41" s="742">
        <v>1</v>
      </c>
      <c r="FG41" s="742">
        <v>0.999999999999999</v>
      </c>
      <c r="FH41" s="742">
        <v>1</v>
      </c>
    </row>
    <row r="42" spans="1:164" ht="12.75" customHeight="1" x14ac:dyDescent="0.2">
      <c r="A42" s="489"/>
      <c r="B42" s="489"/>
      <c r="C42" s="489"/>
      <c r="D42" s="489"/>
      <c r="E42" s="489"/>
      <c r="F42" s="744"/>
      <c r="G42" s="745"/>
      <c r="H42" s="506"/>
      <c r="I42" s="750">
        <v>1842695.9457339901</v>
      </c>
      <c r="J42" s="742">
        <v>0.38099302870412599</v>
      </c>
      <c r="K42" s="742">
        <v>1</v>
      </c>
      <c r="L42" s="742">
        <v>1</v>
      </c>
      <c r="M42" s="742">
        <v>1</v>
      </c>
      <c r="N42" s="742">
        <v>0.999999999999999</v>
      </c>
      <c r="O42" s="742">
        <v>1</v>
      </c>
      <c r="P42" s="742">
        <v>1</v>
      </c>
      <c r="Q42" s="742">
        <v>1</v>
      </c>
      <c r="R42" s="742">
        <v>1</v>
      </c>
      <c r="S42" s="742">
        <v>1</v>
      </c>
      <c r="T42" s="742">
        <v>1</v>
      </c>
      <c r="U42" s="742">
        <v>0.99999999999999301</v>
      </c>
      <c r="V42" s="742">
        <v>1</v>
      </c>
      <c r="W42" s="742">
        <v>0.999999999999998</v>
      </c>
      <c r="X42" s="742">
        <v>1</v>
      </c>
      <c r="Y42" s="742">
        <v>0.46941457683311399</v>
      </c>
      <c r="Z42" s="742">
        <v>0.999999999999999</v>
      </c>
      <c r="AA42" s="742">
        <v>1</v>
      </c>
      <c r="AB42" s="742">
        <v>0.999999999999999</v>
      </c>
      <c r="AC42" s="742">
        <v>1</v>
      </c>
      <c r="AD42" s="742">
        <v>1</v>
      </c>
      <c r="AE42" s="742">
        <v>1</v>
      </c>
      <c r="AF42" s="742">
        <v>1.00000000000001</v>
      </c>
      <c r="AG42" s="742">
        <v>0.99999999999999201</v>
      </c>
      <c r="AH42" s="742">
        <v>1</v>
      </c>
      <c r="AI42" s="742">
        <v>0.999999999999999</v>
      </c>
      <c r="AJ42" s="742">
        <v>0.999999999999999</v>
      </c>
      <c r="AK42" s="742">
        <v>0.47128130794851603</v>
      </c>
      <c r="AL42" s="742">
        <v>0.999999999999999</v>
      </c>
      <c r="AM42" s="742">
        <v>0.999999999999999</v>
      </c>
      <c r="AN42" s="742">
        <v>1</v>
      </c>
      <c r="AO42" s="742">
        <v>1</v>
      </c>
      <c r="AP42" s="742">
        <v>1</v>
      </c>
      <c r="AQ42" s="742">
        <v>1</v>
      </c>
      <c r="AR42" s="742">
        <v>1</v>
      </c>
      <c r="AS42" s="742">
        <v>0.999999999999998</v>
      </c>
      <c r="AT42" s="742">
        <v>1</v>
      </c>
      <c r="AU42" s="742">
        <v>0.999999999999999</v>
      </c>
      <c r="AV42" s="742">
        <v>1</v>
      </c>
      <c r="AW42" s="742">
        <v>1</v>
      </c>
      <c r="AX42" s="742">
        <v>1</v>
      </c>
      <c r="AY42" s="742">
        <v>1</v>
      </c>
      <c r="AZ42" s="742">
        <v>1</v>
      </c>
      <c r="BA42" s="742">
        <v>0.35918583839426199</v>
      </c>
      <c r="BB42" s="742">
        <v>0.999999999999999</v>
      </c>
      <c r="BC42" s="742">
        <v>1</v>
      </c>
      <c r="BD42" s="742">
        <v>1</v>
      </c>
      <c r="BE42" s="742">
        <v>0.999999999999999</v>
      </c>
      <c r="BF42" s="742">
        <v>1</v>
      </c>
      <c r="BG42" s="742">
        <v>1</v>
      </c>
      <c r="BH42" s="742">
        <v>0.999999999999999</v>
      </c>
      <c r="BI42" s="742">
        <v>1</v>
      </c>
      <c r="BJ42" s="742">
        <v>1</v>
      </c>
      <c r="BK42" s="742">
        <v>1</v>
      </c>
      <c r="BL42" s="742">
        <v>0.999999999999998</v>
      </c>
      <c r="BM42" s="742">
        <v>0.999999999999999</v>
      </c>
      <c r="BN42" s="742">
        <v>1</v>
      </c>
      <c r="BO42" s="742">
        <v>0.999999999999999</v>
      </c>
      <c r="BP42" s="742">
        <v>0.35877998686020701</v>
      </c>
      <c r="BQ42" s="742">
        <v>1</v>
      </c>
      <c r="BR42" s="742">
        <v>1</v>
      </c>
      <c r="BS42" s="742">
        <v>1.0000000000001401</v>
      </c>
      <c r="BT42" s="742">
        <v>1</v>
      </c>
      <c r="BU42" s="742">
        <v>1</v>
      </c>
      <c r="BV42" s="742">
        <v>1</v>
      </c>
      <c r="BW42" s="742">
        <v>1</v>
      </c>
      <c r="BX42" s="742">
        <v>0.999999999999996</v>
      </c>
      <c r="BY42" s="742">
        <v>0.999999999999998</v>
      </c>
      <c r="BZ42" s="742">
        <v>1</v>
      </c>
      <c r="CA42" s="742">
        <v>1</v>
      </c>
      <c r="CB42" s="742">
        <v>0.35878007252130101</v>
      </c>
      <c r="CC42" s="742">
        <v>1</v>
      </c>
      <c r="CD42" s="742">
        <v>1</v>
      </c>
      <c r="CE42" s="742">
        <v>1.0000000000000699</v>
      </c>
      <c r="CF42" s="742">
        <v>0.99999999999999301</v>
      </c>
      <c r="CG42" s="742">
        <v>0.999999999999998</v>
      </c>
      <c r="CH42" s="742">
        <v>1</v>
      </c>
      <c r="CI42" s="742">
        <v>1</v>
      </c>
      <c r="CJ42" s="742">
        <v>0.999999999999998</v>
      </c>
      <c r="CK42" s="742">
        <v>1</v>
      </c>
      <c r="CL42" s="742">
        <v>1</v>
      </c>
      <c r="CM42" s="742">
        <v>1</v>
      </c>
      <c r="CN42" s="742">
        <v>0.999999999999995</v>
      </c>
      <c r="CO42" s="742">
        <v>0.999999999999998</v>
      </c>
      <c r="CP42" s="742">
        <v>1</v>
      </c>
      <c r="CQ42" s="742">
        <v>0.999999999999999</v>
      </c>
      <c r="CR42" s="742">
        <v>0.35869230336506203</v>
      </c>
      <c r="CS42" s="742">
        <v>1</v>
      </c>
      <c r="CT42" s="742">
        <v>1</v>
      </c>
      <c r="CU42" s="742">
        <v>1</v>
      </c>
      <c r="CV42" s="742">
        <v>1</v>
      </c>
      <c r="CW42" s="742">
        <v>1</v>
      </c>
      <c r="CX42" s="742">
        <v>0.999999999999999</v>
      </c>
      <c r="CY42" s="742">
        <v>0.358692525574767</v>
      </c>
      <c r="CZ42" s="742">
        <v>1</v>
      </c>
      <c r="DA42" s="742">
        <v>1</v>
      </c>
      <c r="DB42" s="742">
        <v>0.999999999999998</v>
      </c>
      <c r="DC42" s="742">
        <v>0.35869173816315503</v>
      </c>
      <c r="DD42" s="742">
        <v>0.999999999999999</v>
      </c>
      <c r="DE42" s="742">
        <v>1</v>
      </c>
      <c r="DF42" s="742">
        <v>0.999999999999996</v>
      </c>
      <c r="DG42" s="742">
        <v>0.35869162980685898</v>
      </c>
      <c r="DH42" s="742">
        <v>1</v>
      </c>
      <c r="DI42" s="742">
        <v>1</v>
      </c>
      <c r="DJ42" s="742">
        <v>0.999999999999995</v>
      </c>
      <c r="DK42" s="742">
        <v>0.99999999999973399</v>
      </c>
      <c r="DL42" s="742">
        <v>1</v>
      </c>
      <c r="DM42" s="742">
        <v>1</v>
      </c>
      <c r="DN42" s="742">
        <v>1</v>
      </c>
      <c r="DO42" s="742">
        <v>0.35869230282713299</v>
      </c>
      <c r="DP42" s="742">
        <v>1</v>
      </c>
      <c r="DQ42" s="742">
        <v>1.00000000000001</v>
      </c>
      <c r="DR42" s="742">
        <v>1</v>
      </c>
      <c r="DS42" s="742">
        <v>1</v>
      </c>
      <c r="DT42" s="742">
        <v>1.00000000000001</v>
      </c>
      <c r="DU42" s="742">
        <v>1</v>
      </c>
      <c r="DV42" s="742">
        <v>0.35869074072015</v>
      </c>
      <c r="DW42" s="742">
        <v>1</v>
      </c>
      <c r="DX42" s="742">
        <v>1.00000000000001</v>
      </c>
      <c r="DY42" s="742">
        <v>0.999999999999995</v>
      </c>
      <c r="DZ42" s="742">
        <v>0.35869029909647898</v>
      </c>
      <c r="EA42" s="742">
        <v>1</v>
      </c>
      <c r="EB42" s="742">
        <v>1.00000000000001</v>
      </c>
      <c r="EC42" s="742">
        <v>0.999999999999995</v>
      </c>
      <c r="ED42" s="742">
        <v>0.35869019063895602</v>
      </c>
      <c r="EE42" s="742">
        <v>0.999999999999998</v>
      </c>
      <c r="EF42" s="742">
        <v>1.00000000000001</v>
      </c>
      <c r="EG42" s="742">
        <v>1</v>
      </c>
      <c r="EH42" s="742">
        <v>0.99999999999993505</v>
      </c>
      <c r="EI42" s="742">
        <v>1</v>
      </c>
      <c r="EJ42" s="742">
        <v>1.00000000000001</v>
      </c>
      <c r="EK42" s="742">
        <v>0.999999999999997</v>
      </c>
      <c r="EL42" s="742">
        <v>0.35868973497312601</v>
      </c>
      <c r="EM42" s="742">
        <v>1</v>
      </c>
      <c r="EN42" s="742">
        <v>1</v>
      </c>
      <c r="EO42" s="742">
        <v>1</v>
      </c>
      <c r="EP42" s="742">
        <v>0.999999999999999</v>
      </c>
      <c r="EQ42" s="742">
        <v>1</v>
      </c>
      <c r="ER42" s="742">
        <v>1</v>
      </c>
      <c r="ES42" s="742">
        <v>0.35868285567135799</v>
      </c>
      <c r="ET42" s="742">
        <v>1</v>
      </c>
      <c r="EU42" s="742">
        <v>1</v>
      </c>
      <c r="EV42" s="742">
        <v>0.999999999999998</v>
      </c>
      <c r="EW42" s="742">
        <v>0.35868282517431999</v>
      </c>
      <c r="EX42" s="742">
        <v>1</v>
      </c>
      <c r="EY42" s="742">
        <v>1.00000000000001</v>
      </c>
      <c r="EZ42" s="742">
        <v>1</v>
      </c>
      <c r="FA42" s="742">
        <v>0.35868271669153401</v>
      </c>
      <c r="FB42" s="742">
        <v>0.999999999999998</v>
      </c>
      <c r="FC42" s="742">
        <v>1.00000000000001</v>
      </c>
      <c r="FD42" s="742">
        <v>1</v>
      </c>
      <c r="FE42" s="742">
        <v>0.99999999998271805</v>
      </c>
      <c r="FF42" s="742">
        <v>1</v>
      </c>
      <c r="FG42" s="742">
        <v>1</v>
      </c>
      <c r="FH42" s="742">
        <v>1</v>
      </c>
    </row>
    <row r="43" spans="1:164" ht="12.75" customHeight="1" x14ac:dyDescent="0.2">
      <c r="A43" s="489"/>
      <c r="B43" s="489"/>
      <c r="C43" s="489"/>
      <c r="D43" s="489"/>
      <c r="E43" s="489"/>
      <c r="F43" s="744"/>
      <c r="G43" s="745"/>
      <c r="H43" s="506"/>
      <c r="I43" s="750">
        <v>1926454.85235826</v>
      </c>
      <c r="J43" s="742">
        <v>0.39336706034283397</v>
      </c>
      <c r="K43" s="742">
        <v>1</v>
      </c>
      <c r="L43" s="742">
        <v>0.999999999999999</v>
      </c>
      <c r="M43" s="742">
        <v>1</v>
      </c>
      <c r="N43" s="742">
        <v>1</v>
      </c>
      <c r="O43" s="742">
        <v>0.999999999999998</v>
      </c>
      <c r="P43" s="742">
        <v>0.999999999999999</v>
      </c>
      <c r="Q43" s="742">
        <v>0.999999999999999</v>
      </c>
      <c r="R43" s="742">
        <v>0.999999999999999</v>
      </c>
      <c r="S43" s="742">
        <v>0.999999999999999</v>
      </c>
      <c r="T43" s="742">
        <v>0.999999999999999</v>
      </c>
      <c r="U43" s="742">
        <v>1</v>
      </c>
      <c r="V43" s="742">
        <v>0.999999999999999</v>
      </c>
      <c r="W43" s="742">
        <v>1</v>
      </c>
      <c r="X43" s="742">
        <v>1</v>
      </c>
      <c r="Y43" s="742">
        <v>0.48002104997114498</v>
      </c>
      <c r="Z43" s="742">
        <v>1</v>
      </c>
      <c r="AA43" s="742">
        <v>0.999999999999999</v>
      </c>
      <c r="AB43" s="742">
        <v>1</v>
      </c>
      <c r="AC43" s="742">
        <v>1</v>
      </c>
      <c r="AD43" s="742">
        <v>1</v>
      </c>
      <c r="AE43" s="742">
        <v>1</v>
      </c>
      <c r="AF43" s="742">
        <v>0.999999999999997</v>
      </c>
      <c r="AG43" s="742">
        <v>1</v>
      </c>
      <c r="AH43" s="742">
        <v>1</v>
      </c>
      <c r="AI43" s="742">
        <v>1</v>
      </c>
      <c r="AJ43" s="742">
        <v>1</v>
      </c>
      <c r="AK43" s="742">
        <v>0.48185046488341399</v>
      </c>
      <c r="AL43" s="742">
        <v>1</v>
      </c>
      <c r="AM43" s="742">
        <v>1</v>
      </c>
      <c r="AN43" s="742">
        <v>0.999999999999999</v>
      </c>
      <c r="AO43" s="742">
        <v>0.999999999999998</v>
      </c>
      <c r="AP43" s="742">
        <v>0.999999999999999</v>
      </c>
      <c r="AQ43" s="742">
        <v>0.999999999999998</v>
      </c>
      <c r="AR43" s="742">
        <v>0.999999999999999</v>
      </c>
      <c r="AS43" s="742">
        <v>1</v>
      </c>
      <c r="AT43" s="742">
        <v>1</v>
      </c>
      <c r="AU43" s="742">
        <v>1</v>
      </c>
      <c r="AV43" s="742">
        <v>1</v>
      </c>
      <c r="AW43" s="742">
        <v>0.999999999999999</v>
      </c>
      <c r="AX43" s="742">
        <v>1</v>
      </c>
      <c r="AY43" s="742">
        <v>1</v>
      </c>
      <c r="AZ43" s="742">
        <v>0.999999999999999</v>
      </c>
      <c r="BA43" s="742">
        <v>0.371995798666021</v>
      </c>
      <c r="BB43" s="742">
        <v>1</v>
      </c>
      <c r="BC43" s="742">
        <v>0.999999999999998</v>
      </c>
      <c r="BD43" s="742">
        <v>1</v>
      </c>
      <c r="BE43" s="742">
        <v>1</v>
      </c>
      <c r="BF43" s="742">
        <v>0.999999999999998</v>
      </c>
      <c r="BG43" s="742">
        <v>0.999999999999999</v>
      </c>
      <c r="BH43" s="742">
        <v>0.999999999999997</v>
      </c>
      <c r="BI43" s="742">
        <v>0.999999999999998</v>
      </c>
      <c r="BJ43" s="742">
        <v>0.999999999999999</v>
      </c>
      <c r="BK43" s="742">
        <v>0.999999999999999</v>
      </c>
      <c r="BL43" s="742">
        <v>0.99999999999999301</v>
      </c>
      <c r="BM43" s="742">
        <v>1</v>
      </c>
      <c r="BN43" s="742">
        <v>1</v>
      </c>
      <c r="BO43" s="742">
        <v>1</v>
      </c>
      <c r="BP43" s="742">
        <v>0.371598060158078</v>
      </c>
      <c r="BQ43" s="742">
        <v>0.999999999999999</v>
      </c>
      <c r="BR43" s="742">
        <v>0.999999999999999</v>
      </c>
      <c r="BS43" s="742">
        <v>0.99999999999992695</v>
      </c>
      <c r="BT43" s="742">
        <v>0.999999999999997</v>
      </c>
      <c r="BU43" s="742">
        <v>0.999999999999997</v>
      </c>
      <c r="BV43" s="742">
        <v>0.999999999999998</v>
      </c>
      <c r="BW43" s="742">
        <v>0.999999999999998</v>
      </c>
      <c r="BX43" s="742">
        <v>0.999999999999995</v>
      </c>
      <c r="BY43" s="742">
        <v>1</v>
      </c>
      <c r="BZ43" s="742">
        <v>0.999999999999999</v>
      </c>
      <c r="CA43" s="742">
        <v>0.999999999999998</v>
      </c>
      <c r="CB43" s="742">
        <v>0.37159814410679398</v>
      </c>
      <c r="CC43" s="742">
        <v>1</v>
      </c>
      <c r="CD43" s="742">
        <v>0.999999999999999</v>
      </c>
      <c r="CE43" s="742">
        <v>0.99999999999996103</v>
      </c>
      <c r="CF43" s="742">
        <v>0.999999999999994</v>
      </c>
      <c r="CG43" s="742">
        <v>1</v>
      </c>
      <c r="CH43" s="742">
        <v>1</v>
      </c>
      <c r="CI43" s="742">
        <v>0.999999999999999</v>
      </c>
      <c r="CJ43" s="742">
        <v>0.99999999999999201</v>
      </c>
      <c r="CK43" s="742">
        <v>1</v>
      </c>
      <c r="CL43" s="742">
        <v>0.999999999999999</v>
      </c>
      <c r="CM43" s="742">
        <v>1</v>
      </c>
      <c r="CN43" s="742">
        <v>0.99999999999999301</v>
      </c>
      <c r="CO43" s="742">
        <v>1</v>
      </c>
      <c r="CP43" s="742">
        <v>0.999999999999998</v>
      </c>
      <c r="CQ43" s="742">
        <v>1</v>
      </c>
      <c r="CR43" s="742">
        <v>0.37151212946765799</v>
      </c>
      <c r="CS43" s="742">
        <v>0.999999999999998</v>
      </c>
      <c r="CT43" s="742">
        <v>0.999999999999997</v>
      </c>
      <c r="CU43" s="742">
        <v>0.999999999999999</v>
      </c>
      <c r="CV43" s="742">
        <v>1</v>
      </c>
      <c r="CW43" s="742">
        <v>0.999999999999998</v>
      </c>
      <c r="CX43" s="742">
        <v>1</v>
      </c>
      <c r="CY43" s="742">
        <v>0.37151234723535997</v>
      </c>
      <c r="CZ43" s="742">
        <v>1</v>
      </c>
      <c r="DA43" s="742">
        <v>0.999999999999999</v>
      </c>
      <c r="DB43" s="742">
        <v>1</v>
      </c>
      <c r="DC43" s="742">
        <v>0.37151157556420999</v>
      </c>
      <c r="DD43" s="742">
        <v>1</v>
      </c>
      <c r="DE43" s="742">
        <v>0.999999999999998</v>
      </c>
      <c r="DF43" s="742">
        <v>1</v>
      </c>
      <c r="DG43" s="742">
        <v>0.37151146937397</v>
      </c>
      <c r="DH43" s="742">
        <v>0.999999999999999</v>
      </c>
      <c r="DI43" s="742">
        <v>0.999999999999998</v>
      </c>
      <c r="DJ43" s="742">
        <v>1</v>
      </c>
      <c r="DK43" s="742">
        <v>0.99999999999973899</v>
      </c>
      <c r="DL43" s="742">
        <v>0.999999999999999</v>
      </c>
      <c r="DM43" s="742">
        <v>0.999999999999999</v>
      </c>
      <c r="DN43" s="742">
        <v>1</v>
      </c>
      <c r="DO43" s="742">
        <v>0.37151212894048302</v>
      </c>
      <c r="DP43" s="742">
        <v>1</v>
      </c>
      <c r="DQ43" s="742">
        <v>0.999999999999996</v>
      </c>
      <c r="DR43" s="742">
        <v>1</v>
      </c>
      <c r="DS43" s="742">
        <v>1</v>
      </c>
      <c r="DT43" s="742">
        <v>0.999999999999996</v>
      </c>
      <c r="DU43" s="742">
        <v>0.999999999999999</v>
      </c>
      <c r="DV43" s="742">
        <v>0.37151059806022402</v>
      </c>
      <c r="DW43" s="742">
        <v>1</v>
      </c>
      <c r="DX43" s="742">
        <v>0.999999999999996</v>
      </c>
      <c r="DY43" s="742">
        <v>1</v>
      </c>
      <c r="DZ43" s="742">
        <v>0.37151016526466901</v>
      </c>
      <c r="EA43" s="742">
        <v>1</v>
      </c>
      <c r="EB43" s="742">
        <v>0.999999999999996</v>
      </c>
      <c r="EC43" s="742">
        <v>1</v>
      </c>
      <c r="ED43" s="742">
        <v>0.37151005897522599</v>
      </c>
      <c r="EE43" s="742">
        <v>1</v>
      </c>
      <c r="EF43" s="742">
        <v>0.999999999999997</v>
      </c>
      <c r="EG43" s="742">
        <v>1</v>
      </c>
      <c r="EH43" s="742">
        <v>0.99999999999991795</v>
      </c>
      <c r="EI43" s="742">
        <v>1</v>
      </c>
      <c r="EJ43" s="742">
        <v>0.999999999999995</v>
      </c>
      <c r="EK43" s="742">
        <v>1</v>
      </c>
      <c r="EL43" s="742">
        <v>0.371509612418218</v>
      </c>
      <c r="EM43" s="742">
        <v>0.999999999999999</v>
      </c>
      <c r="EN43" s="742">
        <v>0.999999999999998</v>
      </c>
      <c r="EO43" s="742">
        <v>0.999999999999999</v>
      </c>
      <c r="EP43" s="742">
        <v>1</v>
      </c>
      <c r="EQ43" s="742">
        <v>0.999999999999997</v>
      </c>
      <c r="ER43" s="742">
        <v>1</v>
      </c>
      <c r="ES43" s="742">
        <v>0.37150287063460702</v>
      </c>
      <c r="ET43" s="742">
        <v>0.999999999999999</v>
      </c>
      <c r="EU43" s="742">
        <v>0.999999999999997</v>
      </c>
      <c r="EV43" s="742">
        <v>1</v>
      </c>
      <c r="EW43" s="742">
        <v>0.37150284074720902</v>
      </c>
      <c r="EX43" s="742">
        <v>0.999999999999999</v>
      </c>
      <c r="EY43" s="742">
        <v>0.999999999999996</v>
      </c>
      <c r="EZ43" s="742">
        <v>0.999999999999999</v>
      </c>
      <c r="FA43" s="742">
        <v>0.37150273443300802</v>
      </c>
      <c r="FB43" s="742">
        <v>1</v>
      </c>
      <c r="FC43" s="742">
        <v>0.999999999999997</v>
      </c>
      <c r="FD43" s="742">
        <v>0.999999999999999</v>
      </c>
      <c r="FE43" s="742">
        <v>0.999999999983057</v>
      </c>
      <c r="FF43" s="742">
        <v>0.999999999999999</v>
      </c>
      <c r="FG43" s="742">
        <v>0.999999999999997</v>
      </c>
      <c r="FH43" s="742">
        <v>0.999999999999998</v>
      </c>
    </row>
    <row r="44" spans="1:164" ht="12.75" customHeight="1" x14ac:dyDescent="0.2">
      <c r="A44" s="489"/>
      <c r="B44" s="489"/>
      <c r="C44" s="489"/>
      <c r="D44" s="489"/>
      <c r="E44" s="489"/>
      <c r="F44" s="744"/>
      <c r="G44" s="745"/>
      <c r="H44" s="506"/>
      <c r="I44" s="750">
        <v>2010213.7589825301</v>
      </c>
      <c r="J44" s="742">
        <v>0.40549373343251699</v>
      </c>
      <c r="K44" s="742">
        <v>1</v>
      </c>
      <c r="L44" s="742">
        <v>1</v>
      </c>
      <c r="M44" s="742">
        <v>1</v>
      </c>
      <c r="N44" s="742">
        <v>0.999999999999999</v>
      </c>
      <c r="O44" s="742">
        <v>1</v>
      </c>
      <c r="P44" s="742">
        <v>1</v>
      </c>
      <c r="Q44" s="742">
        <v>1</v>
      </c>
      <c r="R44" s="742">
        <v>1</v>
      </c>
      <c r="S44" s="742">
        <v>1</v>
      </c>
      <c r="T44" s="742">
        <v>1</v>
      </c>
      <c r="U44" s="742">
        <v>0.999999999999998</v>
      </c>
      <c r="V44" s="742">
        <v>1</v>
      </c>
      <c r="W44" s="742">
        <v>1</v>
      </c>
      <c r="X44" s="742">
        <v>1</v>
      </c>
      <c r="Y44" s="742">
        <v>0.490415498291213</v>
      </c>
      <c r="Z44" s="742">
        <v>1</v>
      </c>
      <c r="AA44" s="742">
        <v>1</v>
      </c>
      <c r="AB44" s="742">
        <v>1</v>
      </c>
      <c r="AC44" s="742">
        <v>1</v>
      </c>
      <c r="AD44" s="742">
        <v>1</v>
      </c>
      <c r="AE44" s="742">
        <v>1</v>
      </c>
      <c r="AF44" s="742">
        <v>1</v>
      </c>
      <c r="AG44" s="742">
        <v>0.999999999999998</v>
      </c>
      <c r="AH44" s="742">
        <v>1</v>
      </c>
      <c r="AI44" s="742">
        <v>1</v>
      </c>
      <c r="AJ44" s="742">
        <v>1</v>
      </c>
      <c r="AK44" s="742">
        <v>0.492208342956242</v>
      </c>
      <c r="AL44" s="742">
        <v>1</v>
      </c>
      <c r="AM44" s="742">
        <v>1</v>
      </c>
      <c r="AN44" s="742">
        <v>1</v>
      </c>
      <c r="AO44" s="742">
        <v>1</v>
      </c>
      <c r="AP44" s="742">
        <v>1</v>
      </c>
      <c r="AQ44" s="742">
        <v>1</v>
      </c>
      <c r="AR44" s="742">
        <v>1</v>
      </c>
      <c r="AS44" s="742">
        <v>0.999999999999999</v>
      </c>
      <c r="AT44" s="742">
        <v>1</v>
      </c>
      <c r="AU44" s="742">
        <v>0.999999999999999</v>
      </c>
      <c r="AV44" s="742">
        <v>1</v>
      </c>
      <c r="AW44" s="742">
        <v>1</v>
      </c>
      <c r="AX44" s="742">
        <v>1</v>
      </c>
      <c r="AY44" s="742">
        <v>1</v>
      </c>
      <c r="AZ44" s="742">
        <v>1</v>
      </c>
      <c r="BA44" s="742">
        <v>0.38454968611702001</v>
      </c>
      <c r="BB44" s="742">
        <v>1</v>
      </c>
      <c r="BC44" s="742">
        <v>1</v>
      </c>
      <c r="BD44" s="742">
        <v>1</v>
      </c>
      <c r="BE44" s="742">
        <v>0.999999999999999</v>
      </c>
      <c r="BF44" s="742">
        <v>1</v>
      </c>
      <c r="BG44" s="742">
        <v>1</v>
      </c>
      <c r="BH44" s="742">
        <v>0.999999999999998</v>
      </c>
      <c r="BI44" s="742">
        <v>1</v>
      </c>
      <c r="BJ44" s="742">
        <v>1</v>
      </c>
      <c r="BK44" s="742">
        <v>1</v>
      </c>
      <c r="BL44" s="742">
        <v>0.999999999999996</v>
      </c>
      <c r="BM44" s="742">
        <v>1</v>
      </c>
      <c r="BN44" s="742">
        <v>1</v>
      </c>
      <c r="BO44" s="742">
        <v>0.999999999999999</v>
      </c>
      <c r="BP44" s="742">
        <v>0.38415989845471399</v>
      </c>
      <c r="BQ44" s="742">
        <v>1</v>
      </c>
      <c r="BR44" s="742">
        <v>1</v>
      </c>
      <c r="BS44" s="742">
        <v>1.00000000000004</v>
      </c>
      <c r="BT44" s="742">
        <v>0.999999999999999</v>
      </c>
      <c r="BU44" s="742">
        <v>1</v>
      </c>
      <c r="BV44" s="742">
        <v>1</v>
      </c>
      <c r="BW44" s="742">
        <v>1</v>
      </c>
      <c r="BX44" s="742">
        <v>0.999999999999996</v>
      </c>
      <c r="BY44" s="742">
        <v>0.999999999999999</v>
      </c>
      <c r="BZ44" s="742">
        <v>1</v>
      </c>
      <c r="CA44" s="742">
        <v>1</v>
      </c>
      <c r="CB44" s="742">
        <v>0.38415998072528501</v>
      </c>
      <c r="CC44" s="742">
        <v>1</v>
      </c>
      <c r="CD44" s="742">
        <v>1</v>
      </c>
      <c r="CE44" s="742">
        <v>1.00000000000001</v>
      </c>
      <c r="CF44" s="742">
        <v>0.999999999999994</v>
      </c>
      <c r="CG44" s="742">
        <v>0.999999999999999</v>
      </c>
      <c r="CH44" s="742">
        <v>1</v>
      </c>
      <c r="CI44" s="742">
        <v>1</v>
      </c>
      <c r="CJ44" s="742">
        <v>0.999999999999995</v>
      </c>
      <c r="CK44" s="742">
        <v>1</v>
      </c>
      <c r="CL44" s="742">
        <v>1</v>
      </c>
      <c r="CM44" s="742">
        <v>1</v>
      </c>
      <c r="CN44" s="742">
        <v>0.999999999999994</v>
      </c>
      <c r="CO44" s="742">
        <v>0.999999999999999</v>
      </c>
      <c r="CP44" s="742">
        <v>1</v>
      </c>
      <c r="CQ44" s="742">
        <v>0.999999999999999</v>
      </c>
      <c r="CR44" s="742">
        <v>0.38407568553021498</v>
      </c>
      <c r="CS44" s="742">
        <v>1</v>
      </c>
      <c r="CT44" s="742">
        <v>1</v>
      </c>
      <c r="CU44" s="742">
        <v>1</v>
      </c>
      <c r="CV44" s="742">
        <v>1</v>
      </c>
      <c r="CW44" s="742">
        <v>1</v>
      </c>
      <c r="CX44" s="742">
        <v>0.999999999999999</v>
      </c>
      <c r="CY44" s="742">
        <v>0.384075898944713</v>
      </c>
      <c r="CZ44" s="742">
        <v>1</v>
      </c>
      <c r="DA44" s="742">
        <v>1</v>
      </c>
      <c r="DB44" s="742">
        <v>0.999999999999998</v>
      </c>
      <c r="DC44" s="742">
        <v>0.38407514269937199</v>
      </c>
      <c r="DD44" s="742">
        <v>1</v>
      </c>
      <c r="DE44" s="742">
        <v>1</v>
      </c>
      <c r="DF44" s="742">
        <v>0.999999999999997</v>
      </c>
      <c r="DG44" s="742">
        <v>0.38407503863189002</v>
      </c>
      <c r="DH44" s="742">
        <v>1</v>
      </c>
      <c r="DI44" s="742">
        <v>1</v>
      </c>
      <c r="DJ44" s="742">
        <v>0.999999999999997</v>
      </c>
      <c r="DK44" s="742">
        <v>0.99999999999974498</v>
      </c>
      <c r="DL44" s="742">
        <v>1</v>
      </c>
      <c r="DM44" s="742">
        <v>1</v>
      </c>
      <c r="DN44" s="742">
        <v>1</v>
      </c>
      <c r="DO44" s="742">
        <v>0.38407568501357903</v>
      </c>
      <c r="DP44" s="742">
        <v>1</v>
      </c>
      <c r="DQ44" s="742">
        <v>1</v>
      </c>
      <c r="DR44" s="742">
        <v>1</v>
      </c>
      <c r="DS44" s="742">
        <v>1</v>
      </c>
      <c r="DT44" s="742">
        <v>1</v>
      </c>
      <c r="DU44" s="742">
        <v>1</v>
      </c>
      <c r="DV44" s="742">
        <v>0.38407418473582</v>
      </c>
      <c r="DW44" s="742">
        <v>1</v>
      </c>
      <c r="DX44" s="742">
        <v>1</v>
      </c>
      <c r="DY44" s="742">
        <v>0.999999999999998</v>
      </c>
      <c r="DZ44" s="742">
        <v>0.38407376059190601</v>
      </c>
      <c r="EA44" s="742">
        <v>1</v>
      </c>
      <c r="EB44" s="742">
        <v>1</v>
      </c>
      <c r="EC44" s="742">
        <v>0.999999999999998</v>
      </c>
      <c r="ED44" s="742">
        <v>0.38407365642720298</v>
      </c>
      <c r="EE44" s="742">
        <v>1</v>
      </c>
      <c r="EF44" s="742">
        <v>1</v>
      </c>
      <c r="EG44" s="742">
        <v>0.999999999999999</v>
      </c>
      <c r="EH44" s="742">
        <v>0.99999999999992994</v>
      </c>
      <c r="EI44" s="742">
        <v>1</v>
      </c>
      <c r="EJ44" s="742">
        <v>1</v>
      </c>
      <c r="EK44" s="742">
        <v>0.999999999999999</v>
      </c>
      <c r="EL44" s="742">
        <v>0.38407321879692902</v>
      </c>
      <c r="EM44" s="742">
        <v>1</v>
      </c>
      <c r="EN44" s="742">
        <v>1</v>
      </c>
      <c r="EO44" s="742">
        <v>1</v>
      </c>
      <c r="EP44" s="742">
        <v>1</v>
      </c>
      <c r="EQ44" s="742">
        <v>1</v>
      </c>
      <c r="ER44" s="742">
        <v>1</v>
      </c>
      <c r="ES44" s="742">
        <v>0.38406661178246798</v>
      </c>
      <c r="ET44" s="742">
        <v>1</v>
      </c>
      <c r="EU44" s="742">
        <v>1</v>
      </c>
      <c r="EV44" s="742">
        <v>0.999999999999999</v>
      </c>
      <c r="EW44" s="742">
        <v>0.38406658249252301</v>
      </c>
      <c r="EX44" s="742">
        <v>1</v>
      </c>
      <c r="EY44" s="742">
        <v>1</v>
      </c>
      <c r="EZ44" s="742">
        <v>1</v>
      </c>
      <c r="FA44" s="742">
        <v>0.384066478303557</v>
      </c>
      <c r="FB44" s="742">
        <v>1</v>
      </c>
      <c r="FC44" s="742">
        <v>1</v>
      </c>
      <c r="FD44" s="742">
        <v>1</v>
      </c>
      <c r="FE44" s="742">
        <v>0.99999999998339895</v>
      </c>
      <c r="FF44" s="742">
        <v>1</v>
      </c>
      <c r="FG44" s="742">
        <v>1</v>
      </c>
      <c r="FH44" s="742">
        <v>1</v>
      </c>
    </row>
    <row r="45" spans="1:164" ht="12.75" customHeight="1" x14ac:dyDescent="0.2">
      <c r="A45" s="489"/>
      <c r="B45" s="489"/>
      <c r="C45" s="489"/>
      <c r="D45" s="489"/>
      <c r="E45" s="489"/>
      <c r="F45" s="744"/>
      <c r="G45" s="745"/>
      <c r="H45" s="506"/>
      <c r="I45" s="750">
        <v>2093972.66560681</v>
      </c>
      <c r="J45" s="742">
        <v>0.41737799271550702</v>
      </c>
      <c r="K45" s="742">
        <v>1</v>
      </c>
      <c r="L45" s="742">
        <v>1</v>
      </c>
      <c r="M45" s="742">
        <v>1</v>
      </c>
      <c r="N45" s="742">
        <v>1</v>
      </c>
      <c r="O45" s="742">
        <v>1</v>
      </c>
      <c r="P45" s="742">
        <v>1</v>
      </c>
      <c r="Q45" s="742">
        <v>1</v>
      </c>
      <c r="R45" s="742">
        <v>1</v>
      </c>
      <c r="S45" s="742">
        <v>1</v>
      </c>
      <c r="T45" s="742">
        <v>1</v>
      </c>
      <c r="U45" s="742">
        <v>1</v>
      </c>
      <c r="V45" s="742">
        <v>1</v>
      </c>
      <c r="W45" s="742">
        <v>1</v>
      </c>
      <c r="X45" s="742">
        <v>1</v>
      </c>
      <c r="Y45" s="742">
        <v>0.50060216020794301</v>
      </c>
      <c r="Z45" s="742">
        <v>1</v>
      </c>
      <c r="AA45" s="742">
        <v>1</v>
      </c>
      <c r="AB45" s="742">
        <v>1</v>
      </c>
      <c r="AC45" s="742">
        <v>1</v>
      </c>
      <c r="AD45" s="742">
        <v>1</v>
      </c>
      <c r="AE45" s="742">
        <v>1</v>
      </c>
      <c r="AF45" s="742">
        <v>1</v>
      </c>
      <c r="AG45" s="742">
        <v>1</v>
      </c>
      <c r="AH45" s="742">
        <v>1</v>
      </c>
      <c r="AI45" s="742">
        <v>1</v>
      </c>
      <c r="AJ45" s="742">
        <v>1</v>
      </c>
      <c r="AK45" s="742">
        <v>0.50235916566983596</v>
      </c>
      <c r="AL45" s="742">
        <v>1</v>
      </c>
      <c r="AM45" s="742">
        <v>0.999999999999999</v>
      </c>
      <c r="AN45" s="742">
        <v>1</v>
      </c>
      <c r="AO45" s="742">
        <v>1</v>
      </c>
      <c r="AP45" s="742">
        <v>1</v>
      </c>
      <c r="AQ45" s="742">
        <v>1</v>
      </c>
      <c r="AR45" s="742">
        <v>1</v>
      </c>
      <c r="AS45" s="742">
        <v>1</v>
      </c>
      <c r="AT45" s="742">
        <v>1</v>
      </c>
      <c r="AU45" s="742">
        <v>1</v>
      </c>
      <c r="AV45" s="742">
        <v>1</v>
      </c>
      <c r="AW45" s="742">
        <v>0.999999999999999</v>
      </c>
      <c r="AX45" s="742">
        <v>1</v>
      </c>
      <c r="AY45" s="742">
        <v>1</v>
      </c>
      <c r="AZ45" s="742">
        <v>1</v>
      </c>
      <c r="BA45" s="742">
        <v>0.396852619689466</v>
      </c>
      <c r="BB45" s="742">
        <v>1</v>
      </c>
      <c r="BC45" s="742">
        <v>0.999999999999999</v>
      </c>
      <c r="BD45" s="742">
        <v>1</v>
      </c>
      <c r="BE45" s="742">
        <v>1</v>
      </c>
      <c r="BF45" s="742">
        <v>0.999999999999999</v>
      </c>
      <c r="BG45" s="742">
        <v>1</v>
      </c>
      <c r="BH45" s="742">
        <v>0.999999999999997</v>
      </c>
      <c r="BI45" s="742">
        <v>1</v>
      </c>
      <c r="BJ45" s="742">
        <v>0.999999999999999</v>
      </c>
      <c r="BK45" s="742">
        <v>1</v>
      </c>
      <c r="BL45" s="742">
        <v>0.999999999999995</v>
      </c>
      <c r="BM45" s="742">
        <v>1</v>
      </c>
      <c r="BN45" s="742">
        <v>1</v>
      </c>
      <c r="BO45" s="742">
        <v>1</v>
      </c>
      <c r="BP45" s="742">
        <v>0.39647062393433502</v>
      </c>
      <c r="BQ45" s="742">
        <v>1</v>
      </c>
      <c r="BR45" s="742">
        <v>1</v>
      </c>
      <c r="BS45" s="742">
        <v>0.99999999999998801</v>
      </c>
      <c r="BT45" s="742">
        <v>0.999999999999997</v>
      </c>
      <c r="BU45" s="742">
        <v>1</v>
      </c>
      <c r="BV45" s="742">
        <v>0.999999999999999</v>
      </c>
      <c r="BW45" s="742">
        <v>0.999999999999999</v>
      </c>
      <c r="BX45" s="742">
        <v>0.999999999999995</v>
      </c>
      <c r="BY45" s="742">
        <v>1</v>
      </c>
      <c r="BZ45" s="742">
        <v>1</v>
      </c>
      <c r="CA45" s="742">
        <v>1</v>
      </c>
      <c r="CB45" s="742">
        <v>0.39647070456030697</v>
      </c>
      <c r="CC45" s="742">
        <v>1</v>
      </c>
      <c r="CD45" s="742">
        <v>1</v>
      </c>
      <c r="CE45" s="742">
        <v>0.999999999999999</v>
      </c>
      <c r="CF45" s="742">
        <v>0.999999999999994</v>
      </c>
      <c r="CG45" s="742">
        <v>1</v>
      </c>
      <c r="CH45" s="742">
        <v>1</v>
      </c>
      <c r="CI45" s="742">
        <v>1</v>
      </c>
      <c r="CJ45" s="742">
        <v>0.999999999999994</v>
      </c>
      <c r="CK45" s="742">
        <v>1</v>
      </c>
      <c r="CL45" s="742">
        <v>1</v>
      </c>
      <c r="CM45" s="742">
        <v>1</v>
      </c>
      <c r="CN45" s="742">
        <v>0.99999999999999301</v>
      </c>
      <c r="CO45" s="742">
        <v>1</v>
      </c>
      <c r="CP45" s="742">
        <v>0.999999999999999</v>
      </c>
      <c r="CQ45" s="742">
        <v>1</v>
      </c>
      <c r="CR45" s="742">
        <v>0.39638809443738998</v>
      </c>
      <c r="CS45" s="742">
        <v>1</v>
      </c>
      <c r="CT45" s="742">
        <v>0.999999999999999</v>
      </c>
      <c r="CU45" s="742">
        <v>1</v>
      </c>
      <c r="CV45" s="742">
        <v>1</v>
      </c>
      <c r="CW45" s="742">
        <v>1</v>
      </c>
      <c r="CX45" s="742">
        <v>1</v>
      </c>
      <c r="CY45" s="742">
        <v>0.39638830358570298</v>
      </c>
      <c r="CZ45" s="742">
        <v>1</v>
      </c>
      <c r="DA45" s="742">
        <v>1</v>
      </c>
      <c r="DB45" s="742">
        <v>1</v>
      </c>
      <c r="DC45" s="742">
        <v>0.39638756245780798</v>
      </c>
      <c r="DD45" s="742">
        <v>1</v>
      </c>
      <c r="DE45" s="742">
        <v>0.999999999999999</v>
      </c>
      <c r="DF45" s="742">
        <v>1</v>
      </c>
      <c r="DG45" s="742">
        <v>0.39638746047064799</v>
      </c>
      <c r="DH45" s="742">
        <v>1</v>
      </c>
      <c r="DI45" s="742">
        <v>1</v>
      </c>
      <c r="DJ45" s="742">
        <v>1</v>
      </c>
      <c r="DK45" s="742">
        <v>0.99999999999974898</v>
      </c>
      <c r="DL45" s="742">
        <v>1</v>
      </c>
      <c r="DM45" s="742">
        <v>0.999999999999999</v>
      </c>
      <c r="DN45" s="742">
        <v>1</v>
      </c>
      <c r="DO45" s="742">
        <v>0.39638809393108099</v>
      </c>
      <c r="DP45" s="742">
        <v>1</v>
      </c>
      <c r="DQ45" s="742">
        <v>0.999999999999999</v>
      </c>
      <c r="DR45" s="742">
        <v>1</v>
      </c>
      <c r="DS45" s="742">
        <v>1</v>
      </c>
      <c r="DT45" s="742">
        <v>0.999999999999999</v>
      </c>
      <c r="DU45" s="742">
        <v>1</v>
      </c>
      <c r="DV45" s="742">
        <v>0.39638662364407501</v>
      </c>
      <c r="DW45" s="742">
        <v>1</v>
      </c>
      <c r="DX45" s="742">
        <v>0.999999999999999</v>
      </c>
      <c r="DY45" s="742">
        <v>1</v>
      </c>
      <c r="DZ45" s="742">
        <v>0.39638620797885299</v>
      </c>
      <c r="EA45" s="742">
        <v>1</v>
      </c>
      <c r="EB45" s="742">
        <v>0.999999999999999</v>
      </c>
      <c r="EC45" s="742">
        <v>1</v>
      </c>
      <c r="ED45" s="742">
        <v>0.39638610589641698</v>
      </c>
      <c r="EE45" s="742">
        <v>1</v>
      </c>
      <c r="EF45" s="742">
        <v>0.999999999999999</v>
      </c>
      <c r="EG45" s="742">
        <v>1</v>
      </c>
      <c r="EH45" s="742">
        <v>0.99999999999992595</v>
      </c>
      <c r="EI45" s="742">
        <v>1</v>
      </c>
      <c r="EJ45" s="742">
        <v>0.999999999999999</v>
      </c>
      <c r="EK45" s="742">
        <v>1</v>
      </c>
      <c r="EL45" s="742">
        <v>0.39638567701442901</v>
      </c>
      <c r="EM45" s="742">
        <v>1</v>
      </c>
      <c r="EN45" s="742">
        <v>0.999999999999999</v>
      </c>
      <c r="EO45" s="742">
        <v>1</v>
      </c>
      <c r="EP45" s="742">
        <v>1</v>
      </c>
      <c r="EQ45" s="742">
        <v>0.999999999999999</v>
      </c>
      <c r="ER45" s="742">
        <v>1</v>
      </c>
      <c r="ES45" s="742">
        <v>0.396379202075066</v>
      </c>
      <c r="ET45" s="742">
        <v>1</v>
      </c>
      <c r="EU45" s="742">
        <v>0.999999999999999</v>
      </c>
      <c r="EV45" s="742">
        <v>1</v>
      </c>
      <c r="EW45" s="742">
        <v>0.396379173370631</v>
      </c>
      <c r="EX45" s="742">
        <v>0.999999999999999</v>
      </c>
      <c r="EY45" s="742">
        <v>0.999999999999999</v>
      </c>
      <c r="EZ45" s="742">
        <v>1</v>
      </c>
      <c r="FA45" s="742">
        <v>0.39637907126441602</v>
      </c>
      <c r="FB45" s="742">
        <v>1</v>
      </c>
      <c r="FC45" s="742">
        <v>0.999999999999999</v>
      </c>
      <c r="FD45" s="742">
        <v>0.999999999999999</v>
      </c>
      <c r="FE45" s="742">
        <v>0.99999999998372902</v>
      </c>
      <c r="FF45" s="742">
        <v>0.999999999999999</v>
      </c>
      <c r="FG45" s="742">
        <v>0.999999999999999</v>
      </c>
      <c r="FH45" s="742">
        <v>0.999999999999999</v>
      </c>
    </row>
    <row r="46" spans="1:164" ht="12.75" customHeight="1" x14ac:dyDescent="0.2">
      <c r="A46" s="489"/>
      <c r="B46" s="489"/>
      <c r="C46" s="489"/>
      <c r="D46" s="489"/>
      <c r="E46" s="489"/>
      <c r="F46" s="744"/>
      <c r="G46" s="745"/>
      <c r="H46" s="506"/>
      <c r="I46" s="750">
        <v>2177731.5722310799</v>
      </c>
      <c r="J46" s="742">
        <v>0.42902468408153899</v>
      </c>
      <c r="K46" s="742">
        <v>1</v>
      </c>
      <c r="L46" s="742">
        <v>1</v>
      </c>
      <c r="M46" s="742">
        <v>1</v>
      </c>
      <c r="N46" s="742">
        <v>1</v>
      </c>
      <c r="O46" s="742">
        <v>1</v>
      </c>
      <c r="P46" s="742">
        <v>1</v>
      </c>
      <c r="Q46" s="742">
        <v>1</v>
      </c>
      <c r="R46" s="742">
        <v>1</v>
      </c>
      <c r="S46" s="742">
        <v>1</v>
      </c>
      <c r="T46" s="742">
        <v>1</v>
      </c>
      <c r="U46" s="742">
        <v>1</v>
      </c>
      <c r="V46" s="742">
        <v>1</v>
      </c>
      <c r="W46" s="742">
        <v>1</v>
      </c>
      <c r="X46" s="742">
        <v>1</v>
      </c>
      <c r="Y46" s="742">
        <v>0.51058518940388897</v>
      </c>
      <c r="Z46" s="742">
        <v>1</v>
      </c>
      <c r="AA46" s="742">
        <v>1</v>
      </c>
      <c r="AB46" s="742">
        <v>1</v>
      </c>
      <c r="AC46" s="742">
        <v>1</v>
      </c>
      <c r="AD46" s="742">
        <v>1</v>
      </c>
      <c r="AE46" s="742">
        <v>1</v>
      </c>
      <c r="AF46" s="742">
        <v>1</v>
      </c>
      <c r="AG46" s="742">
        <v>1</v>
      </c>
      <c r="AH46" s="742">
        <v>1</v>
      </c>
      <c r="AI46" s="742">
        <v>1</v>
      </c>
      <c r="AJ46" s="742">
        <v>1</v>
      </c>
      <c r="AK46" s="742">
        <v>0.51230707209306203</v>
      </c>
      <c r="AL46" s="742">
        <v>1</v>
      </c>
      <c r="AM46" s="742">
        <v>1</v>
      </c>
      <c r="AN46" s="742">
        <v>1</v>
      </c>
      <c r="AO46" s="742">
        <v>1</v>
      </c>
      <c r="AP46" s="742">
        <v>1</v>
      </c>
      <c r="AQ46" s="742">
        <v>1</v>
      </c>
      <c r="AR46" s="742">
        <v>1</v>
      </c>
      <c r="AS46" s="742">
        <v>1</v>
      </c>
      <c r="AT46" s="742">
        <v>1</v>
      </c>
      <c r="AU46" s="742">
        <v>1</v>
      </c>
      <c r="AV46" s="742">
        <v>1</v>
      </c>
      <c r="AW46" s="742">
        <v>1</v>
      </c>
      <c r="AX46" s="742">
        <v>1</v>
      </c>
      <c r="AY46" s="742">
        <v>1</v>
      </c>
      <c r="AZ46" s="742">
        <v>1</v>
      </c>
      <c r="BA46" s="742">
        <v>0.40890961599046199</v>
      </c>
      <c r="BB46" s="742">
        <v>1</v>
      </c>
      <c r="BC46" s="742">
        <v>1</v>
      </c>
      <c r="BD46" s="742">
        <v>1</v>
      </c>
      <c r="BE46" s="742">
        <v>1</v>
      </c>
      <c r="BF46" s="742">
        <v>1</v>
      </c>
      <c r="BG46" s="742">
        <v>1</v>
      </c>
      <c r="BH46" s="742">
        <v>0.999999999999998</v>
      </c>
      <c r="BI46" s="742">
        <v>1</v>
      </c>
      <c r="BJ46" s="742">
        <v>1</v>
      </c>
      <c r="BK46" s="742">
        <v>1</v>
      </c>
      <c r="BL46" s="742">
        <v>0.999999999999995</v>
      </c>
      <c r="BM46" s="742">
        <v>1</v>
      </c>
      <c r="BN46" s="742">
        <v>1</v>
      </c>
      <c r="BO46" s="742">
        <v>1</v>
      </c>
      <c r="BP46" s="742">
        <v>0.40853525638124999</v>
      </c>
      <c r="BQ46" s="742">
        <v>1</v>
      </c>
      <c r="BR46" s="742">
        <v>1</v>
      </c>
      <c r="BS46" s="742">
        <v>1</v>
      </c>
      <c r="BT46" s="742">
        <v>0.999999999999998</v>
      </c>
      <c r="BU46" s="742">
        <v>0.999999999999999</v>
      </c>
      <c r="BV46" s="742">
        <v>1</v>
      </c>
      <c r="BW46" s="742">
        <v>1</v>
      </c>
      <c r="BX46" s="742">
        <v>0.999999999999995</v>
      </c>
      <c r="BY46" s="742">
        <v>1</v>
      </c>
      <c r="BZ46" s="742">
        <v>1</v>
      </c>
      <c r="CA46" s="742">
        <v>1</v>
      </c>
      <c r="CB46" s="742">
        <v>0.40853533539549802</v>
      </c>
      <c r="CC46" s="742">
        <v>1</v>
      </c>
      <c r="CD46" s="742">
        <v>1</v>
      </c>
      <c r="CE46" s="742">
        <v>1</v>
      </c>
      <c r="CF46" s="742">
        <v>0.999999999999994</v>
      </c>
      <c r="CG46" s="742">
        <v>1</v>
      </c>
      <c r="CH46" s="742">
        <v>1</v>
      </c>
      <c r="CI46" s="742">
        <v>1</v>
      </c>
      <c r="CJ46" s="742">
        <v>0.999999999999995</v>
      </c>
      <c r="CK46" s="742">
        <v>1</v>
      </c>
      <c r="CL46" s="742">
        <v>1</v>
      </c>
      <c r="CM46" s="742">
        <v>1</v>
      </c>
      <c r="CN46" s="742">
        <v>0.999999999999994</v>
      </c>
      <c r="CO46" s="742">
        <v>1</v>
      </c>
      <c r="CP46" s="742">
        <v>1</v>
      </c>
      <c r="CQ46" s="742">
        <v>1</v>
      </c>
      <c r="CR46" s="742">
        <v>0.40845437665991802</v>
      </c>
      <c r="CS46" s="742">
        <v>1</v>
      </c>
      <c r="CT46" s="742">
        <v>1</v>
      </c>
      <c r="CU46" s="742">
        <v>1</v>
      </c>
      <c r="CV46" s="742">
        <v>1</v>
      </c>
      <c r="CW46" s="742">
        <v>1</v>
      </c>
      <c r="CX46" s="742">
        <v>1</v>
      </c>
      <c r="CY46" s="742">
        <v>0.40845458162732901</v>
      </c>
      <c r="CZ46" s="742">
        <v>1</v>
      </c>
      <c r="DA46" s="742">
        <v>1</v>
      </c>
      <c r="DB46" s="742">
        <v>1</v>
      </c>
      <c r="DC46" s="742">
        <v>0.40845385531467898</v>
      </c>
      <c r="DD46" s="742">
        <v>1</v>
      </c>
      <c r="DE46" s="742">
        <v>1</v>
      </c>
      <c r="DF46" s="742">
        <v>1</v>
      </c>
      <c r="DG46" s="742">
        <v>0.408453755366256</v>
      </c>
      <c r="DH46" s="742">
        <v>1</v>
      </c>
      <c r="DI46" s="742">
        <v>1</v>
      </c>
      <c r="DJ46" s="742">
        <v>1</v>
      </c>
      <c r="DK46" s="742">
        <v>0.99999999999975497</v>
      </c>
      <c r="DL46" s="742">
        <v>1</v>
      </c>
      <c r="DM46" s="742">
        <v>1</v>
      </c>
      <c r="DN46" s="742">
        <v>1</v>
      </c>
      <c r="DO46" s="742">
        <v>0.40845437616373098</v>
      </c>
      <c r="DP46" s="742">
        <v>1</v>
      </c>
      <c r="DQ46" s="742">
        <v>1</v>
      </c>
      <c r="DR46" s="742">
        <v>1</v>
      </c>
      <c r="DS46" s="742">
        <v>1</v>
      </c>
      <c r="DT46" s="742">
        <v>1</v>
      </c>
      <c r="DU46" s="742">
        <v>1</v>
      </c>
      <c r="DV46" s="742">
        <v>0.40845293526795701</v>
      </c>
      <c r="DW46" s="742">
        <v>1</v>
      </c>
      <c r="DX46" s="742">
        <v>1</v>
      </c>
      <c r="DY46" s="742">
        <v>1</v>
      </c>
      <c r="DZ46" s="742">
        <v>0.40845252791193898</v>
      </c>
      <c r="EA46" s="742">
        <v>1</v>
      </c>
      <c r="EB46" s="742">
        <v>1</v>
      </c>
      <c r="EC46" s="742">
        <v>1</v>
      </c>
      <c r="ED46" s="742">
        <v>0.40845242787014402</v>
      </c>
      <c r="EE46" s="742">
        <v>1</v>
      </c>
      <c r="EF46" s="742">
        <v>1</v>
      </c>
      <c r="EG46" s="742">
        <v>1</v>
      </c>
      <c r="EH46" s="742">
        <v>0.99999999999992895</v>
      </c>
      <c r="EI46" s="742">
        <v>1</v>
      </c>
      <c r="EJ46" s="742">
        <v>1</v>
      </c>
      <c r="EK46" s="742">
        <v>1</v>
      </c>
      <c r="EL46" s="742">
        <v>0.40845200756156402</v>
      </c>
      <c r="EM46" s="742">
        <v>1</v>
      </c>
      <c r="EN46" s="742">
        <v>1</v>
      </c>
      <c r="EO46" s="742">
        <v>1</v>
      </c>
      <c r="EP46" s="742">
        <v>1</v>
      </c>
      <c r="EQ46" s="742">
        <v>1</v>
      </c>
      <c r="ER46" s="742">
        <v>1</v>
      </c>
      <c r="ES46" s="742">
        <v>0.40844566205709898</v>
      </c>
      <c r="ET46" s="742">
        <v>1</v>
      </c>
      <c r="EU46" s="742">
        <v>1</v>
      </c>
      <c r="EV46" s="742">
        <v>1</v>
      </c>
      <c r="EW46" s="742">
        <v>0.40844563392646899</v>
      </c>
      <c r="EX46" s="742">
        <v>1</v>
      </c>
      <c r="EY46" s="742">
        <v>1</v>
      </c>
      <c r="EZ46" s="742">
        <v>1</v>
      </c>
      <c r="FA46" s="742">
        <v>0.408445533861371</v>
      </c>
      <c r="FB46" s="742">
        <v>1</v>
      </c>
      <c r="FC46" s="742">
        <v>1</v>
      </c>
      <c r="FD46" s="742">
        <v>1</v>
      </c>
      <c r="FE46" s="742">
        <v>0.99999999998405498</v>
      </c>
      <c r="FF46" s="742">
        <v>1</v>
      </c>
      <c r="FG46" s="742">
        <v>1</v>
      </c>
      <c r="FH46" s="742">
        <v>1</v>
      </c>
    </row>
    <row r="47" spans="1:164" ht="12.75" customHeight="1" x14ac:dyDescent="0.2">
      <c r="A47" s="489"/>
      <c r="B47" s="489"/>
      <c r="C47" s="489"/>
      <c r="D47" s="489"/>
      <c r="E47" s="489"/>
      <c r="F47" s="744"/>
      <c r="G47" s="745"/>
      <c r="H47" s="506"/>
      <c r="I47" s="750">
        <v>2261490.4788553501</v>
      </c>
      <c r="J47" s="742">
        <v>0.440438556541487</v>
      </c>
      <c r="K47" s="742">
        <v>1</v>
      </c>
      <c r="L47" s="742">
        <v>1</v>
      </c>
      <c r="M47" s="742">
        <v>1</v>
      </c>
      <c r="N47" s="742">
        <v>1</v>
      </c>
      <c r="O47" s="742">
        <v>1</v>
      </c>
      <c r="P47" s="742">
        <v>1</v>
      </c>
      <c r="Q47" s="742">
        <v>1</v>
      </c>
      <c r="R47" s="742">
        <v>1</v>
      </c>
      <c r="S47" s="742">
        <v>1</v>
      </c>
      <c r="T47" s="742">
        <v>1</v>
      </c>
      <c r="U47" s="742">
        <v>1</v>
      </c>
      <c r="V47" s="742">
        <v>1</v>
      </c>
      <c r="W47" s="742">
        <v>1</v>
      </c>
      <c r="X47" s="742">
        <v>1</v>
      </c>
      <c r="Y47" s="742">
        <v>0.52036865652131903</v>
      </c>
      <c r="Z47" s="742">
        <v>1</v>
      </c>
      <c r="AA47" s="742">
        <v>1</v>
      </c>
      <c r="AB47" s="742">
        <v>1</v>
      </c>
      <c r="AC47" s="742">
        <v>1</v>
      </c>
      <c r="AD47" s="742">
        <v>1</v>
      </c>
      <c r="AE47" s="742">
        <v>1</v>
      </c>
      <c r="AF47" s="742">
        <v>1</v>
      </c>
      <c r="AG47" s="742">
        <v>1</v>
      </c>
      <c r="AH47" s="742">
        <v>1</v>
      </c>
      <c r="AI47" s="742">
        <v>1</v>
      </c>
      <c r="AJ47" s="742">
        <v>1</v>
      </c>
      <c r="AK47" s="742">
        <v>0.52205611854666201</v>
      </c>
      <c r="AL47" s="742">
        <v>1</v>
      </c>
      <c r="AM47" s="742">
        <v>0.999999999999999</v>
      </c>
      <c r="AN47" s="742">
        <v>1</v>
      </c>
      <c r="AO47" s="742">
        <v>1</v>
      </c>
      <c r="AP47" s="742">
        <v>1</v>
      </c>
      <c r="AQ47" s="742">
        <v>1</v>
      </c>
      <c r="AR47" s="742">
        <v>1</v>
      </c>
      <c r="AS47" s="742">
        <v>1</v>
      </c>
      <c r="AT47" s="742">
        <v>1</v>
      </c>
      <c r="AU47" s="742">
        <v>1</v>
      </c>
      <c r="AV47" s="742">
        <v>1</v>
      </c>
      <c r="AW47" s="742">
        <v>1</v>
      </c>
      <c r="AX47" s="742">
        <v>1</v>
      </c>
      <c r="AY47" s="742">
        <v>1</v>
      </c>
      <c r="AZ47" s="742">
        <v>1</v>
      </c>
      <c r="BA47" s="742">
        <v>0.42072559133526899</v>
      </c>
      <c r="BB47" s="742">
        <v>1</v>
      </c>
      <c r="BC47" s="742">
        <v>1</v>
      </c>
      <c r="BD47" s="742">
        <v>1</v>
      </c>
      <c r="BE47" s="742">
        <v>1</v>
      </c>
      <c r="BF47" s="742">
        <v>1</v>
      </c>
      <c r="BG47" s="742">
        <v>1</v>
      </c>
      <c r="BH47" s="742">
        <v>0.999999999999997</v>
      </c>
      <c r="BI47" s="742">
        <v>1</v>
      </c>
      <c r="BJ47" s="742">
        <v>1</v>
      </c>
      <c r="BK47" s="742">
        <v>1</v>
      </c>
      <c r="BL47" s="742">
        <v>0.999999999999995</v>
      </c>
      <c r="BM47" s="742">
        <v>1</v>
      </c>
      <c r="BN47" s="742">
        <v>1</v>
      </c>
      <c r="BO47" s="742">
        <v>1</v>
      </c>
      <c r="BP47" s="742">
        <v>0.42035871522440499</v>
      </c>
      <c r="BQ47" s="742">
        <v>1</v>
      </c>
      <c r="BR47" s="742">
        <v>1</v>
      </c>
      <c r="BS47" s="742">
        <v>1</v>
      </c>
      <c r="BT47" s="742">
        <v>0.999999999999998</v>
      </c>
      <c r="BU47" s="742">
        <v>1</v>
      </c>
      <c r="BV47" s="742">
        <v>1</v>
      </c>
      <c r="BW47" s="742">
        <v>1</v>
      </c>
      <c r="BX47" s="742">
        <v>0.999999999999996</v>
      </c>
      <c r="BY47" s="742">
        <v>1</v>
      </c>
      <c r="BZ47" s="742">
        <v>1</v>
      </c>
      <c r="CA47" s="742">
        <v>1</v>
      </c>
      <c r="CB47" s="742">
        <v>0.420358792659148</v>
      </c>
      <c r="CC47" s="742">
        <v>1</v>
      </c>
      <c r="CD47" s="742">
        <v>1</v>
      </c>
      <c r="CE47" s="742">
        <v>0.999999999999999</v>
      </c>
      <c r="CF47" s="742">
        <v>0.999999999999994</v>
      </c>
      <c r="CG47" s="742">
        <v>1</v>
      </c>
      <c r="CH47" s="742">
        <v>1</v>
      </c>
      <c r="CI47" s="742">
        <v>1</v>
      </c>
      <c r="CJ47" s="742">
        <v>0.999999999999995</v>
      </c>
      <c r="CK47" s="742">
        <v>1</v>
      </c>
      <c r="CL47" s="742">
        <v>1</v>
      </c>
      <c r="CM47" s="742">
        <v>1</v>
      </c>
      <c r="CN47" s="742">
        <v>0.999999999999994</v>
      </c>
      <c r="CO47" s="742">
        <v>1</v>
      </c>
      <c r="CP47" s="742">
        <v>1</v>
      </c>
      <c r="CQ47" s="742">
        <v>1</v>
      </c>
      <c r="CR47" s="742">
        <v>0.42027945229945401</v>
      </c>
      <c r="CS47" s="742">
        <v>1</v>
      </c>
      <c r="CT47" s="742">
        <v>1</v>
      </c>
      <c r="CU47" s="742">
        <v>1</v>
      </c>
      <c r="CV47" s="742">
        <v>1</v>
      </c>
      <c r="CW47" s="742">
        <v>1</v>
      </c>
      <c r="CX47" s="742">
        <v>1</v>
      </c>
      <c r="CY47" s="742">
        <v>0.42027965316953902</v>
      </c>
      <c r="CZ47" s="742">
        <v>1</v>
      </c>
      <c r="DA47" s="742">
        <v>1</v>
      </c>
      <c r="DB47" s="742">
        <v>1</v>
      </c>
      <c r="DC47" s="742">
        <v>0.42027894137597399</v>
      </c>
      <c r="DD47" s="742">
        <v>1</v>
      </c>
      <c r="DE47" s="742">
        <v>1</v>
      </c>
      <c r="DF47" s="742">
        <v>1</v>
      </c>
      <c r="DG47" s="742">
        <v>0.42027884342553401</v>
      </c>
      <c r="DH47" s="742">
        <v>1</v>
      </c>
      <c r="DI47" s="742">
        <v>1</v>
      </c>
      <c r="DJ47" s="742">
        <v>1</v>
      </c>
      <c r="DK47" s="742">
        <v>0.99999999999975997</v>
      </c>
      <c r="DL47" s="742">
        <v>1</v>
      </c>
      <c r="DM47" s="742">
        <v>1</v>
      </c>
      <c r="DN47" s="742">
        <v>1</v>
      </c>
      <c r="DO47" s="742">
        <v>0.42027945181318499</v>
      </c>
      <c r="DP47" s="742">
        <v>1</v>
      </c>
      <c r="DQ47" s="742">
        <v>1</v>
      </c>
      <c r="DR47" s="742">
        <v>1</v>
      </c>
      <c r="DS47" s="742">
        <v>1</v>
      </c>
      <c r="DT47" s="742">
        <v>1</v>
      </c>
      <c r="DU47" s="742">
        <v>1</v>
      </c>
      <c r="DV47" s="742">
        <v>0.420278039721109</v>
      </c>
      <c r="DW47" s="742">
        <v>1</v>
      </c>
      <c r="DX47" s="742">
        <v>1</v>
      </c>
      <c r="DY47" s="742">
        <v>1</v>
      </c>
      <c r="DZ47" s="742">
        <v>0.420277640508192</v>
      </c>
      <c r="EA47" s="742">
        <v>1</v>
      </c>
      <c r="EB47" s="742">
        <v>1</v>
      </c>
      <c r="EC47" s="742">
        <v>1</v>
      </c>
      <c r="ED47" s="742">
        <v>0.42027754246624599</v>
      </c>
      <c r="EE47" s="742">
        <v>1</v>
      </c>
      <c r="EF47" s="742">
        <v>1</v>
      </c>
      <c r="EG47" s="742">
        <v>1</v>
      </c>
      <c r="EH47" s="742">
        <v>0.99999999999993106</v>
      </c>
      <c r="EI47" s="742">
        <v>1</v>
      </c>
      <c r="EJ47" s="742">
        <v>1</v>
      </c>
      <c r="EK47" s="742">
        <v>1</v>
      </c>
      <c r="EL47" s="742">
        <v>0.42027713055969101</v>
      </c>
      <c r="EM47" s="742">
        <v>1</v>
      </c>
      <c r="EN47" s="742">
        <v>1</v>
      </c>
      <c r="EO47" s="742">
        <v>1</v>
      </c>
      <c r="EP47" s="742">
        <v>1</v>
      </c>
      <c r="EQ47" s="742">
        <v>1</v>
      </c>
      <c r="ER47" s="742">
        <v>1</v>
      </c>
      <c r="ES47" s="742">
        <v>0.42027091190270399</v>
      </c>
      <c r="ET47" s="742">
        <v>1</v>
      </c>
      <c r="EU47" s="742">
        <v>1</v>
      </c>
      <c r="EV47" s="742">
        <v>1</v>
      </c>
      <c r="EW47" s="742">
        <v>0.42027088433440901</v>
      </c>
      <c r="EX47" s="742">
        <v>0.999999999999999</v>
      </c>
      <c r="EY47" s="742">
        <v>1</v>
      </c>
      <c r="EZ47" s="742">
        <v>1</v>
      </c>
      <c r="FA47" s="742">
        <v>0.420270786269625</v>
      </c>
      <c r="FB47" s="742">
        <v>1</v>
      </c>
      <c r="FC47" s="742">
        <v>1</v>
      </c>
      <c r="FD47" s="742">
        <v>0.999999999999999</v>
      </c>
      <c r="FE47" s="742">
        <v>0.99999999998437406</v>
      </c>
      <c r="FF47" s="742">
        <v>0.999999999999999</v>
      </c>
      <c r="FG47" s="742">
        <v>1</v>
      </c>
      <c r="FH47" s="742">
        <v>1</v>
      </c>
    </row>
    <row r="48" spans="1:164" ht="12.75" customHeight="1" x14ac:dyDescent="0.2">
      <c r="A48" s="489"/>
      <c r="B48" s="489"/>
      <c r="C48" s="489"/>
      <c r="D48" s="489"/>
      <c r="E48" s="489"/>
      <c r="F48" s="744"/>
      <c r="G48" s="745"/>
      <c r="H48" s="506"/>
      <c r="I48" s="750">
        <v>2345249.3854796202</v>
      </c>
      <c r="J48" s="742">
        <v>0.45162426417243801</v>
      </c>
      <c r="K48" s="742">
        <v>1</v>
      </c>
      <c r="L48" s="742">
        <v>1</v>
      </c>
      <c r="M48" s="742">
        <v>1</v>
      </c>
      <c r="N48" s="742">
        <v>1</v>
      </c>
      <c r="O48" s="742">
        <v>1</v>
      </c>
      <c r="P48" s="742">
        <v>1</v>
      </c>
      <c r="Q48" s="742">
        <v>1</v>
      </c>
      <c r="R48" s="742">
        <v>1</v>
      </c>
      <c r="S48" s="742">
        <v>1</v>
      </c>
      <c r="T48" s="742">
        <v>1</v>
      </c>
      <c r="U48" s="742">
        <v>1</v>
      </c>
      <c r="V48" s="742">
        <v>1</v>
      </c>
      <c r="W48" s="742">
        <v>1</v>
      </c>
      <c r="X48" s="742">
        <v>1</v>
      </c>
      <c r="Y48" s="742">
        <v>0.52995655082946402</v>
      </c>
      <c r="Z48" s="742">
        <v>1</v>
      </c>
      <c r="AA48" s="742">
        <v>1</v>
      </c>
      <c r="AB48" s="742">
        <v>1</v>
      </c>
      <c r="AC48" s="742">
        <v>1</v>
      </c>
      <c r="AD48" s="742">
        <v>1</v>
      </c>
      <c r="AE48" s="742">
        <v>1</v>
      </c>
      <c r="AF48" s="742">
        <v>1</v>
      </c>
      <c r="AG48" s="742">
        <v>1</v>
      </c>
      <c r="AH48" s="742">
        <v>1</v>
      </c>
      <c r="AI48" s="742">
        <v>1</v>
      </c>
      <c r="AJ48" s="742">
        <v>1</v>
      </c>
      <c r="AK48" s="742">
        <v>0.53161028026462498</v>
      </c>
      <c r="AL48" s="742">
        <v>1</v>
      </c>
      <c r="AM48" s="742">
        <v>1</v>
      </c>
      <c r="AN48" s="742">
        <v>1</v>
      </c>
      <c r="AO48" s="742">
        <v>1</v>
      </c>
      <c r="AP48" s="742">
        <v>1</v>
      </c>
      <c r="AQ48" s="742">
        <v>1</v>
      </c>
      <c r="AR48" s="742">
        <v>1</v>
      </c>
      <c r="AS48" s="742">
        <v>1</v>
      </c>
      <c r="AT48" s="742">
        <v>1</v>
      </c>
      <c r="AU48" s="742">
        <v>1</v>
      </c>
      <c r="AV48" s="742">
        <v>1</v>
      </c>
      <c r="AW48" s="742">
        <v>1</v>
      </c>
      <c r="AX48" s="742">
        <v>1</v>
      </c>
      <c r="AY48" s="742">
        <v>1</v>
      </c>
      <c r="AZ48" s="742">
        <v>1</v>
      </c>
      <c r="BA48" s="742">
        <v>0.43230536376091599</v>
      </c>
      <c r="BB48" s="742">
        <v>1</v>
      </c>
      <c r="BC48" s="742">
        <v>1</v>
      </c>
      <c r="BD48" s="742">
        <v>1</v>
      </c>
      <c r="BE48" s="742">
        <v>1</v>
      </c>
      <c r="BF48" s="742">
        <v>1</v>
      </c>
      <c r="BG48" s="742">
        <v>1</v>
      </c>
      <c r="BH48" s="742">
        <v>0.999999999999998</v>
      </c>
      <c r="BI48" s="742">
        <v>1</v>
      </c>
      <c r="BJ48" s="742">
        <v>1</v>
      </c>
      <c r="BK48" s="742">
        <v>1</v>
      </c>
      <c r="BL48" s="742">
        <v>0.999999999999995</v>
      </c>
      <c r="BM48" s="742">
        <v>1</v>
      </c>
      <c r="BN48" s="742">
        <v>1</v>
      </c>
      <c r="BO48" s="742">
        <v>1</v>
      </c>
      <c r="BP48" s="742">
        <v>0.43194582155227301</v>
      </c>
      <c r="BQ48" s="742">
        <v>1</v>
      </c>
      <c r="BR48" s="742">
        <v>1</v>
      </c>
      <c r="BS48" s="742">
        <v>1</v>
      </c>
      <c r="BT48" s="742">
        <v>0.999999999999999</v>
      </c>
      <c r="BU48" s="742">
        <v>1</v>
      </c>
      <c r="BV48" s="742">
        <v>1</v>
      </c>
      <c r="BW48" s="742">
        <v>1</v>
      </c>
      <c r="BX48" s="742">
        <v>0.999999999999995</v>
      </c>
      <c r="BY48" s="742">
        <v>1</v>
      </c>
      <c r="BZ48" s="742">
        <v>1</v>
      </c>
      <c r="CA48" s="742">
        <v>1</v>
      </c>
      <c r="CB48" s="742">
        <v>0.43194589743908501</v>
      </c>
      <c r="CC48" s="742">
        <v>1</v>
      </c>
      <c r="CD48" s="742">
        <v>1</v>
      </c>
      <c r="CE48" s="742">
        <v>1</v>
      </c>
      <c r="CF48" s="742">
        <v>0.999999999999995</v>
      </c>
      <c r="CG48" s="742">
        <v>1</v>
      </c>
      <c r="CH48" s="742">
        <v>1</v>
      </c>
      <c r="CI48" s="742">
        <v>1</v>
      </c>
      <c r="CJ48" s="742">
        <v>0.999999999999995</v>
      </c>
      <c r="CK48" s="742">
        <v>1</v>
      </c>
      <c r="CL48" s="742">
        <v>1</v>
      </c>
      <c r="CM48" s="742">
        <v>1</v>
      </c>
      <c r="CN48" s="742">
        <v>0.999999999999995</v>
      </c>
      <c r="CO48" s="742">
        <v>1</v>
      </c>
      <c r="CP48" s="742">
        <v>1</v>
      </c>
      <c r="CQ48" s="742">
        <v>1</v>
      </c>
      <c r="CR48" s="742">
        <v>0.43186814310372701</v>
      </c>
      <c r="CS48" s="742">
        <v>1</v>
      </c>
      <c r="CT48" s="742">
        <v>1</v>
      </c>
      <c r="CU48" s="742">
        <v>1</v>
      </c>
      <c r="CV48" s="742">
        <v>1</v>
      </c>
      <c r="CW48" s="742">
        <v>1</v>
      </c>
      <c r="CX48" s="742">
        <v>1</v>
      </c>
      <c r="CY48" s="742">
        <v>0.43186833995839202</v>
      </c>
      <c r="CZ48" s="742">
        <v>1</v>
      </c>
      <c r="DA48" s="742">
        <v>1</v>
      </c>
      <c r="DB48" s="742">
        <v>1</v>
      </c>
      <c r="DC48" s="742">
        <v>0.43186764239367598</v>
      </c>
      <c r="DD48" s="742">
        <v>1</v>
      </c>
      <c r="DE48" s="742">
        <v>1</v>
      </c>
      <c r="DF48" s="742">
        <v>1</v>
      </c>
      <c r="DG48" s="742">
        <v>0.431867546401278</v>
      </c>
      <c r="DH48" s="742">
        <v>1</v>
      </c>
      <c r="DI48" s="742">
        <v>1</v>
      </c>
      <c r="DJ48" s="742">
        <v>1</v>
      </c>
      <c r="DK48" s="742">
        <v>0.99999999999976497</v>
      </c>
      <c r="DL48" s="742">
        <v>1</v>
      </c>
      <c r="DM48" s="742">
        <v>1</v>
      </c>
      <c r="DN48" s="742">
        <v>1</v>
      </c>
      <c r="DO48" s="742">
        <v>0.43186814262717899</v>
      </c>
      <c r="DP48" s="742">
        <v>1</v>
      </c>
      <c r="DQ48" s="742">
        <v>1</v>
      </c>
      <c r="DR48" s="742">
        <v>1</v>
      </c>
      <c r="DS48" s="742">
        <v>1</v>
      </c>
      <c r="DT48" s="742">
        <v>1</v>
      </c>
      <c r="DU48" s="742">
        <v>1</v>
      </c>
      <c r="DV48" s="742">
        <v>0.431866758763012</v>
      </c>
      <c r="DW48" s="742">
        <v>1</v>
      </c>
      <c r="DX48" s="742">
        <v>1</v>
      </c>
      <c r="DY48" s="742">
        <v>1</v>
      </c>
      <c r="DZ48" s="742">
        <v>0.43186636753041402</v>
      </c>
      <c r="EA48" s="742">
        <v>1</v>
      </c>
      <c r="EB48" s="742">
        <v>1</v>
      </c>
      <c r="EC48" s="742">
        <v>1</v>
      </c>
      <c r="ED48" s="742">
        <v>0.431866271448339</v>
      </c>
      <c r="EE48" s="742">
        <v>1</v>
      </c>
      <c r="EF48" s="742">
        <v>1</v>
      </c>
      <c r="EG48" s="742">
        <v>1</v>
      </c>
      <c r="EH48" s="742">
        <v>0.99999999999993205</v>
      </c>
      <c r="EI48" s="742">
        <v>1</v>
      </c>
      <c r="EJ48" s="742">
        <v>1</v>
      </c>
      <c r="EK48" s="742">
        <v>1</v>
      </c>
      <c r="EL48" s="742">
        <v>0.43186586777585001</v>
      </c>
      <c r="EM48" s="742">
        <v>1</v>
      </c>
      <c r="EN48" s="742">
        <v>1</v>
      </c>
      <c r="EO48" s="742">
        <v>1</v>
      </c>
      <c r="EP48" s="742">
        <v>1</v>
      </c>
      <c r="EQ48" s="742">
        <v>1</v>
      </c>
      <c r="ER48" s="742">
        <v>1</v>
      </c>
      <c r="ES48" s="742">
        <v>0.43185977343064302</v>
      </c>
      <c r="ET48" s="742">
        <v>1</v>
      </c>
      <c r="EU48" s="742">
        <v>1</v>
      </c>
      <c r="EV48" s="742">
        <v>1</v>
      </c>
      <c r="EW48" s="742">
        <v>0.43185974641344199</v>
      </c>
      <c r="EX48" s="742">
        <v>1</v>
      </c>
      <c r="EY48" s="742">
        <v>1</v>
      </c>
      <c r="EZ48" s="742">
        <v>1</v>
      </c>
      <c r="FA48" s="742">
        <v>0.43185965030898599</v>
      </c>
      <c r="FB48" s="742">
        <v>1</v>
      </c>
      <c r="FC48" s="742">
        <v>1</v>
      </c>
      <c r="FD48" s="742">
        <v>0.999999999999999</v>
      </c>
      <c r="FE48" s="742">
        <v>0.99999999998468603</v>
      </c>
      <c r="FF48" s="742">
        <v>1</v>
      </c>
      <c r="FG48" s="742">
        <v>1</v>
      </c>
      <c r="FH48" s="742">
        <v>1</v>
      </c>
    </row>
    <row r="49" spans="1:164" ht="12.75" customHeight="1" x14ac:dyDescent="0.2">
      <c r="A49" s="489"/>
      <c r="B49" s="489"/>
      <c r="C49" s="489"/>
      <c r="D49" s="489"/>
      <c r="E49" s="489"/>
      <c r="F49" s="744"/>
      <c r="G49" s="745"/>
      <c r="H49" s="506"/>
      <c r="I49" s="750">
        <v>2429008.2921038899</v>
      </c>
      <c r="J49" s="742">
        <v>0.46258636801875103</v>
      </c>
      <c r="K49" s="742">
        <v>1</v>
      </c>
      <c r="L49" s="742">
        <v>1</v>
      </c>
      <c r="M49" s="742">
        <v>1</v>
      </c>
      <c r="N49" s="742">
        <v>1</v>
      </c>
      <c r="O49" s="742">
        <v>1</v>
      </c>
      <c r="P49" s="742">
        <v>1</v>
      </c>
      <c r="Q49" s="742">
        <v>1</v>
      </c>
      <c r="R49" s="742">
        <v>1</v>
      </c>
      <c r="S49" s="742">
        <v>1</v>
      </c>
      <c r="T49" s="742">
        <v>1</v>
      </c>
      <c r="U49" s="742">
        <v>1</v>
      </c>
      <c r="V49" s="742">
        <v>1</v>
      </c>
      <c r="W49" s="742">
        <v>1</v>
      </c>
      <c r="X49" s="742">
        <v>1</v>
      </c>
      <c r="Y49" s="742">
        <v>0.53935278185400204</v>
      </c>
      <c r="Z49" s="742">
        <v>1</v>
      </c>
      <c r="AA49" s="742">
        <v>1</v>
      </c>
      <c r="AB49" s="742">
        <v>1</v>
      </c>
      <c r="AC49" s="742">
        <v>1</v>
      </c>
      <c r="AD49" s="742">
        <v>1</v>
      </c>
      <c r="AE49" s="742">
        <v>1</v>
      </c>
      <c r="AF49" s="742">
        <v>1</v>
      </c>
      <c r="AG49" s="742">
        <v>1</v>
      </c>
      <c r="AH49" s="742">
        <v>1</v>
      </c>
      <c r="AI49" s="742">
        <v>1</v>
      </c>
      <c r="AJ49" s="742">
        <v>1</v>
      </c>
      <c r="AK49" s="742">
        <v>0.54097345301794897</v>
      </c>
      <c r="AL49" s="742">
        <v>1</v>
      </c>
      <c r="AM49" s="742">
        <v>1</v>
      </c>
      <c r="AN49" s="742">
        <v>1</v>
      </c>
      <c r="AO49" s="742">
        <v>1</v>
      </c>
      <c r="AP49" s="742">
        <v>1</v>
      </c>
      <c r="AQ49" s="742">
        <v>1</v>
      </c>
      <c r="AR49" s="742">
        <v>1</v>
      </c>
      <c r="AS49" s="742">
        <v>1</v>
      </c>
      <c r="AT49" s="742">
        <v>1</v>
      </c>
      <c r="AU49" s="742">
        <v>1</v>
      </c>
      <c r="AV49" s="742">
        <v>1</v>
      </c>
      <c r="AW49" s="742">
        <v>1</v>
      </c>
      <c r="AX49" s="742">
        <v>1</v>
      </c>
      <c r="AY49" s="742">
        <v>1</v>
      </c>
      <c r="AZ49" s="742">
        <v>1</v>
      </c>
      <c r="BA49" s="742">
        <v>0.44365365499421799</v>
      </c>
      <c r="BB49" s="742">
        <v>1</v>
      </c>
      <c r="BC49" s="742">
        <v>1</v>
      </c>
      <c r="BD49" s="742">
        <v>1</v>
      </c>
      <c r="BE49" s="742">
        <v>1</v>
      </c>
      <c r="BF49" s="742">
        <v>1</v>
      </c>
      <c r="BG49" s="742">
        <v>1</v>
      </c>
      <c r="BH49" s="742">
        <v>0.999999999999998</v>
      </c>
      <c r="BI49" s="742">
        <v>1</v>
      </c>
      <c r="BJ49" s="742">
        <v>1</v>
      </c>
      <c r="BK49" s="742">
        <v>1</v>
      </c>
      <c r="BL49" s="742">
        <v>0.999999999999995</v>
      </c>
      <c r="BM49" s="742">
        <v>1</v>
      </c>
      <c r="BN49" s="742">
        <v>1</v>
      </c>
      <c r="BO49" s="742">
        <v>1</v>
      </c>
      <c r="BP49" s="742">
        <v>0.44330130008211499</v>
      </c>
      <c r="BQ49" s="742">
        <v>1</v>
      </c>
      <c r="BR49" s="742">
        <v>1</v>
      </c>
      <c r="BS49" s="742">
        <v>1</v>
      </c>
      <c r="BT49" s="742">
        <v>0.999999999999998</v>
      </c>
      <c r="BU49" s="742">
        <v>1</v>
      </c>
      <c r="BV49" s="742">
        <v>1</v>
      </c>
      <c r="BW49" s="742">
        <v>1</v>
      </c>
      <c r="BX49" s="742">
        <v>0.999999999999995</v>
      </c>
      <c r="BY49" s="742">
        <v>0.999999999999999</v>
      </c>
      <c r="BZ49" s="742">
        <v>1</v>
      </c>
      <c r="CA49" s="742">
        <v>1</v>
      </c>
      <c r="CB49" s="742">
        <v>0.44330137445193901</v>
      </c>
      <c r="CC49" s="742">
        <v>1</v>
      </c>
      <c r="CD49" s="742">
        <v>1</v>
      </c>
      <c r="CE49" s="742">
        <v>1</v>
      </c>
      <c r="CF49" s="742">
        <v>0.999999999999994</v>
      </c>
      <c r="CG49" s="742">
        <v>1</v>
      </c>
      <c r="CH49" s="742">
        <v>1</v>
      </c>
      <c r="CI49" s="742">
        <v>1</v>
      </c>
      <c r="CJ49" s="742">
        <v>0.999999999999994</v>
      </c>
      <c r="CK49" s="742">
        <v>1</v>
      </c>
      <c r="CL49" s="742">
        <v>1</v>
      </c>
      <c r="CM49" s="742">
        <v>1</v>
      </c>
      <c r="CN49" s="742">
        <v>0.999999999999994</v>
      </c>
      <c r="CO49" s="742">
        <v>1</v>
      </c>
      <c r="CP49" s="742">
        <v>1</v>
      </c>
      <c r="CQ49" s="742">
        <v>1</v>
      </c>
      <c r="CR49" s="742">
        <v>0.44322517443607901</v>
      </c>
      <c r="CS49" s="742">
        <v>1</v>
      </c>
      <c r="CT49" s="742">
        <v>1</v>
      </c>
      <c r="CU49" s="742">
        <v>1</v>
      </c>
      <c r="CV49" s="742">
        <v>1</v>
      </c>
      <c r="CW49" s="742">
        <v>1</v>
      </c>
      <c r="CX49" s="742">
        <v>1</v>
      </c>
      <c r="CY49" s="742">
        <v>0.44322536735559398</v>
      </c>
      <c r="CZ49" s="742">
        <v>1</v>
      </c>
      <c r="DA49" s="742">
        <v>1</v>
      </c>
      <c r="DB49" s="742">
        <v>1</v>
      </c>
      <c r="DC49" s="742">
        <v>0.443224683735289</v>
      </c>
      <c r="DD49" s="742">
        <v>1</v>
      </c>
      <c r="DE49" s="742">
        <v>1</v>
      </c>
      <c r="DF49" s="742">
        <v>1</v>
      </c>
      <c r="DG49" s="742">
        <v>0.44322458966179201</v>
      </c>
      <c r="DH49" s="742">
        <v>1</v>
      </c>
      <c r="DI49" s="742">
        <v>1</v>
      </c>
      <c r="DJ49" s="742">
        <v>1</v>
      </c>
      <c r="DK49" s="742">
        <v>0.99999999999976896</v>
      </c>
      <c r="DL49" s="742">
        <v>1</v>
      </c>
      <c r="DM49" s="742">
        <v>1</v>
      </c>
      <c r="DN49" s="742">
        <v>1</v>
      </c>
      <c r="DO49" s="742">
        <v>0.44322517396905797</v>
      </c>
      <c r="DP49" s="742">
        <v>1</v>
      </c>
      <c r="DQ49" s="742">
        <v>1</v>
      </c>
      <c r="DR49" s="742">
        <v>1</v>
      </c>
      <c r="DS49" s="742">
        <v>1</v>
      </c>
      <c r="DT49" s="742">
        <v>1</v>
      </c>
      <c r="DU49" s="742">
        <v>1</v>
      </c>
      <c r="DV49" s="742">
        <v>0.44322381776851899</v>
      </c>
      <c r="DW49" s="742">
        <v>1</v>
      </c>
      <c r="DX49" s="742">
        <v>1</v>
      </c>
      <c r="DY49" s="742">
        <v>1</v>
      </c>
      <c r="DZ49" s="742">
        <v>0.44322343435671202</v>
      </c>
      <c r="EA49" s="742">
        <v>1</v>
      </c>
      <c r="EB49" s="742">
        <v>1</v>
      </c>
      <c r="EC49" s="742">
        <v>1</v>
      </c>
      <c r="ED49" s="742">
        <v>0.44322334019533099</v>
      </c>
      <c r="EE49" s="742">
        <v>1</v>
      </c>
      <c r="EF49" s="742">
        <v>1</v>
      </c>
      <c r="EG49" s="742">
        <v>1</v>
      </c>
      <c r="EH49" s="742">
        <v>0.99999999999993405</v>
      </c>
      <c r="EI49" s="742">
        <v>1</v>
      </c>
      <c r="EJ49" s="742">
        <v>1</v>
      </c>
      <c r="EK49" s="742">
        <v>1</v>
      </c>
      <c r="EL49" s="742">
        <v>0.44322294459230899</v>
      </c>
      <c r="EM49" s="742">
        <v>1</v>
      </c>
      <c r="EN49" s="742">
        <v>1</v>
      </c>
      <c r="EO49" s="742">
        <v>1</v>
      </c>
      <c r="EP49" s="742">
        <v>1</v>
      </c>
      <c r="EQ49" s="742">
        <v>1</v>
      </c>
      <c r="ER49" s="742">
        <v>1</v>
      </c>
      <c r="ES49" s="742">
        <v>0.44321697207387301</v>
      </c>
      <c r="ET49" s="742">
        <v>1</v>
      </c>
      <c r="EU49" s="742">
        <v>1</v>
      </c>
      <c r="EV49" s="742">
        <v>1</v>
      </c>
      <c r="EW49" s="742">
        <v>0.44321694559674901</v>
      </c>
      <c r="EX49" s="742">
        <v>1</v>
      </c>
      <c r="EY49" s="742">
        <v>1</v>
      </c>
      <c r="EZ49" s="742">
        <v>1</v>
      </c>
      <c r="FA49" s="742">
        <v>0.44321685141343498</v>
      </c>
      <c r="FB49" s="742">
        <v>1</v>
      </c>
      <c r="FC49" s="742">
        <v>1</v>
      </c>
      <c r="FD49" s="742">
        <v>1</v>
      </c>
      <c r="FE49" s="742">
        <v>0.99999999998499201</v>
      </c>
      <c r="FF49" s="742">
        <v>0.999999999999999</v>
      </c>
      <c r="FG49" s="742">
        <v>1</v>
      </c>
      <c r="FH49" s="742">
        <v>0.999999999999999</v>
      </c>
    </row>
    <row r="50" spans="1:164" ht="12.75" customHeight="1" x14ac:dyDescent="0.2">
      <c r="A50" s="489"/>
      <c r="B50" s="489"/>
      <c r="C50" s="489"/>
      <c r="D50" s="489"/>
      <c r="E50" s="489"/>
      <c r="F50" s="744"/>
      <c r="G50" s="745"/>
      <c r="H50" s="506"/>
      <c r="I50" s="750">
        <v>2512767.1987281698</v>
      </c>
      <c r="J50" s="742">
        <v>0.473329337952342</v>
      </c>
      <c r="K50" s="742">
        <v>1</v>
      </c>
      <c r="L50" s="742">
        <v>1</v>
      </c>
      <c r="M50" s="742">
        <v>1</v>
      </c>
      <c r="N50" s="742">
        <v>1</v>
      </c>
      <c r="O50" s="742">
        <v>1</v>
      </c>
      <c r="P50" s="742">
        <v>1</v>
      </c>
      <c r="Q50" s="742">
        <v>1</v>
      </c>
      <c r="R50" s="742">
        <v>1</v>
      </c>
      <c r="S50" s="742">
        <v>1</v>
      </c>
      <c r="T50" s="742">
        <v>1</v>
      </c>
      <c r="U50" s="742">
        <v>1</v>
      </c>
      <c r="V50" s="742">
        <v>1</v>
      </c>
      <c r="W50" s="742">
        <v>1</v>
      </c>
      <c r="X50" s="742">
        <v>1</v>
      </c>
      <c r="Y50" s="742">
        <v>0.54856118097162498</v>
      </c>
      <c r="Z50" s="742">
        <v>1</v>
      </c>
      <c r="AA50" s="742">
        <v>1</v>
      </c>
      <c r="AB50" s="742">
        <v>1</v>
      </c>
      <c r="AC50" s="742">
        <v>1</v>
      </c>
      <c r="AD50" s="742">
        <v>1</v>
      </c>
      <c r="AE50" s="742">
        <v>1</v>
      </c>
      <c r="AF50" s="742">
        <v>1</v>
      </c>
      <c r="AG50" s="742">
        <v>1</v>
      </c>
      <c r="AH50" s="742">
        <v>1</v>
      </c>
      <c r="AI50" s="742">
        <v>1</v>
      </c>
      <c r="AJ50" s="742">
        <v>1</v>
      </c>
      <c r="AK50" s="742">
        <v>0.550149454703593</v>
      </c>
      <c r="AL50" s="742">
        <v>1</v>
      </c>
      <c r="AM50" s="742">
        <v>1</v>
      </c>
      <c r="AN50" s="742">
        <v>1</v>
      </c>
      <c r="AO50" s="742">
        <v>1</v>
      </c>
      <c r="AP50" s="742">
        <v>1</v>
      </c>
      <c r="AQ50" s="742">
        <v>1</v>
      </c>
      <c r="AR50" s="742">
        <v>1</v>
      </c>
      <c r="AS50" s="742">
        <v>1</v>
      </c>
      <c r="AT50" s="742">
        <v>1</v>
      </c>
      <c r="AU50" s="742">
        <v>1</v>
      </c>
      <c r="AV50" s="742">
        <v>1</v>
      </c>
      <c r="AW50" s="742">
        <v>1</v>
      </c>
      <c r="AX50" s="742">
        <v>1</v>
      </c>
      <c r="AY50" s="742">
        <v>1</v>
      </c>
      <c r="AZ50" s="742">
        <v>1</v>
      </c>
      <c r="BA50" s="742">
        <v>0.45477509237760899</v>
      </c>
      <c r="BB50" s="742">
        <v>1</v>
      </c>
      <c r="BC50" s="742">
        <v>1</v>
      </c>
      <c r="BD50" s="742">
        <v>1</v>
      </c>
      <c r="BE50" s="742">
        <v>1</v>
      </c>
      <c r="BF50" s="742">
        <v>1</v>
      </c>
      <c r="BG50" s="742">
        <v>1</v>
      </c>
      <c r="BH50" s="742">
        <v>0.999999999999998</v>
      </c>
      <c r="BI50" s="742">
        <v>1</v>
      </c>
      <c r="BJ50" s="742">
        <v>1</v>
      </c>
      <c r="BK50" s="742">
        <v>1</v>
      </c>
      <c r="BL50" s="742">
        <v>0.999999999999995</v>
      </c>
      <c r="BM50" s="742">
        <v>1</v>
      </c>
      <c r="BN50" s="742">
        <v>1</v>
      </c>
      <c r="BO50" s="742">
        <v>1</v>
      </c>
      <c r="BP50" s="742">
        <v>0.45442978108703203</v>
      </c>
      <c r="BQ50" s="742">
        <v>1</v>
      </c>
      <c r="BR50" s="742">
        <v>1</v>
      </c>
      <c r="BS50" s="742">
        <v>1</v>
      </c>
      <c r="BT50" s="742">
        <v>0.999999999999999</v>
      </c>
      <c r="BU50" s="742">
        <v>1</v>
      </c>
      <c r="BV50" s="742">
        <v>1</v>
      </c>
      <c r="BW50" s="742">
        <v>1</v>
      </c>
      <c r="BX50" s="742">
        <v>0.999999999999995</v>
      </c>
      <c r="BY50" s="742">
        <v>1</v>
      </c>
      <c r="BZ50" s="742">
        <v>1</v>
      </c>
      <c r="CA50" s="742">
        <v>1</v>
      </c>
      <c r="CB50" s="742">
        <v>0.45442985397019298</v>
      </c>
      <c r="CC50" s="742">
        <v>1</v>
      </c>
      <c r="CD50" s="742">
        <v>1</v>
      </c>
      <c r="CE50" s="742">
        <v>1</v>
      </c>
      <c r="CF50" s="742">
        <v>0.999999999999995</v>
      </c>
      <c r="CG50" s="742">
        <v>1</v>
      </c>
      <c r="CH50" s="742">
        <v>1</v>
      </c>
      <c r="CI50" s="742">
        <v>1</v>
      </c>
      <c r="CJ50" s="742">
        <v>0.999999999999995</v>
      </c>
      <c r="CK50" s="742">
        <v>1</v>
      </c>
      <c r="CL50" s="742">
        <v>1</v>
      </c>
      <c r="CM50" s="742">
        <v>1</v>
      </c>
      <c r="CN50" s="742">
        <v>0.999999999999995</v>
      </c>
      <c r="CO50" s="742">
        <v>1</v>
      </c>
      <c r="CP50" s="742">
        <v>1</v>
      </c>
      <c r="CQ50" s="742">
        <v>1</v>
      </c>
      <c r="CR50" s="742">
        <v>0.45435517720277901</v>
      </c>
      <c r="CS50" s="742">
        <v>1</v>
      </c>
      <c r="CT50" s="742">
        <v>1</v>
      </c>
      <c r="CU50" s="742">
        <v>1</v>
      </c>
      <c r="CV50" s="742">
        <v>1</v>
      </c>
      <c r="CW50" s="742">
        <v>1</v>
      </c>
      <c r="CX50" s="742">
        <v>1</v>
      </c>
      <c r="CY50" s="742">
        <v>0.45435536626580603</v>
      </c>
      <c r="CZ50" s="742">
        <v>1</v>
      </c>
      <c r="DA50" s="742">
        <v>1</v>
      </c>
      <c r="DB50" s="742">
        <v>1</v>
      </c>
      <c r="DC50" s="742">
        <v>0.45435469631116199</v>
      </c>
      <c r="DD50" s="742">
        <v>1</v>
      </c>
      <c r="DE50" s="742">
        <v>1</v>
      </c>
      <c r="DF50" s="742">
        <v>1</v>
      </c>
      <c r="DG50" s="742">
        <v>0.454354604118206</v>
      </c>
      <c r="DH50" s="742">
        <v>1</v>
      </c>
      <c r="DI50" s="742">
        <v>1</v>
      </c>
      <c r="DJ50" s="742">
        <v>1</v>
      </c>
      <c r="DK50" s="742">
        <v>0.99999999999977396</v>
      </c>
      <c r="DL50" s="742">
        <v>1</v>
      </c>
      <c r="DM50" s="742">
        <v>1</v>
      </c>
      <c r="DN50" s="742">
        <v>1</v>
      </c>
      <c r="DO50" s="742">
        <v>0.45435517674509301</v>
      </c>
      <c r="DP50" s="742">
        <v>1</v>
      </c>
      <c r="DQ50" s="742">
        <v>1</v>
      </c>
      <c r="DR50" s="742">
        <v>1</v>
      </c>
      <c r="DS50" s="742">
        <v>1</v>
      </c>
      <c r="DT50" s="742">
        <v>1</v>
      </c>
      <c r="DU50" s="742">
        <v>1</v>
      </c>
      <c r="DV50" s="742">
        <v>0.454353847655183</v>
      </c>
      <c r="DW50" s="742">
        <v>1</v>
      </c>
      <c r="DX50" s="742">
        <v>1</v>
      </c>
      <c r="DY50" s="742">
        <v>1</v>
      </c>
      <c r="DZ50" s="742">
        <v>0.45435347190782899</v>
      </c>
      <c r="EA50" s="742">
        <v>1</v>
      </c>
      <c r="EB50" s="742">
        <v>1</v>
      </c>
      <c r="EC50" s="742">
        <v>1</v>
      </c>
      <c r="ED50" s="742">
        <v>0.454353379628747</v>
      </c>
      <c r="EE50" s="742">
        <v>1</v>
      </c>
      <c r="EF50" s="742">
        <v>1</v>
      </c>
      <c r="EG50" s="742">
        <v>1</v>
      </c>
      <c r="EH50" s="742">
        <v>0.99999999999993505</v>
      </c>
      <c r="EI50" s="742">
        <v>1</v>
      </c>
      <c r="EJ50" s="742">
        <v>1</v>
      </c>
      <c r="EK50" s="742">
        <v>1</v>
      </c>
      <c r="EL50" s="742">
        <v>0.45435299193388201</v>
      </c>
      <c r="EM50" s="742">
        <v>1</v>
      </c>
      <c r="EN50" s="742">
        <v>1</v>
      </c>
      <c r="EO50" s="742">
        <v>1</v>
      </c>
      <c r="EP50" s="742">
        <v>1</v>
      </c>
      <c r="EQ50" s="742">
        <v>1</v>
      </c>
      <c r="ER50" s="742">
        <v>1</v>
      </c>
      <c r="ES50" s="742">
        <v>0.45434713880688299</v>
      </c>
      <c r="ET50" s="742">
        <v>1</v>
      </c>
      <c r="EU50" s="742">
        <v>1</v>
      </c>
      <c r="EV50" s="742">
        <v>1</v>
      </c>
      <c r="EW50" s="742">
        <v>0.45434711285904</v>
      </c>
      <c r="EX50" s="742">
        <v>1</v>
      </c>
      <c r="EY50" s="742">
        <v>1</v>
      </c>
      <c r="EZ50" s="742">
        <v>1</v>
      </c>
      <c r="FA50" s="742">
        <v>0.45434702055846299</v>
      </c>
      <c r="FB50" s="742">
        <v>1</v>
      </c>
      <c r="FC50" s="742">
        <v>1</v>
      </c>
      <c r="FD50" s="742">
        <v>1</v>
      </c>
      <c r="FE50" s="742">
        <v>0.99999999998529199</v>
      </c>
      <c r="FF50" s="742">
        <v>1</v>
      </c>
      <c r="FG50" s="742">
        <v>1</v>
      </c>
      <c r="FH50" s="742">
        <v>1</v>
      </c>
    </row>
    <row r="51" spans="1:164" ht="12.75" customHeight="1" x14ac:dyDescent="0.2">
      <c r="A51" s="489"/>
      <c r="B51" s="489"/>
      <c r="C51" s="489"/>
      <c r="D51" s="489"/>
      <c r="E51" s="489"/>
      <c r="F51" s="744"/>
      <c r="G51" s="745"/>
      <c r="H51" s="506"/>
      <c r="I51" s="750">
        <v>2596526.1053524399</v>
      </c>
      <c r="J51" s="742">
        <v>0.48385755449060802</v>
      </c>
      <c r="K51" s="742">
        <v>1</v>
      </c>
      <c r="L51" s="742">
        <v>1</v>
      </c>
      <c r="M51" s="742">
        <v>1</v>
      </c>
      <c r="N51" s="742">
        <v>1</v>
      </c>
      <c r="O51" s="742">
        <v>1</v>
      </c>
      <c r="P51" s="742">
        <v>1</v>
      </c>
      <c r="Q51" s="742">
        <v>1</v>
      </c>
      <c r="R51" s="742">
        <v>1</v>
      </c>
      <c r="S51" s="742">
        <v>1</v>
      </c>
      <c r="T51" s="742">
        <v>1</v>
      </c>
      <c r="U51" s="742">
        <v>1</v>
      </c>
      <c r="V51" s="742">
        <v>1</v>
      </c>
      <c r="W51" s="742">
        <v>1</v>
      </c>
      <c r="X51" s="742">
        <v>1</v>
      </c>
      <c r="Y51" s="742">
        <v>0.55758550296828102</v>
      </c>
      <c r="Z51" s="742">
        <v>1</v>
      </c>
      <c r="AA51" s="742">
        <v>1</v>
      </c>
      <c r="AB51" s="742">
        <v>1</v>
      </c>
      <c r="AC51" s="742">
        <v>1</v>
      </c>
      <c r="AD51" s="742">
        <v>1</v>
      </c>
      <c r="AE51" s="742">
        <v>1</v>
      </c>
      <c r="AF51" s="742">
        <v>1</v>
      </c>
      <c r="AG51" s="742">
        <v>1</v>
      </c>
      <c r="AH51" s="742">
        <v>1</v>
      </c>
      <c r="AI51" s="742">
        <v>1</v>
      </c>
      <c r="AJ51" s="742">
        <v>1</v>
      </c>
      <c r="AK51" s="742">
        <v>0.55914202689723702</v>
      </c>
      <c r="AL51" s="742">
        <v>1</v>
      </c>
      <c r="AM51" s="742">
        <v>1</v>
      </c>
      <c r="AN51" s="742">
        <v>1</v>
      </c>
      <c r="AO51" s="742">
        <v>1</v>
      </c>
      <c r="AP51" s="742">
        <v>1</v>
      </c>
      <c r="AQ51" s="742">
        <v>1</v>
      </c>
      <c r="AR51" s="742">
        <v>1</v>
      </c>
      <c r="AS51" s="742">
        <v>1</v>
      </c>
      <c r="AT51" s="742">
        <v>1</v>
      </c>
      <c r="AU51" s="742">
        <v>1</v>
      </c>
      <c r="AV51" s="742">
        <v>1</v>
      </c>
      <c r="AW51" s="742">
        <v>1</v>
      </c>
      <c r="AX51" s="742">
        <v>1</v>
      </c>
      <c r="AY51" s="742">
        <v>1</v>
      </c>
      <c r="AZ51" s="742">
        <v>1</v>
      </c>
      <c r="BA51" s="742">
        <v>0.46567421075110499</v>
      </c>
      <c r="BB51" s="742">
        <v>1</v>
      </c>
      <c r="BC51" s="742">
        <v>1</v>
      </c>
      <c r="BD51" s="742">
        <v>1</v>
      </c>
      <c r="BE51" s="742">
        <v>1</v>
      </c>
      <c r="BF51" s="742">
        <v>1</v>
      </c>
      <c r="BG51" s="742">
        <v>1</v>
      </c>
      <c r="BH51" s="742">
        <v>0.999999999999998</v>
      </c>
      <c r="BI51" s="742">
        <v>1</v>
      </c>
      <c r="BJ51" s="742">
        <v>1</v>
      </c>
      <c r="BK51" s="742">
        <v>1</v>
      </c>
      <c r="BL51" s="742">
        <v>0.999999999999996</v>
      </c>
      <c r="BM51" s="742">
        <v>1</v>
      </c>
      <c r="BN51" s="742">
        <v>1</v>
      </c>
      <c r="BO51" s="742">
        <v>1</v>
      </c>
      <c r="BP51" s="742">
        <v>0.46533580227912402</v>
      </c>
      <c r="BQ51" s="742">
        <v>1</v>
      </c>
      <c r="BR51" s="742">
        <v>1</v>
      </c>
      <c r="BS51" s="742">
        <v>1</v>
      </c>
      <c r="BT51" s="742">
        <v>0.999999999999998</v>
      </c>
      <c r="BU51" s="742">
        <v>1</v>
      </c>
      <c r="BV51" s="742">
        <v>1</v>
      </c>
      <c r="BW51" s="742">
        <v>1</v>
      </c>
      <c r="BX51" s="742">
        <v>0.999999999999996</v>
      </c>
      <c r="BY51" s="742">
        <v>1</v>
      </c>
      <c r="BZ51" s="742">
        <v>1</v>
      </c>
      <c r="CA51" s="742">
        <v>1</v>
      </c>
      <c r="CB51" s="742">
        <v>0.46533587370534202</v>
      </c>
      <c r="CC51" s="742">
        <v>1</v>
      </c>
      <c r="CD51" s="742">
        <v>1</v>
      </c>
      <c r="CE51" s="742">
        <v>0.999999999999999</v>
      </c>
      <c r="CF51" s="742">
        <v>0.999999999999995</v>
      </c>
      <c r="CG51" s="742">
        <v>1</v>
      </c>
      <c r="CH51" s="742">
        <v>1</v>
      </c>
      <c r="CI51" s="742">
        <v>1</v>
      </c>
      <c r="CJ51" s="742">
        <v>0.999999999999995</v>
      </c>
      <c r="CK51" s="742">
        <v>1</v>
      </c>
      <c r="CL51" s="742">
        <v>1</v>
      </c>
      <c r="CM51" s="742">
        <v>1</v>
      </c>
      <c r="CN51" s="742">
        <v>0.999999999999994</v>
      </c>
      <c r="CO51" s="742">
        <v>1</v>
      </c>
      <c r="CP51" s="742">
        <v>1</v>
      </c>
      <c r="CQ51" s="742">
        <v>1</v>
      </c>
      <c r="CR51" s="742">
        <v>0.46526268973643398</v>
      </c>
      <c r="CS51" s="742">
        <v>1</v>
      </c>
      <c r="CT51" s="742">
        <v>1</v>
      </c>
      <c r="CU51" s="742">
        <v>1</v>
      </c>
      <c r="CV51" s="742">
        <v>1</v>
      </c>
      <c r="CW51" s="742">
        <v>1</v>
      </c>
      <c r="CX51" s="742">
        <v>1</v>
      </c>
      <c r="CY51" s="742">
        <v>0.46526287502006602</v>
      </c>
      <c r="CZ51" s="742">
        <v>1</v>
      </c>
      <c r="DA51" s="742">
        <v>1</v>
      </c>
      <c r="DB51" s="742">
        <v>1</v>
      </c>
      <c r="DC51" s="742">
        <v>0.465262218457905</v>
      </c>
      <c r="DD51" s="742">
        <v>1</v>
      </c>
      <c r="DE51" s="742">
        <v>1</v>
      </c>
      <c r="DF51" s="742">
        <v>1</v>
      </c>
      <c r="DG51" s="742">
        <v>0.46526212810789902</v>
      </c>
      <c r="DH51" s="742">
        <v>1</v>
      </c>
      <c r="DI51" s="742">
        <v>1</v>
      </c>
      <c r="DJ51" s="742">
        <v>1</v>
      </c>
      <c r="DK51" s="742">
        <v>0.99999999999977895</v>
      </c>
      <c r="DL51" s="742">
        <v>1</v>
      </c>
      <c r="DM51" s="742">
        <v>1</v>
      </c>
      <c r="DN51" s="742">
        <v>1</v>
      </c>
      <c r="DO51" s="742">
        <v>0.46526268928789699</v>
      </c>
      <c r="DP51" s="742">
        <v>1</v>
      </c>
      <c r="DQ51" s="742">
        <v>1</v>
      </c>
      <c r="DR51" s="742">
        <v>1</v>
      </c>
      <c r="DS51" s="742">
        <v>1</v>
      </c>
      <c r="DT51" s="742">
        <v>1</v>
      </c>
      <c r="DU51" s="742">
        <v>1</v>
      </c>
      <c r="DV51" s="742">
        <v>0.465261386766672</v>
      </c>
      <c r="DW51" s="742">
        <v>1</v>
      </c>
      <c r="DX51" s="742">
        <v>1</v>
      </c>
      <c r="DY51" s="742">
        <v>1</v>
      </c>
      <c r="DZ51" s="742">
        <v>0.46526101853055801</v>
      </c>
      <c r="EA51" s="742">
        <v>1</v>
      </c>
      <c r="EB51" s="742">
        <v>1</v>
      </c>
      <c r="EC51" s="742">
        <v>1</v>
      </c>
      <c r="ED51" s="742">
        <v>0.465260928096147</v>
      </c>
      <c r="EE51" s="742">
        <v>1</v>
      </c>
      <c r="EF51" s="742">
        <v>1</v>
      </c>
      <c r="EG51" s="742">
        <v>1</v>
      </c>
      <c r="EH51" s="742">
        <v>0.99999999999993605</v>
      </c>
      <c r="EI51" s="742">
        <v>1</v>
      </c>
      <c r="EJ51" s="742">
        <v>1</v>
      </c>
      <c r="EK51" s="742">
        <v>1</v>
      </c>
      <c r="EL51" s="742">
        <v>0.46526054815135298</v>
      </c>
      <c r="EM51" s="742">
        <v>1</v>
      </c>
      <c r="EN51" s="742">
        <v>1</v>
      </c>
      <c r="EO51" s="742">
        <v>1</v>
      </c>
      <c r="EP51" s="742">
        <v>1</v>
      </c>
      <c r="EQ51" s="742">
        <v>1</v>
      </c>
      <c r="ER51" s="742">
        <v>1</v>
      </c>
      <c r="ES51" s="742">
        <v>0.46525481202913999</v>
      </c>
      <c r="ET51" s="742">
        <v>1</v>
      </c>
      <c r="EU51" s="742">
        <v>1</v>
      </c>
      <c r="EV51" s="742">
        <v>1</v>
      </c>
      <c r="EW51" s="742">
        <v>0.46525478659999903</v>
      </c>
      <c r="EX51" s="742">
        <v>1</v>
      </c>
      <c r="EY51" s="742">
        <v>1</v>
      </c>
      <c r="EZ51" s="742">
        <v>1</v>
      </c>
      <c r="FA51" s="742">
        <v>0.46525469614452197</v>
      </c>
      <c r="FB51" s="742">
        <v>1</v>
      </c>
      <c r="FC51" s="742">
        <v>1</v>
      </c>
      <c r="FD51" s="742">
        <v>1</v>
      </c>
      <c r="FE51" s="742">
        <v>0.99999999998558597</v>
      </c>
      <c r="FF51" s="742">
        <v>1</v>
      </c>
      <c r="FG51" s="742">
        <v>1</v>
      </c>
      <c r="FH51" s="742">
        <v>1</v>
      </c>
    </row>
    <row r="52" spans="1:164" ht="12.75" customHeight="1" x14ac:dyDescent="0.2">
      <c r="A52" s="489"/>
      <c r="B52" s="489"/>
      <c r="C52" s="489"/>
      <c r="D52" s="489"/>
      <c r="E52" s="489"/>
      <c r="F52" s="744"/>
      <c r="G52" s="745"/>
      <c r="H52" s="506"/>
      <c r="I52" s="750">
        <v>2680285.0119767101</v>
      </c>
      <c r="J52" s="742">
        <v>0.49417531058135999</v>
      </c>
      <c r="K52" s="742">
        <v>1</v>
      </c>
      <c r="L52" s="742">
        <v>1</v>
      </c>
      <c r="M52" s="742">
        <v>1</v>
      </c>
      <c r="N52" s="742">
        <v>1</v>
      </c>
      <c r="O52" s="742">
        <v>1</v>
      </c>
      <c r="P52" s="742">
        <v>1</v>
      </c>
      <c r="Q52" s="742">
        <v>1</v>
      </c>
      <c r="R52" s="742">
        <v>1</v>
      </c>
      <c r="S52" s="742">
        <v>1</v>
      </c>
      <c r="T52" s="742">
        <v>1</v>
      </c>
      <c r="U52" s="742">
        <v>1</v>
      </c>
      <c r="V52" s="742">
        <v>1</v>
      </c>
      <c r="W52" s="742">
        <v>1</v>
      </c>
      <c r="X52" s="742">
        <v>1</v>
      </c>
      <c r="Y52" s="742">
        <v>0.56642942756913495</v>
      </c>
      <c r="Z52" s="742">
        <v>1</v>
      </c>
      <c r="AA52" s="742">
        <v>1</v>
      </c>
      <c r="AB52" s="742">
        <v>1</v>
      </c>
      <c r="AC52" s="742">
        <v>1</v>
      </c>
      <c r="AD52" s="742">
        <v>1</v>
      </c>
      <c r="AE52" s="742">
        <v>1</v>
      </c>
      <c r="AF52" s="742">
        <v>1</v>
      </c>
      <c r="AG52" s="742">
        <v>1</v>
      </c>
      <c r="AH52" s="742">
        <v>1</v>
      </c>
      <c r="AI52" s="742">
        <v>1</v>
      </c>
      <c r="AJ52" s="742">
        <v>1</v>
      </c>
      <c r="AK52" s="742">
        <v>0.56795483637786004</v>
      </c>
      <c r="AL52" s="742">
        <v>1</v>
      </c>
      <c r="AM52" s="742">
        <v>1</v>
      </c>
      <c r="AN52" s="742">
        <v>1</v>
      </c>
      <c r="AO52" s="742">
        <v>1</v>
      </c>
      <c r="AP52" s="742">
        <v>1</v>
      </c>
      <c r="AQ52" s="742">
        <v>1</v>
      </c>
      <c r="AR52" s="742">
        <v>1</v>
      </c>
      <c r="AS52" s="742">
        <v>1</v>
      </c>
      <c r="AT52" s="742">
        <v>1</v>
      </c>
      <c r="AU52" s="742">
        <v>1</v>
      </c>
      <c r="AV52" s="742">
        <v>1</v>
      </c>
      <c r="AW52" s="742">
        <v>1</v>
      </c>
      <c r="AX52" s="742">
        <v>1</v>
      </c>
      <c r="AY52" s="742">
        <v>1</v>
      </c>
      <c r="AZ52" s="742">
        <v>1</v>
      </c>
      <c r="BA52" s="742">
        <v>0.476355454300117</v>
      </c>
      <c r="BB52" s="742">
        <v>1</v>
      </c>
      <c r="BC52" s="742">
        <v>1</v>
      </c>
      <c r="BD52" s="742">
        <v>1</v>
      </c>
      <c r="BE52" s="742">
        <v>1</v>
      </c>
      <c r="BF52" s="742">
        <v>1</v>
      </c>
      <c r="BG52" s="742">
        <v>1</v>
      </c>
      <c r="BH52" s="742">
        <v>0.999999999999998</v>
      </c>
      <c r="BI52" s="742">
        <v>1</v>
      </c>
      <c r="BJ52" s="742">
        <v>1</v>
      </c>
      <c r="BK52" s="742">
        <v>1</v>
      </c>
      <c r="BL52" s="742">
        <v>0.999999999999996</v>
      </c>
      <c r="BM52" s="742">
        <v>1</v>
      </c>
      <c r="BN52" s="742">
        <v>1</v>
      </c>
      <c r="BO52" s="742">
        <v>1</v>
      </c>
      <c r="BP52" s="742">
        <v>0.47602381065847199</v>
      </c>
      <c r="BQ52" s="742">
        <v>1</v>
      </c>
      <c r="BR52" s="742">
        <v>1</v>
      </c>
      <c r="BS52" s="742">
        <v>1</v>
      </c>
      <c r="BT52" s="742">
        <v>0.999999999999998</v>
      </c>
      <c r="BU52" s="742">
        <v>1</v>
      </c>
      <c r="BV52" s="742">
        <v>1</v>
      </c>
      <c r="BW52" s="742">
        <v>1</v>
      </c>
      <c r="BX52" s="742">
        <v>0.999999999999996</v>
      </c>
      <c r="BY52" s="742">
        <v>1</v>
      </c>
      <c r="BZ52" s="742">
        <v>1</v>
      </c>
      <c r="CA52" s="742">
        <v>1</v>
      </c>
      <c r="CB52" s="742">
        <v>0.47602388065687001</v>
      </c>
      <c r="CC52" s="742">
        <v>1</v>
      </c>
      <c r="CD52" s="742">
        <v>1</v>
      </c>
      <c r="CE52" s="742">
        <v>1</v>
      </c>
      <c r="CF52" s="742">
        <v>0.999999999999995</v>
      </c>
      <c r="CG52" s="742">
        <v>1</v>
      </c>
      <c r="CH52" s="742">
        <v>1</v>
      </c>
      <c r="CI52" s="742">
        <v>1</v>
      </c>
      <c r="CJ52" s="742">
        <v>0.999999999999995</v>
      </c>
      <c r="CK52" s="742">
        <v>1</v>
      </c>
      <c r="CL52" s="742">
        <v>1</v>
      </c>
      <c r="CM52" s="742">
        <v>1</v>
      </c>
      <c r="CN52" s="742">
        <v>0.999999999999995</v>
      </c>
      <c r="CO52" s="742">
        <v>1</v>
      </c>
      <c r="CP52" s="742">
        <v>1</v>
      </c>
      <c r="CQ52" s="742">
        <v>1</v>
      </c>
      <c r="CR52" s="742">
        <v>0.47595215964522802</v>
      </c>
      <c r="CS52" s="742">
        <v>1</v>
      </c>
      <c r="CT52" s="742">
        <v>1</v>
      </c>
      <c r="CU52" s="742">
        <v>1</v>
      </c>
      <c r="CV52" s="742">
        <v>1</v>
      </c>
      <c r="CW52" s="742">
        <v>1</v>
      </c>
      <c r="CX52" s="742">
        <v>1</v>
      </c>
      <c r="CY52" s="742">
        <v>0.47595234122501601</v>
      </c>
      <c r="CZ52" s="742">
        <v>1</v>
      </c>
      <c r="DA52" s="742">
        <v>1</v>
      </c>
      <c r="DB52" s="742">
        <v>1</v>
      </c>
      <c r="DC52" s="742">
        <v>0.47595169778761998</v>
      </c>
      <c r="DD52" s="742">
        <v>1</v>
      </c>
      <c r="DE52" s="742">
        <v>1</v>
      </c>
      <c r="DF52" s="742">
        <v>1</v>
      </c>
      <c r="DG52" s="742">
        <v>0.47595160924372198</v>
      </c>
      <c r="DH52" s="742">
        <v>1</v>
      </c>
      <c r="DI52" s="742">
        <v>1</v>
      </c>
      <c r="DJ52" s="742">
        <v>1</v>
      </c>
      <c r="DK52" s="742">
        <v>0.99999999999978295</v>
      </c>
      <c r="DL52" s="742">
        <v>1</v>
      </c>
      <c r="DM52" s="742">
        <v>1</v>
      </c>
      <c r="DN52" s="742">
        <v>1</v>
      </c>
      <c r="DO52" s="742">
        <v>0.47595215920565698</v>
      </c>
      <c r="DP52" s="742">
        <v>1</v>
      </c>
      <c r="DQ52" s="742">
        <v>1</v>
      </c>
      <c r="DR52" s="742">
        <v>1</v>
      </c>
      <c r="DS52" s="742">
        <v>1</v>
      </c>
      <c r="DT52" s="742">
        <v>1</v>
      </c>
      <c r="DU52" s="742">
        <v>1</v>
      </c>
      <c r="DV52" s="742">
        <v>0.47595088272200398</v>
      </c>
      <c r="DW52" s="742">
        <v>1</v>
      </c>
      <c r="DX52" s="742">
        <v>1</v>
      </c>
      <c r="DY52" s="742">
        <v>1</v>
      </c>
      <c r="DZ52" s="742">
        <v>0.475950521846979</v>
      </c>
      <c r="EA52" s="742">
        <v>1</v>
      </c>
      <c r="EB52" s="742">
        <v>1</v>
      </c>
      <c r="EC52" s="742">
        <v>1</v>
      </c>
      <c r="ED52" s="742">
        <v>0.47595043322036401</v>
      </c>
      <c r="EE52" s="742">
        <v>1</v>
      </c>
      <c r="EF52" s="742">
        <v>1</v>
      </c>
      <c r="EG52" s="742">
        <v>1</v>
      </c>
      <c r="EH52" s="742">
        <v>0.99999999999993705</v>
      </c>
      <c r="EI52" s="742">
        <v>1</v>
      </c>
      <c r="EJ52" s="742">
        <v>1</v>
      </c>
      <c r="EK52" s="742">
        <v>1</v>
      </c>
      <c r="EL52" s="742">
        <v>0.47595006087071801</v>
      </c>
      <c r="EM52" s="742">
        <v>1</v>
      </c>
      <c r="EN52" s="742">
        <v>1</v>
      </c>
      <c r="EO52" s="742">
        <v>1</v>
      </c>
      <c r="EP52" s="742">
        <v>1</v>
      </c>
      <c r="EQ52" s="742">
        <v>1</v>
      </c>
      <c r="ER52" s="742">
        <v>1</v>
      </c>
      <c r="ES52" s="742">
        <v>0.47594443941435</v>
      </c>
      <c r="ET52" s="742">
        <v>1</v>
      </c>
      <c r="EU52" s="742">
        <v>1</v>
      </c>
      <c r="EV52" s="742">
        <v>1</v>
      </c>
      <c r="EW52" s="742">
        <v>0.47594441449354102</v>
      </c>
      <c r="EX52" s="742">
        <v>1</v>
      </c>
      <c r="EY52" s="742">
        <v>1</v>
      </c>
      <c r="EZ52" s="742">
        <v>1</v>
      </c>
      <c r="FA52" s="742">
        <v>0.47594432584628099</v>
      </c>
      <c r="FB52" s="742">
        <v>1</v>
      </c>
      <c r="FC52" s="742">
        <v>1</v>
      </c>
      <c r="FD52" s="742">
        <v>1</v>
      </c>
      <c r="FE52" s="742">
        <v>0.99999999998587497</v>
      </c>
      <c r="FF52" s="742">
        <v>1</v>
      </c>
      <c r="FG52" s="742">
        <v>1</v>
      </c>
      <c r="FH52" s="742">
        <v>1</v>
      </c>
    </row>
    <row r="53" spans="1:164" ht="12.75" customHeight="1" x14ac:dyDescent="0.2">
      <c r="A53" s="489"/>
      <c r="B53" s="489"/>
      <c r="C53" s="489"/>
      <c r="D53" s="489"/>
      <c r="E53" s="489"/>
      <c r="F53" s="744"/>
      <c r="G53" s="745"/>
      <c r="H53" s="506"/>
      <c r="I53" s="750">
        <v>2764043.9186009802</v>
      </c>
      <c r="J53" s="742">
        <v>0.50428681335540204</v>
      </c>
      <c r="K53" s="742">
        <v>1</v>
      </c>
      <c r="L53" s="742">
        <v>1</v>
      </c>
      <c r="M53" s="742">
        <v>1</v>
      </c>
      <c r="N53" s="742">
        <v>1</v>
      </c>
      <c r="O53" s="742">
        <v>1</v>
      </c>
      <c r="P53" s="742">
        <v>1</v>
      </c>
      <c r="Q53" s="742">
        <v>1</v>
      </c>
      <c r="R53" s="742">
        <v>1</v>
      </c>
      <c r="S53" s="742">
        <v>1</v>
      </c>
      <c r="T53" s="742">
        <v>1</v>
      </c>
      <c r="U53" s="742">
        <v>1</v>
      </c>
      <c r="V53" s="742">
        <v>1</v>
      </c>
      <c r="W53" s="742">
        <v>1</v>
      </c>
      <c r="X53" s="742">
        <v>1</v>
      </c>
      <c r="Y53" s="742">
        <v>0.57509656094081096</v>
      </c>
      <c r="Z53" s="742">
        <v>1</v>
      </c>
      <c r="AA53" s="742">
        <v>1</v>
      </c>
      <c r="AB53" s="742">
        <v>1</v>
      </c>
      <c r="AC53" s="742">
        <v>1</v>
      </c>
      <c r="AD53" s="742">
        <v>1</v>
      </c>
      <c r="AE53" s="742">
        <v>1</v>
      </c>
      <c r="AF53" s="742">
        <v>1</v>
      </c>
      <c r="AG53" s="742">
        <v>1</v>
      </c>
      <c r="AH53" s="742">
        <v>1</v>
      </c>
      <c r="AI53" s="742">
        <v>1</v>
      </c>
      <c r="AJ53" s="742">
        <v>1</v>
      </c>
      <c r="AK53" s="742">
        <v>0.57659147662469701</v>
      </c>
      <c r="AL53" s="742">
        <v>1</v>
      </c>
      <c r="AM53" s="742">
        <v>1</v>
      </c>
      <c r="AN53" s="742">
        <v>1</v>
      </c>
      <c r="AO53" s="742">
        <v>1</v>
      </c>
      <c r="AP53" s="742">
        <v>1</v>
      </c>
      <c r="AQ53" s="742">
        <v>1</v>
      </c>
      <c r="AR53" s="742">
        <v>1</v>
      </c>
      <c r="AS53" s="742">
        <v>1</v>
      </c>
      <c r="AT53" s="742">
        <v>1</v>
      </c>
      <c r="AU53" s="742">
        <v>1</v>
      </c>
      <c r="AV53" s="742">
        <v>1</v>
      </c>
      <c r="AW53" s="742">
        <v>1</v>
      </c>
      <c r="AX53" s="742">
        <v>1</v>
      </c>
      <c r="AY53" s="742">
        <v>1</v>
      </c>
      <c r="AZ53" s="742">
        <v>1</v>
      </c>
      <c r="BA53" s="742">
        <v>0.48682317836977801</v>
      </c>
      <c r="BB53" s="742">
        <v>1</v>
      </c>
      <c r="BC53" s="742">
        <v>1</v>
      </c>
      <c r="BD53" s="742">
        <v>1</v>
      </c>
      <c r="BE53" s="742">
        <v>1</v>
      </c>
      <c r="BF53" s="742">
        <v>1</v>
      </c>
      <c r="BG53" s="742">
        <v>1</v>
      </c>
      <c r="BH53" s="742">
        <v>0.999999999999998</v>
      </c>
      <c r="BI53" s="742">
        <v>1</v>
      </c>
      <c r="BJ53" s="742">
        <v>1</v>
      </c>
      <c r="BK53" s="742">
        <v>1</v>
      </c>
      <c r="BL53" s="742">
        <v>0.999999999999996</v>
      </c>
      <c r="BM53" s="742">
        <v>1</v>
      </c>
      <c r="BN53" s="742">
        <v>1</v>
      </c>
      <c r="BO53" s="742">
        <v>1</v>
      </c>
      <c r="BP53" s="742">
        <v>0.48649816432861098</v>
      </c>
      <c r="BQ53" s="742">
        <v>1</v>
      </c>
      <c r="BR53" s="742">
        <v>1</v>
      </c>
      <c r="BS53" s="742">
        <v>1</v>
      </c>
      <c r="BT53" s="742">
        <v>0.999999999999998</v>
      </c>
      <c r="BU53" s="742">
        <v>1</v>
      </c>
      <c r="BV53" s="742">
        <v>1</v>
      </c>
      <c r="BW53" s="742">
        <v>1</v>
      </c>
      <c r="BX53" s="742">
        <v>0.999999999999996</v>
      </c>
      <c r="BY53" s="742">
        <v>1</v>
      </c>
      <c r="BZ53" s="742">
        <v>1</v>
      </c>
      <c r="CA53" s="742">
        <v>1</v>
      </c>
      <c r="CB53" s="742">
        <v>0.48649823292773098</v>
      </c>
      <c r="CC53" s="742">
        <v>1</v>
      </c>
      <c r="CD53" s="742">
        <v>1</v>
      </c>
      <c r="CE53" s="742">
        <v>1</v>
      </c>
      <c r="CF53" s="742">
        <v>0.999999999999994</v>
      </c>
      <c r="CG53" s="742">
        <v>1</v>
      </c>
      <c r="CH53" s="742">
        <v>1</v>
      </c>
      <c r="CI53" s="742">
        <v>1</v>
      </c>
      <c r="CJ53" s="742">
        <v>0.999999999999995</v>
      </c>
      <c r="CK53" s="742">
        <v>1</v>
      </c>
      <c r="CL53" s="742">
        <v>1</v>
      </c>
      <c r="CM53" s="742">
        <v>1</v>
      </c>
      <c r="CN53" s="742">
        <v>0.999999999999995</v>
      </c>
      <c r="CO53" s="742">
        <v>1</v>
      </c>
      <c r="CP53" s="742">
        <v>1</v>
      </c>
      <c r="CQ53" s="742">
        <v>1</v>
      </c>
      <c r="CR53" s="742">
        <v>0.486427945628645</v>
      </c>
      <c r="CS53" s="742">
        <v>1</v>
      </c>
      <c r="CT53" s="742">
        <v>1</v>
      </c>
      <c r="CU53" s="742">
        <v>1</v>
      </c>
      <c r="CV53" s="742">
        <v>1</v>
      </c>
      <c r="CW53" s="742">
        <v>1</v>
      </c>
      <c r="CX53" s="742">
        <v>1</v>
      </c>
      <c r="CY53" s="742">
        <v>0.48642812357862902</v>
      </c>
      <c r="CZ53" s="742">
        <v>1</v>
      </c>
      <c r="DA53" s="742">
        <v>1</v>
      </c>
      <c r="DB53" s="742">
        <v>1</v>
      </c>
      <c r="DC53" s="742">
        <v>0.48642749300363203</v>
      </c>
      <c r="DD53" s="742">
        <v>1</v>
      </c>
      <c r="DE53" s="742">
        <v>1</v>
      </c>
      <c r="DF53" s="742">
        <v>1</v>
      </c>
      <c r="DG53" s="742">
        <v>0.48642740622973801</v>
      </c>
      <c r="DH53" s="742">
        <v>1</v>
      </c>
      <c r="DI53" s="742">
        <v>1</v>
      </c>
      <c r="DJ53" s="742">
        <v>1</v>
      </c>
      <c r="DK53" s="742">
        <v>0.99999999999978695</v>
      </c>
      <c r="DL53" s="742">
        <v>1</v>
      </c>
      <c r="DM53" s="742">
        <v>1</v>
      </c>
      <c r="DN53" s="742">
        <v>1</v>
      </c>
      <c r="DO53" s="742">
        <v>0.48642794519786098</v>
      </c>
      <c r="DP53" s="742">
        <v>1</v>
      </c>
      <c r="DQ53" s="742">
        <v>1</v>
      </c>
      <c r="DR53" s="742">
        <v>1</v>
      </c>
      <c r="DS53" s="742">
        <v>1</v>
      </c>
      <c r="DT53" s="742">
        <v>1</v>
      </c>
      <c r="DU53" s="742">
        <v>1</v>
      </c>
      <c r="DV53" s="742">
        <v>0.48642669423128598</v>
      </c>
      <c r="DW53" s="742">
        <v>1</v>
      </c>
      <c r="DX53" s="742">
        <v>1</v>
      </c>
      <c r="DY53" s="742">
        <v>1</v>
      </c>
      <c r="DZ53" s="742">
        <v>0.48642634057020101</v>
      </c>
      <c r="EA53" s="742">
        <v>1</v>
      </c>
      <c r="EB53" s="742">
        <v>1</v>
      </c>
      <c r="EC53" s="742">
        <v>1</v>
      </c>
      <c r="ED53" s="742">
        <v>0.48642625371524301</v>
      </c>
      <c r="EE53" s="742">
        <v>1</v>
      </c>
      <c r="EF53" s="742">
        <v>1</v>
      </c>
      <c r="EG53" s="742">
        <v>1</v>
      </c>
      <c r="EH53" s="742">
        <v>0.99999999999993905</v>
      </c>
      <c r="EI53" s="742">
        <v>1</v>
      </c>
      <c r="EJ53" s="742">
        <v>1</v>
      </c>
      <c r="EK53" s="742">
        <v>1</v>
      </c>
      <c r="EL53" s="742">
        <v>0.48642588880891602</v>
      </c>
      <c r="EM53" s="742">
        <v>1</v>
      </c>
      <c r="EN53" s="742">
        <v>1</v>
      </c>
      <c r="EO53" s="742">
        <v>1</v>
      </c>
      <c r="EP53" s="742">
        <v>1</v>
      </c>
      <c r="EQ53" s="742">
        <v>1</v>
      </c>
      <c r="ER53" s="742">
        <v>1</v>
      </c>
      <c r="ES53" s="742">
        <v>0.486420379726209</v>
      </c>
      <c r="ET53" s="742">
        <v>1</v>
      </c>
      <c r="EU53" s="742">
        <v>1</v>
      </c>
      <c r="EV53" s="742">
        <v>1</v>
      </c>
      <c r="EW53" s="742">
        <v>0.48642035530356997</v>
      </c>
      <c r="EX53" s="742">
        <v>1</v>
      </c>
      <c r="EY53" s="742">
        <v>1</v>
      </c>
      <c r="EZ53" s="742">
        <v>1</v>
      </c>
      <c r="FA53" s="742">
        <v>0.48642026842838099</v>
      </c>
      <c r="FB53" s="742">
        <v>1</v>
      </c>
      <c r="FC53" s="742">
        <v>1</v>
      </c>
      <c r="FD53" s="742">
        <v>1</v>
      </c>
      <c r="FE53" s="742">
        <v>0.99999999998615696</v>
      </c>
      <c r="FF53" s="742">
        <v>1</v>
      </c>
      <c r="FG53" s="742">
        <v>1</v>
      </c>
      <c r="FH53" s="742">
        <v>1</v>
      </c>
    </row>
    <row r="54" spans="1:164" ht="12.75" customHeight="1" x14ac:dyDescent="0.2">
      <c r="A54" s="489"/>
      <c r="B54" s="489"/>
      <c r="C54" s="489"/>
      <c r="D54" s="489"/>
      <c r="E54" s="489"/>
      <c r="F54" s="744"/>
      <c r="G54" s="745"/>
      <c r="H54" s="506"/>
      <c r="I54" s="750">
        <v>2847802.8252252601</v>
      </c>
      <c r="J54" s="742">
        <v>0.51419618584503501</v>
      </c>
      <c r="K54" s="742">
        <v>1</v>
      </c>
      <c r="L54" s="742">
        <v>1</v>
      </c>
      <c r="M54" s="742">
        <v>1</v>
      </c>
      <c r="N54" s="742">
        <v>1</v>
      </c>
      <c r="O54" s="742">
        <v>1</v>
      </c>
      <c r="P54" s="742">
        <v>1</v>
      </c>
      <c r="Q54" s="742">
        <v>1</v>
      </c>
      <c r="R54" s="742">
        <v>1</v>
      </c>
      <c r="S54" s="742">
        <v>1</v>
      </c>
      <c r="T54" s="742">
        <v>1</v>
      </c>
      <c r="U54" s="742">
        <v>1</v>
      </c>
      <c r="V54" s="742">
        <v>1</v>
      </c>
      <c r="W54" s="742">
        <v>1</v>
      </c>
      <c r="X54" s="742">
        <v>1</v>
      </c>
      <c r="Y54" s="742">
        <v>0.58359043716440695</v>
      </c>
      <c r="Z54" s="742">
        <v>1</v>
      </c>
      <c r="AA54" s="742">
        <v>1</v>
      </c>
      <c r="AB54" s="742">
        <v>0.999999999999999</v>
      </c>
      <c r="AC54" s="742">
        <v>1</v>
      </c>
      <c r="AD54" s="742">
        <v>1</v>
      </c>
      <c r="AE54" s="742">
        <v>1</v>
      </c>
      <c r="AF54" s="742">
        <v>1</v>
      </c>
      <c r="AG54" s="742">
        <v>1</v>
      </c>
      <c r="AH54" s="742">
        <v>1</v>
      </c>
      <c r="AI54" s="742">
        <v>1</v>
      </c>
      <c r="AJ54" s="742">
        <v>1</v>
      </c>
      <c r="AK54" s="742">
        <v>0.58505546928507302</v>
      </c>
      <c r="AL54" s="742">
        <v>1</v>
      </c>
      <c r="AM54" s="742">
        <v>0.999999999999999</v>
      </c>
      <c r="AN54" s="742">
        <v>1</v>
      </c>
      <c r="AO54" s="742">
        <v>1</v>
      </c>
      <c r="AP54" s="742">
        <v>1</v>
      </c>
      <c r="AQ54" s="742">
        <v>1</v>
      </c>
      <c r="AR54" s="742">
        <v>1</v>
      </c>
      <c r="AS54" s="742">
        <v>1</v>
      </c>
      <c r="AT54" s="742">
        <v>1</v>
      </c>
      <c r="AU54" s="742">
        <v>1</v>
      </c>
      <c r="AV54" s="742">
        <v>1</v>
      </c>
      <c r="AW54" s="742">
        <v>1</v>
      </c>
      <c r="AX54" s="742">
        <v>1</v>
      </c>
      <c r="AY54" s="742">
        <v>1</v>
      </c>
      <c r="AZ54" s="742">
        <v>1</v>
      </c>
      <c r="BA54" s="742">
        <v>0.49708165124398401</v>
      </c>
      <c r="BB54" s="742">
        <v>1</v>
      </c>
      <c r="BC54" s="742">
        <v>1</v>
      </c>
      <c r="BD54" s="742">
        <v>1</v>
      </c>
      <c r="BE54" s="742">
        <v>1</v>
      </c>
      <c r="BF54" s="742">
        <v>1</v>
      </c>
      <c r="BG54" s="742">
        <v>1</v>
      </c>
      <c r="BH54" s="742">
        <v>0.999999999999998</v>
      </c>
      <c r="BI54" s="742">
        <v>1</v>
      </c>
      <c r="BJ54" s="742">
        <v>1</v>
      </c>
      <c r="BK54" s="742">
        <v>1</v>
      </c>
      <c r="BL54" s="742">
        <v>0.999999999999996</v>
      </c>
      <c r="BM54" s="742">
        <v>1</v>
      </c>
      <c r="BN54" s="742">
        <v>1</v>
      </c>
      <c r="BO54" s="742">
        <v>1</v>
      </c>
      <c r="BP54" s="742">
        <v>0.49676313427669899</v>
      </c>
      <c r="BQ54" s="742">
        <v>1</v>
      </c>
      <c r="BR54" s="742">
        <v>1</v>
      </c>
      <c r="BS54" s="742">
        <v>1</v>
      </c>
      <c r="BT54" s="742">
        <v>0.999999999999999</v>
      </c>
      <c r="BU54" s="742">
        <v>1</v>
      </c>
      <c r="BV54" s="742">
        <v>1</v>
      </c>
      <c r="BW54" s="742">
        <v>1</v>
      </c>
      <c r="BX54" s="742">
        <v>0.999999999999996</v>
      </c>
      <c r="BY54" s="742">
        <v>1</v>
      </c>
      <c r="BZ54" s="742">
        <v>1</v>
      </c>
      <c r="CA54" s="742">
        <v>1</v>
      </c>
      <c r="CB54" s="742">
        <v>0.49676320150451397</v>
      </c>
      <c r="CC54" s="742">
        <v>1</v>
      </c>
      <c r="CD54" s="742">
        <v>1</v>
      </c>
      <c r="CE54" s="742">
        <v>1</v>
      </c>
      <c r="CF54" s="742">
        <v>0.999999999999995</v>
      </c>
      <c r="CG54" s="742">
        <v>1</v>
      </c>
      <c r="CH54" s="742">
        <v>1</v>
      </c>
      <c r="CI54" s="742">
        <v>1</v>
      </c>
      <c r="CJ54" s="742">
        <v>0.999999999999996</v>
      </c>
      <c r="CK54" s="742">
        <v>1</v>
      </c>
      <c r="CL54" s="742">
        <v>1</v>
      </c>
      <c r="CM54" s="742">
        <v>1</v>
      </c>
      <c r="CN54" s="742">
        <v>0.999999999999995</v>
      </c>
      <c r="CO54" s="742">
        <v>1</v>
      </c>
      <c r="CP54" s="742">
        <v>1</v>
      </c>
      <c r="CQ54" s="742">
        <v>1</v>
      </c>
      <c r="CR54" s="742">
        <v>0.49669431925787999</v>
      </c>
      <c r="CS54" s="742">
        <v>1</v>
      </c>
      <c r="CT54" s="742">
        <v>1</v>
      </c>
      <c r="CU54" s="742">
        <v>1</v>
      </c>
      <c r="CV54" s="742">
        <v>1</v>
      </c>
      <c r="CW54" s="742">
        <v>1</v>
      </c>
      <c r="CX54" s="742">
        <v>1</v>
      </c>
      <c r="CY54" s="742">
        <v>0.49669449365061902</v>
      </c>
      <c r="CZ54" s="742">
        <v>1</v>
      </c>
      <c r="DA54" s="742">
        <v>1</v>
      </c>
      <c r="DB54" s="742">
        <v>1</v>
      </c>
      <c r="DC54" s="742">
        <v>0.49669387568090001</v>
      </c>
      <c r="DD54" s="742">
        <v>1</v>
      </c>
      <c r="DE54" s="742">
        <v>1</v>
      </c>
      <c r="DF54" s="742">
        <v>1</v>
      </c>
      <c r="DG54" s="742">
        <v>0.496693790641628</v>
      </c>
      <c r="DH54" s="742">
        <v>1</v>
      </c>
      <c r="DI54" s="742">
        <v>1</v>
      </c>
      <c r="DJ54" s="742">
        <v>1</v>
      </c>
      <c r="DK54" s="742">
        <v>0.99999999999979206</v>
      </c>
      <c r="DL54" s="742">
        <v>1</v>
      </c>
      <c r="DM54" s="742">
        <v>1</v>
      </c>
      <c r="DN54" s="742">
        <v>1</v>
      </c>
      <c r="DO54" s="742">
        <v>0.49669431883570703</v>
      </c>
      <c r="DP54" s="742">
        <v>1</v>
      </c>
      <c r="DQ54" s="742">
        <v>1</v>
      </c>
      <c r="DR54" s="742">
        <v>1</v>
      </c>
      <c r="DS54" s="742">
        <v>1</v>
      </c>
      <c r="DT54" s="742">
        <v>1</v>
      </c>
      <c r="DU54" s="742">
        <v>1</v>
      </c>
      <c r="DV54" s="742">
        <v>0.49669309287612001</v>
      </c>
      <c r="DW54" s="742">
        <v>1</v>
      </c>
      <c r="DX54" s="742">
        <v>1</v>
      </c>
      <c r="DY54" s="742">
        <v>1</v>
      </c>
      <c r="DZ54" s="742">
        <v>0.49669274628476701</v>
      </c>
      <c r="EA54" s="742">
        <v>1</v>
      </c>
      <c r="EB54" s="742">
        <v>1</v>
      </c>
      <c r="EC54" s="742">
        <v>1</v>
      </c>
      <c r="ED54" s="742">
        <v>0.49669266116605099</v>
      </c>
      <c r="EE54" s="742">
        <v>1</v>
      </c>
      <c r="EF54" s="742">
        <v>1</v>
      </c>
      <c r="EG54" s="742">
        <v>1</v>
      </c>
      <c r="EH54" s="742">
        <v>0.99999999999994005</v>
      </c>
      <c r="EI54" s="742">
        <v>1</v>
      </c>
      <c r="EJ54" s="742">
        <v>1</v>
      </c>
      <c r="EK54" s="742">
        <v>1</v>
      </c>
      <c r="EL54" s="742">
        <v>0.49669230355424998</v>
      </c>
      <c r="EM54" s="742">
        <v>1</v>
      </c>
      <c r="EN54" s="742">
        <v>1</v>
      </c>
      <c r="EO54" s="742">
        <v>1</v>
      </c>
      <c r="EP54" s="742">
        <v>1</v>
      </c>
      <c r="EQ54" s="742">
        <v>1</v>
      </c>
      <c r="ER54" s="742">
        <v>1</v>
      </c>
      <c r="ES54" s="742">
        <v>0.49668690459883902</v>
      </c>
      <c r="ET54" s="742">
        <v>1</v>
      </c>
      <c r="EU54" s="742">
        <v>1</v>
      </c>
      <c r="EV54" s="742">
        <v>1</v>
      </c>
      <c r="EW54" s="742">
        <v>0.49668688066441102</v>
      </c>
      <c r="EX54" s="742">
        <v>1</v>
      </c>
      <c r="EY54" s="742">
        <v>1</v>
      </c>
      <c r="EZ54" s="742">
        <v>1</v>
      </c>
      <c r="FA54" s="742">
        <v>0.49668679552586897</v>
      </c>
      <c r="FB54" s="742">
        <v>1</v>
      </c>
      <c r="FC54" s="742">
        <v>1</v>
      </c>
      <c r="FD54" s="742">
        <v>1</v>
      </c>
      <c r="FE54" s="742">
        <v>0.99999999998643296</v>
      </c>
      <c r="FF54" s="742">
        <v>1</v>
      </c>
      <c r="FG54" s="742">
        <v>1</v>
      </c>
      <c r="FH54" s="742">
        <v>0.999999999999999</v>
      </c>
    </row>
    <row r="55" spans="1:164" ht="12.75" customHeight="1" x14ac:dyDescent="0.2">
      <c r="A55" s="489"/>
      <c r="B55" s="489"/>
      <c r="C55" s="489"/>
      <c r="D55" s="489"/>
      <c r="E55" s="489"/>
      <c r="F55" s="744"/>
      <c r="G55" s="745"/>
      <c r="H55" s="506"/>
      <c r="I55" s="750">
        <v>2931561.7318495298</v>
      </c>
      <c r="J55" s="742">
        <v>0.52390746866205595</v>
      </c>
      <c r="K55" s="742">
        <v>1</v>
      </c>
      <c r="L55" s="742">
        <v>1</v>
      </c>
      <c r="M55" s="742">
        <v>1</v>
      </c>
      <c r="N55" s="742">
        <v>1</v>
      </c>
      <c r="O55" s="742">
        <v>1</v>
      </c>
      <c r="P55" s="742">
        <v>1</v>
      </c>
      <c r="Q55" s="742">
        <v>1</v>
      </c>
      <c r="R55" s="742">
        <v>1</v>
      </c>
      <c r="S55" s="742">
        <v>1</v>
      </c>
      <c r="T55" s="742">
        <v>1</v>
      </c>
      <c r="U55" s="742">
        <v>1</v>
      </c>
      <c r="V55" s="742">
        <v>1</v>
      </c>
      <c r="W55" s="742">
        <v>1</v>
      </c>
      <c r="X55" s="742">
        <v>1</v>
      </c>
      <c r="Y55" s="742">
        <v>0.59191451967381004</v>
      </c>
      <c r="Z55" s="742">
        <v>1</v>
      </c>
      <c r="AA55" s="742">
        <v>1</v>
      </c>
      <c r="AB55" s="742">
        <v>1</v>
      </c>
      <c r="AC55" s="742">
        <v>1</v>
      </c>
      <c r="AD55" s="742">
        <v>1</v>
      </c>
      <c r="AE55" s="742">
        <v>1</v>
      </c>
      <c r="AF55" s="742">
        <v>1</v>
      </c>
      <c r="AG55" s="742">
        <v>0.999999999999999</v>
      </c>
      <c r="AH55" s="742">
        <v>1</v>
      </c>
      <c r="AI55" s="742">
        <v>1</v>
      </c>
      <c r="AJ55" s="742">
        <v>1</v>
      </c>
      <c r="AK55" s="742">
        <v>0.59335026560765503</v>
      </c>
      <c r="AL55" s="742">
        <v>1</v>
      </c>
      <c r="AM55" s="742">
        <v>1</v>
      </c>
      <c r="AN55" s="742">
        <v>1</v>
      </c>
      <c r="AO55" s="742">
        <v>1</v>
      </c>
      <c r="AP55" s="742">
        <v>1</v>
      </c>
      <c r="AQ55" s="742">
        <v>1</v>
      </c>
      <c r="AR55" s="742">
        <v>1</v>
      </c>
      <c r="AS55" s="742">
        <v>1</v>
      </c>
      <c r="AT55" s="742">
        <v>1</v>
      </c>
      <c r="AU55" s="742">
        <v>1</v>
      </c>
      <c r="AV55" s="742">
        <v>1</v>
      </c>
      <c r="AW55" s="742">
        <v>1</v>
      </c>
      <c r="AX55" s="742">
        <v>1</v>
      </c>
      <c r="AY55" s="742">
        <v>1</v>
      </c>
      <c r="AZ55" s="742">
        <v>1</v>
      </c>
      <c r="BA55" s="742">
        <v>0.50713505588250996</v>
      </c>
      <c r="BB55" s="742">
        <v>1</v>
      </c>
      <c r="BC55" s="742">
        <v>1</v>
      </c>
      <c r="BD55" s="742">
        <v>1</v>
      </c>
      <c r="BE55" s="742">
        <v>1</v>
      </c>
      <c r="BF55" s="742">
        <v>1</v>
      </c>
      <c r="BG55" s="742">
        <v>1</v>
      </c>
      <c r="BH55" s="742">
        <v>0.999999999999998</v>
      </c>
      <c r="BI55" s="742">
        <v>1</v>
      </c>
      <c r="BJ55" s="742">
        <v>1</v>
      </c>
      <c r="BK55" s="742">
        <v>1</v>
      </c>
      <c r="BL55" s="742">
        <v>0.999999999999996</v>
      </c>
      <c r="BM55" s="742">
        <v>1</v>
      </c>
      <c r="BN55" s="742">
        <v>1</v>
      </c>
      <c r="BO55" s="742">
        <v>1</v>
      </c>
      <c r="BP55" s="742">
        <v>0.50682290611173797</v>
      </c>
      <c r="BQ55" s="742">
        <v>0.999999999999999</v>
      </c>
      <c r="BR55" s="742">
        <v>1</v>
      </c>
      <c r="BS55" s="742">
        <v>1</v>
      </c>
      <c r="BT55" s="742">
        <v>0.999999999999998</v>
      </c>
      <c r="BU55" s="742">
        <v>1</v>
      </c>
      <c r="BV55" s="742">
        <v>1</v>
      </c>
      <c r="BW55" s="742">
        <v>1</v>
      </c>
      <c r="BX55" s="742">
        <v>0.999999999999996</v>
      </c>
      <c r="BY55" s="742">
        <v>1</v>
      </c>
      <c r="BZ55" s="742">
        <v>1</v>
      </c>
      <c r="CA55" s="742">
        <v>1</v>
      </c>
      <c r="CB55" s="742">
        <v>0.50682297199565995</v>
      </c>
      <c r="CC55" s="742">
        <v>1</v>
      </c>
      <c r="CD55" s="742">
        <v>1</v>
      </c>
      <c r="CE55" s="742">
        <v>0.999999999999999</v>
      </c>
      <c r="CF55" s="742">
        <v>0.999999999999995</v>
      </c>
      <c r="CG55" s="742">
        <v>1</v>
      </c>
      <c r="CH55" s="742">
        <v>1</v>
      </c>
      <c r="CI55" s="742">
        <v>1</v>
      </c>
      <c r="CJ55" s="742">
        <v>0.999999999999995</v>
      </c>
      <c r="CK55" s="742">
        <v>1</v>
      </c>
      <c r="CL55" s="742">
        <v>1</v>
      </c>
      <c r="CM55" s="742">
        <v>1</v>
      </c>
      <c r="CN55" s="742">
        <v>0.999999999999995</v>
      </c>
      <c r="CO55" s="742">
        <v>1</v>
      </c>
      <c r="CP55" s="742">
        <v>1</v>
      </c>
      <c r="CQ55" s="742">
        <v>1</v>
      </c>
      <c r="CR55" s="742">
        <v>0.50675546671429095</v>
      </c>
      <c r="CS55" s="742">
        <v>1</v>
      </c>
      <c r="CT55" s="742">
        <v>1</v>
      </c>
      <c r="CU55" s="742">
        <v>1</v>
      </c>
      <c r="CV55" s="742">
        <v>1</v>
      </c>
      <c r="CW55" s="742">
        <v>1</v>
      </c>
      <c r="CX55" s="742">
        <v>1</v>
      </c>
      <c r="CY55" s="742">
        <v>0.50675563762089704</v>
      </c>
      <c r="CZ55" s="742">
        <v>1</v>
      </c>
      <c r="DA55" s="742">
        <v>1</v>
      </c>
      <c r="DB55" s="742">
        <v>1</v>
      </c>
      <c r="DC55" s="742">
        <v>0.50675503200447503</v>
      </c>
      <c r="DD55" s="742">
        <v>1</v>
      </c>
      <c r="DE55" s="742">
        <v>0.999999999999999</v>
      </c>
      <c r="DF55" s="742">
        <v>1</v>
      </c>
      <c r="DG55" s="742">
        <v>0.50675494866514903</v>
      </c>
      <c r="DH55" s="742">
        <v>1</v>
      </c>
      <c r="DI55" s="742">
        <v>1</v>
      </c>
      <c r="DJ55" s="742">
        <v>1</v>
      </c>
      <c r="DK55" s="742">
        <v>0.99999999999979505</v>
      </c>
      <c r="DL55" s="742">
        <v>1</v>
      </c>
      <c r="DM55" s="742">
        <v>1</v>
      </c>
      <c r="DN55" s="742">
        <v>1</v>
      </c>
      <c r="DO55" s="742">
        <v>0.50675546630055801</v>
      </c>
      <c r="DP55" s="742">
        <v>1</v>
      </c>
      <c r="DQ55" s="742">
        <v>1</v>
      </c>
      <c r="DR55" s="742">
        <v>1</v>
      </c>
      <c r="DS55" s="742">
        <v>1</v>
      </c>
      <c r="DT55" s="742">
        <v>1</v>
      </c>
      <c r="DU55" s="742">
        <v>1</v>
      </c>
      <c r="DV55" s="742">
        <v>0.50675426484806696</v>
      </c>
      <c r="DW55" s="742">
        <v>1</v>
      </c>
      <c r="DX55" s="742">
        <v>1</v>
      </c>
      <c r="DY55" s="742">
        <v>1</v>
      </c>
      <c r="DZ55" s="742">
        <v>0.50675392518512097</v>
      </c>
      <c r="EA55" s="742">
        <v>1</v>
      </c>
      <c r="EB55" s="742">
        <v>1</v>
      </c>
      <c r="EC55" s="742">
        <v>1</v>
      </c>
      <c r="ED55" s="742">
        <v>0.50675384176794003</v>
      </c>
      <c r="EE55" s="742">
        <v>1</v>
      </c>
      <c r="EF55" s="742">
        <v>1</v>
      </c>
      <c r="EG55" s="742">
        <v>1</v>
      </c>
      <c r="EH55" s="742">
        <v>0.99999999999994105</v>
      </c>
      <c r="EI55" s="742">
        <v>1</v>
      </c>
      <c r="EJ55" s="742">
        <v>1</v>
      </c>
      <c r="EK55" s="742">
        <v>1</v>
      </c>
      <c r="EL55" s="742">
        <v>0.50675349130484504</v>
      </c>
      <c r="EM55" s="742">
        <v>1</v>
      </c>
      <c r="EN55" s="742">
        <v>1</v>
      </c>
      <c r="EO55" s="742">
        <v>1</v>
      </c>
      <c r="EP55" s="742">
        <v>0.999999999999999</v>
      </c>
      <c r="EQ55" s="742">
        <v>1</v>
      </c>
      <c r="ER55" s="742">
        <v>0.999999999999999</v>
      </c>
      <c r="ES55" s="742">
        <v>0.50674820027527001</v>
      </c>
      <c r="ET55" s="742">
        <v>1</v>
      </c>
      <c r="EU55" s="742">
        <v>1</v>
      </c>
      <c r="EV55" s="742">
        <v>1</v>
      </c>
      <c r="EW55" s="742">
        <v>0.50674817681929396</v>
      </c>
      <c r="EX55" s="742">
        <v>1</v>
      </c>
      <c r="EY55" s="742">
        <v>1</v>
      </c>
      <c r="EZ55" s="742">
        <v>0.999999999999999</v>
      </c>
      <c r="FA55" s="742">
        <v>0.50674809338268301</v>
      </c>
      <c r="FB55" s="742">
        <v>1</v>
      </c>
      <c r="FC55" s="742">
        <v>1</v>
      </c>
      <c r="FD55" s="742">
        <v>0.999999999999999</v>
      </c>
      <c r="FE55" s="742">
        <v>0.99999999998670497</v>
      </c>
      <c r="FF55" s="742">
        <v>0.999999999999999</v>
      </c>
      <c r="FG55" s="742">
        <v>1</v>
      </c>
      <c r="FH55" s="742">
        <v>1</v>
      </c>
    </row>
    <row r="56" spans="1:164" ht="12.75" customHeight="1" x14ac:dyDescent="0.2">
      <c r="A56" s="489"/>
      <c r="B56" s="489"/>
      <c r="C56" s="489"/>
      <c r="D56" s="489"/>
      <c r="E56" s="489"/>
      <c r="F56" s="744"/>
      <c r="G56" s="745"/>
      <c r="H56" s="506"/>
      <c r="I56" s="750">
        <v>3015320.6384737999</v>
      </c>
      <c r="J56" s="742">
        <v>0.53342462164482896</v>
      </c>
      <c r="K56" s="742">
        <v>1</v>
      </c>
      <c r="L56" s="742">
        <v>1</v>
      </c>
      <c r="M56" s="742">
        <v>1</v>
      </c>
      <c r="N56" s="742">
        <v>1</v>
      </c>
      <c r="O56" s="742">
        <v>1</v>
      </c>
      <c r="P56" s="742">
        <v>1</v>
      </c>
      <c r="Q56" s="742">
        <v>1</v>
      </c>
      <c r="R56" s="742">
        <v>1</v>
      </c>
      <c r="S56" s="742">
        <v>1</v>
      </c>
      <c r="T56" s="742">
        <v>1</v>
      </c>
      <c r="U56" s="742">
        <v>1</v>
      </c>
      <c r="V56" s="742">
        <v>1</v>
      </c>
      <c r="W56" s="742">
        <v>1</v>
      </c>
      <c r="X56" s="742">
        <v>1</v>
      </c>
      <c r="Y56" s="742">
        <v>0.60007220266748795</v>
      </c>
      <c r="Z56" s="742">
        <v>1</v>
      </c>
      <c r="AA56" s="742">
        <v>1</v>
      </c>
      <c r="AB56" s="742">
        <v>1</v>
      </c>
      <c r="AC56" s="742">
        <v>1</v>
      </c>
      <c r="AD56" s="742">
        <v>1</v>
      </c>
      <c r="AE56" s="742">
        <v>1</v>
      </c>
      <c r="AF56" s="742">
        <v>1</v>
      </c>
      <c r="AG56" s="742">
        <v>1</v>
      </c>
      <c r="AH56" s="742">
        <v>1</v>
      </c>
      <c r="AI56" s="742">
        <v>1</v>
      </c>
      <c r="AJ56" s="742">
        <v>1</v>
      </c>
      <c r="AK56" s="742">
        <v>0.60147924784927898</v>
      </c>
      <c r="AL56" s="742">
        <v>1</v>
      </c>
      <c r="AM56" s="742">
        <v>0.999999999999999</v>
      </c>
      <c r="AN56" s="742">
        <v>1</v>
      </c>
      <c r="AO56" s="742">
        <v>1</v>
      </c>
      <c r="AP56" s="742">
        <v>1</v>
      </c>
      <c r="AQ56" s="742">
        <v>1</v>
      </c>
      <c r="AR56" s="742">
        <v>1</v>
      </c>
      <c r="AS56" s="742">
        <v>1</v>
      </c>
      <c r="AT56" s="742">
        <v>1</v>
      </c>
      <c r="AU56" s="742">
        <v>1</v>
      </c>
      <c r="AV56" s="742">
        <v>1</v>
      </c>
      <c r="AW56" s="742">
        <v>1</v>
      </c>
      <c r="AX56" s="742">
        <v>1</v>
      </c>
      <c r="AY56" s="742">
        <v>1</v>
      </c>
      <c r="AZ56" s="742">
        <v>1</v>
      </c>
      <c r="BA56" s="742">
        <v>0.51698749162610302</v>
      </c>
      <c r="BB56" s="742">
        <v>1</v>
      </c>
      <c r="BC56" s="742">
        <v>1</v>
      </c>
      <c r="BD56" s="742">
        <v>1</v>
      </c>
      <c r="BE56" s="742">
        <v>1</v>
      </c>
      <c r="BF56" s="742">
        <v>1</v>
      </c>
      <c r="BG56" s="742">
        <v>1</v>
      </c>
      <c r="BH56" s="742">
        <v>0.999999999999998</v>
      </c>
      <c r="BI56" s="742">
        <v>1</v>
      </c>
      <c r="BJ56" s="742">
        <v>1</v>
      </c>
      <c r="BK56" s="742">
        <v>1</v>
      </c>
      <c r="BL56" s="742">
        <v>0.999999999999996</v>
      </c>
      <c r="BM56" s="742">
        <v>1</v>
      </c>
      <c r="BN56" s="742">
        <v>1</v>
      </c>
      <c r="BO56" s="742">
        <v>1</v>
      </c>
      <c r="BP56" s="742">
        <v>0.51668158177073997</v>
      </c>
      <c r="BQ56" s="742">
        <v>1</v>
      </c>
      <c r="BR56" s="742">
        <v>1</v>
      </c>
      <c r="BS56" s="742">
        <v>1</v>
      </c>
      <c r="BT56" s="742">
        <v>0.999999999999999</v>
      </c>
      <c r="BU56" s="742">
        <v>1</v>
      </c>
      <c r="BV56" s="742">
        <v>1</v>
      </c>
      <c r="BW56" s="742">
        <v>1</v>
      </c>
      <c r="BX56" s="742">
        <v>0.999999999999996</v>
      </c>
      <c r="BY56" s="742">
        <v>1</v>
      </c>
      <c r="BZ56" s="742">
        <v>1</v>
      </c>
      <c r="CA56" s="742">
        <v>1</v>
      </c>
      <c r="CB56" s="742">
        <v>0.51668164633763403</v>
      </c>
      <c r="CC56" s="742">
        <v>1</v>
      </c>
      <c r="CD56" s="742">
        <v>1</v>
      </c>
      <c r="CE56" s="742">
        <v>1</v>
      </c>
      <c r="CF56" s="742">
        <v>0.999999999999995</v>
      </c>
      <c r="CG56" s="742">
        <v>1</v>
      </c>
      <c r="CH56" s="742">
        <v>1</v>
      </c>
      <c r="CI56" s="742">
        <v>1</v>
      </c>
      <c r="CJ56" s="742">
        <v>0.999999999999996</v>
      </c>
      <c r="CK56" s="742">
        <v>1</v>
      </c>
      <c r="CL56" s="742">
        <v>1</v>
      </c>
      <c r="CM56" s="742">
        <v>1</v>
      </c>
      <c r="CN56" s="742">
        <v>0.999999999999995</v>
      </c>
      <c r="CO56" s="742">
        <v>1</v>
      </c>
      <c r="CP56" s="742">
        <v>1</v>
      </c>
      <c r="CQ56" s="742">
        <v>1</v>
      </c>
      <c r="CR56" s="742">
        <v>0.51661549049581101</v>
      </c>
      <c r="CS56" s="742">
        <v>1</v>
      </c>
      <c r="CT56" s="742">
        <v>1</v>
      </c>
      <c r="CU56" s="742">
        <v>1</v>
      </c>
      <c r="CV56" s="742">
        <v>1</v>
      </c>
      <c r="CW56" s="742">
        <v>1</v>
      </c>
      <c r="CX56" s="742">
        <v>1</v>
      </c>
      <c r="CY56" s="742">
        <v>0.51661565798597198</v>
      </c>
      <c r="CZ56" s="742">
        <v>1</v>
      </c>
      <c r="DA56" s="742">
        <v>1</v>
      </c>
      <c r="DB56" s="742">
        <v>1</v>
      </c>
      <c r="DC56" s="742">
        <v>0.516615064475902</v>
      </c>
      <c r="DD56" s="742">
        <v>1</v>
      </c>
      <c r="DE56" s="742">
        <v>1</v>
      </c>
      <c r="DF56" s="742">
        <v>1</v>
      </c>
      <c r="DG56" s="742">
        <v>0.51661498280254103</v>
      </c>
      <c r="DH56" s="742">
        <v>1</v>
      </c>
      <c r="DI56" s="742">
        <v>1</v>
      </c>
      <c r="DJ56" s="742">
        <v>1</v>
      </c>
      <c r="DK56" s="742">
        <v>0.99999999999980005</v>
      </c>
      <c r="DL56" s="742">
        <v>1</v>
      </c>
      <c r="DM56" s="742">
        <v>1</v>
      </c>
      <c r="DN56" s="742">
        <v>1</v>
      </c>
      <c r="DO56" s="742">
        <v>0.51661549009034902</v>
      </c>
      <c r="DP56" s="742">
        <v>1</v>
      </c>
      <c r="DQ56" s="742">
        <v>1</v>
      </c>
      <c r="DR56" s="742">
        <v>1</v>
      </c>
      <c r="DS56" s="742">
        <v>1</v>
      </c>
      <c r="DT56" s="742">
        <v>1</v>
      </c>
      <c r="DU56" s="742">
        <v>1</v>
      </c>
      <c r="DV56" s="742">
        <v>0.51661431265505298</v>
      </c>
      <c r="DW56" s="742">
        <v>1</v>
      </c>
      <c r="DX56" s="742">
        <v>1</v>
      </c>
      <c r="DY56" s="742">
        <v>1</v>
      </c>
      <c r="DZ56" s="742">
        <v>0.51661397978201395</v>
      </c>
      <c r="EA56" s="742">
        <v>1</v>
      </c>
      <c r="EB56" s="742">
        <v>1</v>
      </c>
      <c r="EC56" s="742">
        <v>1</v>
      </c>
      <c r="ED56" s="742">
        <v>0.51661389803235302</v>
      </c>
      <c r="EE56" s="742">
        <v>1</v>
      </c>
      <c r="EF56" s="742">
        <v>1</v>
      </c>
      <c r="EG56" s="742">
        <v>1</v>
      </c>
      <c r="EH56" s="742">
        <v>0.99999999999994305</v>
      </c>
      <c r="EI56" s="742">
        <v>1</v>
      </c>
      <c r="EJ56" s="742">
        <v>1</v>
      </c>
      <c r="EK56" s="742">
        <v>1</v>
      </c>
      <c r="EL56" s="742">
        <v>0.51661355457506297</v>
      </c>
      <c r="EM56" s="742">
        <v>1</v>
      </c>
      <c r="EN56" s="742">
        <v>1</v>
      </c>
      <c r="EO56" s="742">
        <v>1</v>
      </c>
      <c r="EP56" s="742">
        <v>1</v>
      </c>
      <c r="EQ56" s="742">
        <v>1</v>
      </c>
      <c r="ER56" s="742">
        <v>1</v>
      </c>
      <c r="ES56" s="742">
        <v>0.516608369313872</v>
      </c>
      <c r="ET56" s="742">
        <v>1</v>
      </c>
      <c r="EU56" s="742">
        <v>1</v>
      </c>
      <c r="EV56" s="742">
        <v>1</v>
      </c>
      <c r="EW56" s="742">
        <v>0.51660834632678498</v>
      </c>
      <c r="EX56" s="742">
        <v>1</v>
      </c>
      <c r="EY56" s="742">
        <v>1</v>
      </c>
      <c r="EZ56" s="742">
        <v>1</v>
      </c>
      <c r="FA56" s="742">
        <v>0.51660826455808195</v>
      </c>
      <c r="FB56" s="742">
        <v>1</v>
      </c>
      <c r="FC56" s="742">
        <v>1</v>
      </c>
      <c r="FD56" s="742">
        <v>1</v>
      </c>
      <c r="FE56" s="742">
        <v>0.99999999998697098</v>
      </c>
      <c r="FF56" s="742">
        <v>1</v>
      </c>
      <c r="FG56" s="742">
        <v>1</v>
      </c>
      <c r="FH56" s="742">
        <v>1</v>
      </c>
    </row>
    <row r="57" spans="1:164" ht="12.75" customHeight="1" x14ac:dyDescent="0.2">
      <c r="A57" s="489"/>
      <c r="B57" s="489"/>
      <c r="C57" s="489"/>
      <c r="D57" s="489"/>
      <c r="E57" s="489"/>
      <c r="F57" s="744"/>
      <c r="G57" s="745"/>
      <c r="H57" s="506"/>
      <c r="I57" s="750">
        <v>3099079.5450980701</v>
      </c>
      <c r="J57" s="742">
        <v>0.54275152547438099</v>
      </c>
      <c r="K57" s="742">
        <v>1</v>
      </c>
      <c r="L57" s="742">
        <v>1</v>
      </c>
      <c r="M57" s="742">
        <v>1</v>
      </c>
      <c r="N57" s="742">
        <v>1</v>
      </c>
      <c r="O57" s="742">
        <v>1</v>
      </c>
      <c r="P57" s="742">
        <v>1</v>
      </c>
      <c r="Q57" s="742">
        <v>1</v>
      </c>
      <c r="R57" s="742">
        <v>1</v>
      </c>
      <c r="S57" s="742">
        <v>1</v>
      </c>
      <c r="T57" s="742">
        <v>1</v>
      </c>
      <c r="U57" s="742">
        <v>1</v>
      </c>
      <c r="V57" s="742">
        <v>1</v>
      </c>
      <c r="W57" s="742">
        <v>1</v>
      </c>
      <c r="X57" s="742">
        <v>1</v>
      </c>
      <c r="Y57" s="742">
        <v>0.60806681249373895</v>
      </c>
      <c r="Z57" s="742">
        <v>1</v>
      </c>
      <c r="AA57" s="742">
        <v>1</v>
      </c>
      <c r="AB57" s="742">
        <v>1</v>
      </c>
      <c r="AC57" s="742">
        <v>1</v>
      </c>
      <c r="AD57" s="742">
        <v>1</v>
      </c>
      <c r="AE57" s="742">
        <v>1</v>
      </c>
      <c r="AF57" s="742">
        <v>1</v>
      </c>
      <c r="AG57" s="742">
        <v>0.999999999999999</v>
      </c>
      <c r="AH57" s="742">
        <v>1</v>
      </c>
      <c r="AI57" s="742">
        <v>1</v>
      </c>
      <c r="AJ57" s="742">
        <v>1</v>
      </c>
      <c r="AK57" s="742">
        <v>0.60944573065532404</v>
      </c>
      <c r="AL57" s="742">
        <v>1</v>
      </c>
      <c r="AM57" s="742">
        <v>0.999999999999999</v>
      </c>
      <c r="AN57" s="742">
        <v>1</v>
      </c>
      <c r="AO57" s="742">
        <v>1</v>
      </c>
      <c r="AP57" s="742">
        <v>1</v>
      </c>
      <c r="AQ57" s="742">
        <v>1</v>
      </c>
      <c r="AR57" s="742">
        <v>1</v>
      </c>
      <c r="AS57" s="742">
        <v>1</v>
      </c>
      <c r="AT57" s="742">
        <v>1</v>
      </c>
      <c r="AU57" s="742">
        <v>1</v>
      </c>
      <c r="AV57" s="742">
        <v>1</v>
      </c>
      <c r="AW57" s="742">
        <v>1</v>
      </c>
      <c r="AX57" s="742">
        <v>1</v>
      </c>
      <c r="AY57" s="742">
        <v>1</v>
      </c>
      <c r="AZ57" s="742">
        <v>1</v>
      </c>
      <c r="BA57" s="742">
        <v>0.52664297586951903</v>
      </c>
      <c r="BB57" s="742">
        <v>1</v>
      </c>
      <c r="BC57" s="742">
        <v>1</v>
      </c>
      <c r="BD57" s="742">
        <v>1</v>
      </c>
      <c r="BE57" s="742">
        <v>1</v>
      </c>
      <c r="BF57" s="742">
        <v>1</v>
      </c>
      <c r="BG57" s="742">
        <v>1</v>
      </c>
      <c r="BH57" s="742">
        <v>0.999999999999998</v>
      </c>
      <c r="BI57" s="742">
        <v>1</v>
      </c>
      <c r="BJ57" s="742">
        <v>1</v>
      </c>
      <c r="BK57" s="742">
        <v>1</v>
      </c>
      <c r="BL57" s="742">
        <v>0.999999999999996</v>
      </c>
      <c r="BM57" s="742">
        <v>1</v>
      </c>
      <c r="BN57" s="742">
        <v>1</v>
      </c>
      <c r="BO57" s="742">
        <v>1</v>
      </c>
      <c r="BP57" s="742">
        <v>0.52634318119282497</v>
      </c>
      <c r="BQ57" s="742">
        <v>1</v>
      </c>
      <c r="BR57" s="742">
        <v>1</v>
      </c>
      <c r="BS57" s="742">
        <v>1</v>
      </c>
      <c r="BT57" s="742">
        <v>0.999999999999998</v>
      </c>
      <c r="BU57" s="742">
        <v>1</v>
      </c>
      <c r="BV57" s="742">
        <v>1</v>
      </c>
      <c r="BW57" s="742">
        <v>1</v>
      </c>
      <c r="BX57" s="742">
        <v>0.999999999999996</v>
      </c>
      <c r="BY57" s="742">
        <v>1</v>
      </c>
      <c r="BZ57" s="742">
        <v>1</v>
      </c>
      <c r="CA57" s="742">
        <v>1</v>
      </c>
      <c r="CB57" s="742">
        <v>0.52634324446901803</v>
      </c>
      <c r="CC57" s="742">
        <v>1</v>
      </c>
      <c r="CD57" s="742">
        <v>1</v>
      </c>
      <c r="CE57" s="742">
        <v>1</v>
      </c>
      <c r="CF57" s="742">
        <v>0.999999999999995</v>
      </c>
      <c r="CG57" s="742">
        <v>1</v>
      </c>
      <c r="CH57" s="742">
        <v>1</v>
      </c>
      <c r="CI57" s="742">
        <v>1</v>
      </c>
      <c r="CJ57" s="742">
        <v>0.999999999999996</v>
      </c>
      <c r="CK57" s="742">
        <v>1</v>
      </c>
      <c r="CL57" s="742">
        <v>1</v>
      </c>
      <c r="CM57" s="742">
        <v>1</v>
      </c>
      <c r="CN57" s="742">
        <v>0.999999999999995</v>
      </c>
      <c r="CO57" s="742">
        <v>1</v>
      </c>
      <c r="CP57" s="742">
        <v>1</v>
      </c>
      <c r="CQ57" s="742">
        <v>1</v>
      </c>
      <c r="CR57" s="742">
        <v>0.52627841109126705</v>
      </c>
      <c r="CS57" s="742">
        <v>1</v>
      </c>
      <c r="CT57" s="742">
        <v>0.999999999999999</v>
      </c>
      <c r="CU57" s="742">
        <v>1</v>
      </c>
      <c r="CV57" s="742">
        <v>1</v>
      </c>
      <c r="CW57" s="742">
        <v>1</v>
      </c>
      <c r="CX57" s="742">
        <v>1</v>
      </c>
      <c r="CY57" s="742">
        <v>0.52627857523327704</v>
      </c>
      <c r="CZ57" s="742">
        <v>1</v>
      </c>
      <c r="DA57" s="742">
        <v>1</v>
      </c>
      <c r="DB57" s="742">
        <v>1</v>
      </c>
      <c r="DC57" s="742">
        <v>0.52627799358755201</v>
      </c>
      <c r="DD57" s="742">
        <v>1</v>
      </c>
      <c r="DE57" s="742">
        <v>1</v>
      </c>
      <c r="DF57" s="742">
        <v>1</v>
      </c>
      <c r="DG57" s="742">
        <v>0.52627791354685305</v>
      </c>
      <c r="DH57" s="742">
        <v>1</v>
      </c>
      <c r="DI57" s="742">
        <v>1</v>
      </c>
      <c r="DJ57" s="742">
        <v>1</v>
      </c>
      <c r="DK57" s="742">
        <v>0.99999999999980305</v>
      </c>
      <c r="DL57" s="742">
        <v>1</v>
      </c>
      <c r="DM57" s="742">
        <v>1</v>
      </c>
      <c r="DN57" s="742">
        <v>1</v>
      </c>
      <c r="DO57" s="742">
        <v>0.52627841069391001</v>
      </c>
      <c r="DP57" s="742">
        <v>1</v>
      </c>
      <c r="DQ57" s="742">
        <v>1</v>
      </c>
      <c r="DR57" s="742">
        <v>1</v>
      </c>
      <c r="DS57" s="742">
        <v>1</v>
      </c>
      <c r="DT57" s="742">
        <v>1</v>
      </c>
      <c r="DU57" s="742">
        <v>1</v>
      </c>
      <c r="DV57" s="742">
        <v>0.52627725679570203</v>
      </c>
      <c r="DW57" s="742">
        <v>1</v>
      </c>
      <c r="DX57" s="742">
        <v>0.999999999999999</v>
      </c>
      <c r="DY57" s="742">
        <v>1</v>
      </c>
      <c r="DZ57" s="742">
        <v>0.52627693057684</v>
      </c>
      <c r="EA57" s="742">
        <v>1</v>
      </c>
      <c r="EB57" s="742">
        <v>1</v>
      </c>
      <c r="EC57" s="742">
        <v>1</v>
      </c>
      <c r="ED57" s="742">
        <v>0.52627685046136596</v>
      </c>
      <c r="EE57" s="742">
        <v>1</v>
      </c>
      <c r="EF57" s="742">
        <v>1</v>
      </c>
      <c r="EG57" s="742">
        <v>1</v>
      </c>
      <c r="EH57" s="742">
        <v>0.99999999999994305</v>
      </c>
      <c r="EI57" s="742">
        <v>1</v>
      </c>
      <c r="EJ57" s="742">
        <v>1</v>
      </c>
      <c r="EK57" s="742">
        <v>1</v>
      </c>
      <c r="EL57" s="742">
        <v>0.52627651386983199</v>
      </c>
      <c r="EM57" s="742">
        <v>1</v>
      </c>
      <c r="EN57" s="742">
        <v>1</v>
      </c>
      <c r="EO57" s="742">
        <v>1</v>
      </c>
      <c r="EP57" s="742">
        <v>1</v>
      </c>
      <c r="EQ57" s="742">
        <v>0.999999999999999</v>
      </c>
      <c r="ER57" s="742">
        <v>1</v>
      </c>
      <c r="ES57" s="742">
        <v>0.52627143226270101</v>
      </c>
      <c r="ET57" s="742">
        <v>1</v>
      </c>
      <c r="EU57" s="742">
        <v>0.999999999999999</v>
      </c>
      <c r="EV57" s="742">
        <v>1</v>
      </c>
      <c r="EW57" s="742">
        <v>0.52627140973512898</v>
      </c>
      <c r="EX57" s="742">
        <v>1</v>
      </c>
      <c r="EY57" s="742">
        <v>0.999999999999999</v>
      </c>
      <c r="EZ57" s="742">
        <v>1</v>
      </c>
      <c r="FA57" s="742">
        <v>0.52627132960099399</v>
      </c>
      <c r="FB57" s="742">
        <v>1</v>
      </c>
      <c r="FC57" s="742">
        <v>0.999999999999999</v>
      </c>
      <c r="FD57" s="742">
        <v>0.999999999999999</v>
      </c>
      <c r="FE57" s="742">
        <v>0.99999999998723099</v>
      </c>
      <c r="FF57" s="742">
        <v>1</v>
      </c>
      <c r="FG57" s="742">
        <v>0.999999999999999</v>
      </c>
      <c r="FH57" s="742">
        <v>1</v>
      </c>
    </row>
    <row r="58" spans="1:164" ht="12.75" customHeight="1" x14ac:dyDescent="0.2">
      <c r="A58" s="489"/>
      <c r="B58" s="489"/>
      <c r="C58" s="489"/>
      <c r="D58" s="489"/>
      <c r="E58" s="489"/>
      <c r="F58" s="744"/>
      <c r="G58" s="745"/>
      <c r="H58" s="506"/>
      <c r="I58" s="750">
        <v>3182838.4517223402</v>
      </c>
      <c r="J58" s="742">
        <v>0.55189198325627598</v>
      </c>
      <c r="K58" s="742">
        <v>1</v>
      </c>
      <c r="L58" s="742">
        <v>1</v>
      </c>
      <c r="M58" s="742">
        <v>1</v>
      </c>
      <c r="N58" s="742">
        <v>1</v>
      </c>
      <c r="O58" s="742">
        <v>1</v>
      </c>
      <c r="P58" s="742">
        <v>1</v>
      </c>
      <c r="Q58" s="742">
        <v>1</v>
      </c>
      <c r="R58" s="742">
        <v>1</v>
      </c>
      <c r="S58" s="742">
        <v>1</v>
      </c>
      <c r="T58" s="742">
        <v>1</v>
      </c>
      <c r="U58" s="742">
        <v>1</v>
      </c>
      <c r="V58" s="742">
        <v>1</v>
      </c>
      <c r="W58" s="742">
        <v>1</v>
      </c>
      <c r="X58" s="742">
        <v>1</v>
      </c>
      <c r="Y58" s="742">
        <v>0.61590160900659996</v>
      </c>
      <c r="Z58" s="742">
        <v>1</v>
      </c>
      <c r="AA58" s="742">
        <v>1</v>
      </c>
      <c r="AB58" s="742">
        <v>1</v>
      </c>
      <c r="AC58" s="742">
        <v>1</v>
      </c>
      <c r="AD58" s="742">
        <v>1</v>
      </c>
      <c r="AE58" s="742">
        <v>1</v>
      </c>
      <c r="AF58" s="742">
        <v>1</v>
      </c>
      <c r="AG58" s="742">
        <v>1</v>
      </c>
      <c r="AH58" s="742">
        <v>1</v>
      </c>
      <c r="AI58" s="742">
        <v>1</v>
      </c>
      <c r="AJ58" s="742">
        <v>1</v>
      </c>
      <c r="AK58" s="742">
        <v>0.61725296241085303</v>
      </c>
      <c r="AL58" s="742">
        <v>1</v>
      </c>
      <c r="AM58" s="742">
        <v>1</v>
      </c>
      <c r="AN58" s="742">
        <v>1</v>
      </c>
      <c r="AO58" s="742">
        <v>1</v>
      </c>
      <c r="AP58" s="742">
        <v>1</v>
      </c>
      <c r="AQ58" s="742">
        <v>1</v>
      </c>
      <c r="AR58" s="742">
        <v>1</v>
      </c>
      <c r="AS58" s="742">
        <v>1</v>
      </c>
      <c r="AT58" s="742">
        <v>1</v>
      </c>
      <c r="AU58" s="742">
        <v>1</v>
      </c>
      <c r="AV58" s="742">
        <v>1</v>
      </c>
      <c r="AW58" s="742">
        <v>1</v>
      </c>
      <c r="AX58" s="742">
        <v>1</v>
      </c>
      <c r="AY58" s="742">
        <v>1</v>
      </c>
      <c r="AZ58" s="742">
        <v>1</v>
      </c>
      <c r="BA58" s="742">
        <v>0.536105445699116</v>
      </c>
      <c r="BB58" s="742">
        <v>1</v>
      </c>
      <c r="BC58" s="742">
        <v>1</v>
      </c>
      <c r="BD58" s="742">
        <v>1</v>
      </c>
      <c r="BE58" s="742">
        <v>1</v>
      </c>
      <c r="BF58" s="742">
        <v>1</v>
      </c>
      <c r="BG58" s="742">
        <v>1</v>
      </c>
      <c r="BH58" s="742">
        <v>0.999999999999998</v>
      </c>
      <c r="BI58" s="742">
        <v>1</v>
      </c>
      <c r="BJ58" s="742">
        <v>1</v>
      </c>
      <c r="BK58" s="742">
        <v>1</v>
      </c>
      <c r="BL58" s="742">
        <v>0.999999999999996</v>
      </c>
      <c r="BM58" s="742">
        <v>1</v>
      </c>
      <c r="BN58" s="742">
        <v>1</v>
      </c>
      <c r="BO58" s="742">
        <v>1</v>
      </c>
      <c r="BP58" s="742">
        <v>0.53581164395785696</v>
      </c>
      <c r="BQ58" s="742">
        <v>1</v>
      </c>
      <c r="BR58" s="742">
        <v>1</v>
      </c>
      <c r="BS58" s="742">
        <v>1</v>
      </c>
      <c r="BT58" s="742">
        <v>0.999999999999999</v>
      </c>
      <c r="BU58" s="742">
        <v>1</v>
      </c>
      <c r="BV58" s="742">
        <v>1</v>
      </c>
      <c r="BW58" s="742">
        <v>1</v>
      </c>
      <c r="BX58" s="742">
        <v>0.999999999999996</v>
      </c>
      <c r="BY58" s="742">
        <v>1</v>
      </c>
      <c r="BZ58" s="742">
        <v>1</v>
      </c>
      <c r="CA58" s="742">
        <v>1</v>
      </c>
      <c r="CB58" s="742">
        <v>0.53581170596914995</v>
      </c>
      <c r="CC58" s="742">
        <v>1</v>
      </c>
      <c r="CD58" s="742">
        <v>1</v>
      </c>
      <c r="CE58" s="742">
        <v>1</v>
      </c>
      <c r="CF58" s="742">
        <v>0.999999999999995</v>
      </c>
      <c r="CG58" s="742">
        <v>1</v>
      </c>
      <c r="CH58" s="742">
        <v>1</v>
      </c>
      <c r="CI58" s="742">
        <v>1</v>
      </c>
      <c r="CJ58" s="742">
        <v>0.999999999999996</v>
      </c>
      <c r="CK58" s="742">
        <v>1</v>
      </c>
      <c r="CL58" s="742">
        <v>1</v>
      </c>
      <c r="CM58" s="742">
        <v>1</v>
      </c>
      <c r="CN58" s="742">
        <v>0.999999999999995</v>
      </c>
      <c r="CO58" s="742">
        <v>1</v>
      </c>
      <c r="CP58" s="742">
        <v>1</v>
      </c>
      <c r="CQ58" s="742">
        <v>1</v>
      </c>
      <c r="CR58" s="742">
        <v>0.53574816861923802</v>
      </c>
      <c r="CS58" s="742">
        <v>1</v>
      </c>
      <c r="CT58" s="742">
        <v>1</v>
      </c>
      <c r="CU58" s="742">
        <v>1</v>
      </c>
      <c r="CV58" s="742">
        <v>1</v>
      </c>
      <c r="CW58" s="742">
        <v>1</v>
      </c>
      <c r="CX58" s="742">
        <v>1</v>
      </c>
      <c r="CY58" s="742">
        <v>0.53574832948002804</v>
      </c>
      <c r="CZ58" s="742">
        <v>1</v>
      </c>
      <c r="DA58" s="742">
        <v>1</v>
      </c>
      <c r="DB58" s="742">
        <v>1</v>
      </c>
      <c r="DC58" s="742">
        <v>0.53574775946147801</v>
      </c>
      <c r="DD58" s="742">
        <v>1</v>
      </c>
      <c r="DE58" s="742">
        <v>1</v>
      </c>
      <c r="DF58" s="742">
        <v>1</v>
      </c>
      <c r="DG58" s="742">
        <v>0.53574768102080295</v>
      </c>
      <c r="DH58" s="742">
        <v>1</v>
      </c>
      <c r="DI58" s="742">
        <v>1</v>
      </c>
      <c r="DJ58" s="742">
        <v>1</v>
      </c>
      <c r="DK58" s="742">
        <v>0.99999999999980804</v>
      </c>
      <c r="DL58" s="742">
        <v>1</v>
      </c>
      <c r="DM58" s="742">
        <v>1</v>
      </c>
      <c r="DN58" s="742">
        <v>1</v>
      </c>
      <c r="DO58" s="742">
        <v>0.53574816822982396</v>
      </c>
      <c r="DP58" s="742">
        <v>1</v>
      </c>
      <c r="DQ58" s="742">
        <v>1</v>
      </c>
      <c r="DR58" s="742">
        <v>1</v>
      </c>
      <c r="DS58" s="742">
        <v>1</v>
      </c>
      <c r="DT58" s="742">
        <v>1</v>
      </c>
      <c r="DU58" s="742">
        <v>1</v>
      </c>
      <c r="DV58" s="742">
        <v>0.53574703739819496</v>
      </c>
      <c r="DW58" s="742">
        <v>1</v>
      </c>
      <c r="DX58" s="742">
        <v>1</v>
      </c>
      <c r="DY58" s="742">
        <v>1</v>
      </c>
      <c r="DZ58" s="742">
        <v>0.53574671770049098</v>
      </c>
      <c r="EA58" s="742">
        <v>1</v>
      </c>
      <c r="EB58" s="742">
        <v>1</v>
      </c>
      <c r="EC58" s="742">
        <v>1</v>
      </c>
      <c r="ED58" s="742">
        <v>0.53574663918653598</v>
      </c>
      <c r="EE58" s="742">
        <v>1</v>
      </c>
      <c r="EF58" s="742">
        <v>1</v>
      </c>
      <c r="EG58" s="742">
        <v>1</v>
      </c>
      <c r="EH58" s="742">
        <v>0.99999999999994504</v>
      </c>
      <c r="EI58" s="742">
        <v>1</v>
      </c>
      <c r="EJ58" s="742">
        <v>1</v>
      </c>
      <c r="EK58" s="742">
        <v>1</v>
      </c>
      <c r="EL58" s="742">
        <v>0.53574630932351097</v>
      </c>
      <c r="EM58" s="742">
        <v>1</v>
      </c>
      <c r="EN58" s="742">
        <v>1</v>
      </c>
      <c r="EO58" s="742">
        <v>1</v>
      </c>
      <c r="EP58" s="742">
        <v>1</v>
      </c>
      <c r="EQ58" s="742">
        <v>1</v>
      </c>
      <c r="ER58" s="742">
        <v>1</v>
      </c>
      <c r="ES58" s="742">
        <v>0.53574132929838303</v>
      </c>
      <c r="ET58" s="742">
        <v>0.999999999999999</v>
      </c>
      <c r="EU58" s="742">
        <v>1</v>
      </c>
      <c r="EV58" s="742">
        <v>1</v>
      </c>
      <c r="EW58" s="742">
        <v>0.53574130722114</v>
      </c>
      <c r="EX58" s="742">
        <v>1</v>
      </c>
      <c r="EY58" s="742">
        <v>1</v>
      </c>
      <c r="EZ58" s="742">
        <v>1</v>
      </c>
      <c r="FA58" s="742">
        <v>0.53574122868889695</v>
      </c>
      <c r="FB58" s="742">
        <v>1</v>
      </c>
      <c r="FC58" s="742">
        <v>1</v>
      </c>
      <c r="FD58" s="742">
        <v>1</v>
      </c>
      <c r="FE58" s="742">
        <v>0.99999999998748601</v>
      </c>
      <c r="FF58" s="742">
        <v>1</v>
      </c>
      <c r="FG58" s="742">
        <v>1</v>
      </c>
      <c r="FH58" s="742">
        <v>1</v>
      </c>
    </row>
    <row r="59" spans="1:164" ht="12.75" customHeight="1" x14ac:dyDescent="0.2">
      <c r="A59" s="489"/>
      <c r="B59" s="489"/>
      <c r="C59" s="489"/>
      <c r="D59" s="489"/>
      <c r="E59" s="489"/>
      <c r="F59" s="744"/>
      <c r="G59" s="745"/>
      <c r="H59" s="506"/>
      <c r="I59" s="750">
        <v>3266597.3583466201</v>
      </c>
      <c r="J59" s="742">
        <v>0.56084972207218597</v>
      </c>
      <c r="K59" s="742">
        <v>1</v>
      </c>
      <c r="L59" s="742">
        <v>1</v>
      </c>
      <c r="M59" s="742">
        <v>1</v>
      </c>
      <c r="N59" s="742">
        <v>1</v>
      </c>
      <c r="O59" s="742">
        <v>1</v>
      </c>
      <c r="P59" s="742">
        <v>1</v>
      </c>
      <c r="Q59" s="742">
        <v>1</v>
      </c>
      <c r="R59" s="742">
        <v>1</v>
      </c>
      <c r="S59" s="742">
        <v>1</v>
      </c>
      <c r="T59" s="742">
        <v>1</v>
      </c>
      <c r="U59" s="742">
        <v>1</v>
      </c>
      <c r="V59" s="742">
        <v>1</v>
      </c>
      <c r="W59" s="742">
        <v>1</v>
      </c>
      <c r="X59" s="742">
        <v>1</v>
      </c>
      <c r="Y59" s="742">
        <v>0.62357978689578897</v>
      </c>
      <c r="Z59" s="742">
        <v>1</v>
      </c>
      <c r="AA59" s="742">
        <v>1</v>
      </c>
      <c r="AB59" s="742">
        <v>1</v>
      </c>
      <c r="AC59" s="742">
        <v>1</v>
      </c>
      <c r="AD59" s="742">
        <v>1</v>
      </c>
      <c r="AE59" s="742">
        <v>1</v>
      </c>
      <c r="AF59" s="742">
        <v>1</v>
      </c>
      <c r="AG59" s="742">
        <v>1</v>
      </c>
      <c r="AH59" s="742">
        <v>1</v>
      </c>
      <c r="AI59" s="742">
        <v>1</v>
      </c>
      <c r="AJ59" s="742">
        <v>1</v>
      </c>
      <c r="AK59" s="742">
        <v>0.62490412656587302</v>
      </c>
      <c r="AL59" s="742">
        <v>1</v>
      </c>
      <c r="AM59" s="742">
        <v>1</v>
      </c>
      <c r="AN59" s="742">
        <v>1</v>
      </c>
      <c r="AO59" s="742">
        <v>1</v>
      </c>
      <c r="AP59" s="742">
        <v>1</v>
      </c>
      <c r="AQ59" s="742">
        <v>1</v>
      </c>
      <c r="AR59" s="742">
        <v>1</v>
      </c>
      <c r="AS59" s="742">
        <v>1</v>
      </c>
      <c r="AT59" s="742">
        <v>1</v>
      </c>
      <c r="AU59" s="742">
        <v>1</v>
      </c>
      <c r="AV59" s="742">
        <v>1</v>
      </c>
      <c r="AW59" s="742">
        <v>1</v>
      </c>
      <c r="AX59" s="742">
        <v>1</v>
      </c>
      <c r="AY59" s="742">
        <v>1</v>
      </c>
      <c r="AZ59" s="742">
        <v>1</v>
      </c>
      <c r="BA59" s="742">
        <v>0.54537875949909398</v>
      </c>
      <c r="BB59" s="742">
        <v>1</v>
      </c>
      <c r="BC59" s="742">
        <v>1</v>
      </c>
      <c r="BD59" s="742">
        <v>1</v>
      </c>
      <c r="BE59" s="742">
        <v>1</v>
      </c>
      <c r="BF59" s="742">
        <v>1</v>
      </c>
      <c r="BG59" s="742">
        <v>1</v>
      </c>
      <c r="BH59" s="742">
        <v>0.999999999999998</v>
      </c>
      <c r="BI59" s="742">
        <v>1</v>
      </c>
      <c r="BJ59" s="742">
        <v>1</v>
      </c>
      <c r="BK59" s="742">
        <v>1</v>
      </c>
      <c r="BL59" s="742">
        <v>0.999999999999996</v>
      </c>
      <c r="BM59" s="742">
        <v>1</v>
      </c>
      <c r="BN59" s="742">
        <v>1</v>
      </c>
      <c r="BO59" s="742">
        <v>1</v>
      </c>
      <c r="BP59" s="742">
        <v>0.54509083089369303</v>
      </c>
      <c r="BQ59" s="742">
        <v>1</v>
      </c>
      <c r="BR59" s="742">
        <v>1</v>
      </c>
      <c r="BS59" s="742">
        <v>1</v>
      </c>
      <c r="BT59" s="742">
        <v>0.999999999999999</v>
      </c>
      <c r="BU59" s="742">
        <v>1</v>
      </c>
      <c r="BV59" s="742">
        <v>1</v>
      </c>
      <c r="BW59" s="742">
        <v>1</v>
      </c>
      <c r="BX59" s="742">
        <v>0.999999999999996</v>
      </c>
      <c r="BY59" s="742">
        <v>1</v>
      </c>
      <c r="BZ59" s="742">
        <v>1</v>
      </c>
      <c r="CA59" s="742">
        <v>1</v>
      </c>
      <c r="CB59" s="742">
        <v>0.54509089166537295</v>
      </c>
      <c r="CC59" s="742">
        <v>1</v>
      </c>
      <c r="CD59" s="742">
        <v>1</v>
      </c>
      <c r="CE59" s="742">
        <v>1</v>
      </c>
      <c r="CF59" s="742">
        <v>0.999999999999996</v>
      </c>
      <c r="CG59" s="742">
        <v>1</v>
      </c>
      <c r="CH59" s="742">
        <v>1</v>
      </c>
      <c r="CI59" s="742">
        <v>1</v>
      </c>
      <c r="CJ59" s="742">
        <v>0.999999999999996</v>
      </c>
      <c r="CK59" s="742">
        <v>1</v>
      </c>
      <c r="CL59" s="742">
        <v>1</v>
      </c>
      <c r="CM59" s="742">
        <v>1</v>
      </c>
      <c r="CN59" s="742">
        <v>0.999999999999996</v>
      </c>
      <c r="CO59" s="742">
        <v>1</v>
      </c>
      <c r="CP59" s="742">
        <v>1</v>
      </c>
      <c r="CQ59" s="742">
        <v>1</v>
      </c>
      <c r="CR59" s="742">
        <v>0.54502862443553102</v>
      </c>
      <c r="CS59" s="742">
        <v>1</v>
      </c>
      <c r="CT59" s="742">
        <v>1</v>
      </c>
      <c r="CU59" s="742">
        <v>1</v>
      </c>
      <c r="CV59" s="742">
        <v>1</v>
      </c>
      <c r="CW59" s="742">
        <v>1</v>
      </c>
      <c r="CX59" s="742">
        <v>1</v>
      </c>
      <c r="CY59" s="742">
        <v>0.54502878208069205</v>
      </c>
      <c r="CZ59" s="742">
        <v>1</v>
      </c>
      <c r="DA59" s="742">
        <v>1</v>
      </c>
      <c r="DB59" s="742">
        <v>1</v>
      </c>
      <c r="DC59" s="742">
        <v>0.54502822345688895</v>
      </c>
      <c r="DD59" s="742">
        <v>1</v>
      </c>
      <c r="DE59" s="742">
        <v>1</v>
      </c>
      <c r="DF59" s="742">
        <v>1</v>
      </c>
      <c r="DG59" s="742">
        <v>0.54502814658425303</v>
      </c>
      <c r="DH59" s="742">
        <v>1</v>
      </c>
      <c r="DI59" s="742">
        <v>1</v>
      </c>
      <c r="DJ59" s="742">
        <v>1</v>
      </c>
      <c r="DK59" s="742">
        <v>0.99999999999981204</v>
      </c>
      <c r="DL59" s="742">
        <v>1</v>
      </c>
      <c r="DM59" s="742">
        <v>1</v>
      </c>
      <c r="DN59" s="742">
        <v>1</v>
      </c>
      <c r="DO59" s="742">
        <v>0.54502862405390196</v>
      </c>
      <c r="DP59" s="742">
        <v>1</v>
      </c>
      <c r="DQ59" s="742">
        <v>1</v>
      </c>
      <c r="DR59" s="742">
        <v>1</v>
      </c>
      <c r="DS59" s="742">
        <v>1</v>
      </c>
      <c r="DT59" s="742">
        <v>1</v>
      </c>
      <c r="DU59" s="742">
        <v>1</v>
      </c>
      <c r="DV59" s="742">
        <v>0.545027515827746</v>
      </c>
      <c r="DW59" s="742">
        <v>1</v>
      </c>
      <c r="DX59" s="742">
        <v>1</v>
      </c>
      <c r="DY59" s="742">
        <v>1</v>
      </c>
      <c r="DZ59" s="742">
        <v>0.54502720252084202</v>
      </c>
      <c r="EA59" s="742">
        <v>1</v>
      </c>
      <c r="EB59" s="742">
        <v>1</v>
      </c>
      <c r="EC59" s="742">
        <v>1</v>
      </c>
      <c r="ED59" s="742">
        <v>0.54502712557639099</v>
      </c>
      <c r="EE59" s="742">
        <v>1</v>
      </c>
      <c r="EF59" s="742">
        <v>1</v>
      </c>
      <c r="EG59" s="742">
        <v>1</v>
      </c>
      <c r="EH59" s="742">
        <v>0.99999999999994604</v>
      </c>
      <c r="EI59" s="742">
        <v>1</v>
      </c>
      <c r="EJ59" s="742">
        <v>1</v>
      </c>
      <c r="EK59" s="742">
        <v>1</v>
      </c>
      <c r="EL59" s="742">
        <v>0.54502680230737299</v>
      </c>
      <c r="EM59" s="742">
        <v>1</v>
      </c>
      <c r="EN59" s="742">
        <v>1</v>
      </c>
      <c r="EO59" s="742">
        <v>1</v>
      </c>
      <c r="EP59" s="742">
        <v>1</v>
      </c>
      <c r="EQ59" s="742">
        <v>1</v>
      </c>
      <c r="ER59" s="742">
        <v>1</v>
      </c>
      <c r="ES59" s="742">
        <v>0.54502192183360898</v>
      </c>
      <c r="ET59" s="742">
        <v>1</v>
      </c>
      <c r="EU59" s="742">
        <v>1</v>
      </c>
      <c r="EV59" s="742">
        <v>1</v>
      </c>
      <c r="EW59" s="742">
        <v>0.54502190019769303</v>
      </c>
      <c r="EX59" s="742">
        <v>1</v>
      </c>
      <c r="EY59" s="742">
        <v>1</v>
      </c>
      <c r="EZ59" s="742">
        <v>1</v>
      </c>
      <c r="FA59" s="742">
        <v>0.545021823235319</v>
      </c>
      <c r="FB59" s="742">
        <v>1</v>
      </c>
      <c r="FC59" s="742">
        <v>1</v>
      </c>
      <c r="FD59" s="742">
        <v>0.999999999999999</v>
      </c>
      <c r="FE59" s="742">
        <v>0.99999999998773703</v>
      </c>
      <c r="FF59" s="742">
        <v>1</v>
      </c>
      <c r="FG59" s="742">
        <v>1</v>
      </c>
      <c r="FH59" s="742">
        <v>1</v>
      </c>
    </row>
    <row r="60" spans="1:164" ht="12.75" customHeight="1" x14ac:dyDescent="0.2">
      <c r="A60" s="489"/>
      <c r="B60" s="489"/>
      <c r="C60" s="489"/>
      <c r="D60" s="489"/>
      <c r="E60" s="489"/>
      <c r="F60" s="744"/>
      <c r="G60" s="745"/>
      <c r="H60" s="506"/>
      <c r="I60" s="750">
        <v>3350356.2649708898</v>
      </c>
      <c r="J60" s="742">
        <v>0.56962839449862501</v>
      </c>
      <c r="K60" s="742">
        <v>1</v>
      </c>
      <c r="L60" s="742">
        <v>1</v>
      </c>
      <c r="M60" s="742">
        <v>1</v>
      </c>
      <c r="N60" s="742">
        <v>1</v>
      </c>
      <c r="O60" s="742">
        <v>1</v>
      </c>
      <c r="P60" s="742">
        <v>1</v>
      </c>
      <c r="Q60" s="742">
        <v>1</v>
      </c>
      <c r="R60" s="742">
        <v>1</v>
      </c>
      <c r="S60" s="742">
        <v>1</v>
      </c>
      <c r="T60" s="742">
        <v>1</v>
      </c>
      <c r="U60" s="742">
        <v>1</v>
      </c>
      <c r="V60" s="742">
        <v>1</v>
      </c>
      <c r="W60" s="742">
        <v>1</v>
      </c>
      <c r="X60" s="742">
        <v>1</v>
      </c>
      <c r="Y60" s="742">
        <v>0.63110447698849603</v>
      </c>
      <c r="Z60" s="742">
        <v>1</v>
      </c>
      <c r="AA60" s="742">
        <v>1</v>
      </c>
      <c r="AB60" s="742">
        <v>1</v>
      </c>
      <c r="AC60" s="742">
        <v>0.999999999999999</v>
      </c>
      <c r="AD60" s="742">
        <v>1</v>
      </c>
      <c r="AE60" s="742">
        <v>1</v>
      </c>
      <c r="AF60" s="742">
        <v>1</v>
      </c>
      <c r="AG60" s="742">
        <v>1</v>
      </c>
      <c r="AH60" s="742">
        <v>1</v>
      </c>
      <c r="AI60" s="742">
        <v>0.999999999999999</v>
      </c>
      <c r="AJ60" s="742">
        <v>1</v>
      </c>
      <c r="AK60" s="742">
        <v>0.63240234293254804</v>
      </c>
      <c r="AL60" s="742">
        <v>1</v>
      </c>
      <c r="AM60" s="742">
        <v>0.999999999999999</v>
      </c>
      <c r="AN60" s="742">
        <v>1</v>
      </c>
      <c r="AO60" s="742">
        <v>1</v>
      </c>
      <c r="AP60" s="742">
        <v>1</v>
      </c>
      <c r="AQ60" s="742">
        <v>1</v>
      </c>
      <c r="AR60" s="742">
        <v>1</v>
      </c>
      <c r="AS60" s="742">
        <v>1</v>
      </c>
      <c r="AT60" s="742">
        <v>1</v>
      </c>
      <c r="AU60" s="742">
        <v>1</v>
      </c>
      <c r="AV60" s="742">
        <v>1</v>
      </c>
      <c r="AW60" s="742">
        <v>1</v>
      </c>
      <c r="AX60" s="742">
        <v>1</v>
      </c>
      <c r="AY60" s="742">
        <v>1</v>
      </c>
      <c r="AZ60" s="742">
        <v>1</v>
      </c>
      <c r="BA60" s="742">
        <v>0.55446669852372699</v>
      </c>
      <c r="BB60" s="742">
        <v>1</v>
      </c>
      <c r="BC60" s="742">
        <v>1</v>
      </c>
      <c r="BD60" s="742">
        <v>1</v>
      </c>
      <c r="BE60" s="742">
        <v>1</v>
      </c>
      <c r="BF60" s="742">
        <v>1</v>
      </c>
      <c r="BG60" s="742">
        <v>1</v>
      </c>
      <c r="BH60" s="742">
        <v>0.999999999999998</v>
      </c>
      <c r="BI60" s="742">
        <v>1</v>
      </c>
      <c r="BJ60" s="742">
        <v>1</v>
      </c>
      <c r="BK60" s="742">
        <v>1</v>
      </c>
      <c r="BL60" s="742">
        <v>0.999999999999996</v>
      </c>
      <c r="BM60" s="742">
        <v>1</v>
      </c>
      <c r="BN60" s="742">
        <v>1</v>
      </c>
      <c r="BO60" s="742">
        <v>1</v>
      </c>
      <c r="BP60" s="742">
        <v>0.554184525649422</v>
      </c>
      <c r="BQ60" s="742">
        <v>1</v>
      </c>
      <c r="BR60" s="742">
        <v>1</v>
      </c>
      <c r="BS60" s="742">
        <v>1</v>
      </c>
      <c r="BT60" s="742">
        <v>0.999999999999998</v>
      </c>
      <c r="BU60" s="742">
        <v>1</v>
      </c>
      <c r="BV60" s="742">
        <v>1</v>
      </c>
      <c r="BW60" s="742">
        <v>1</v>
      </c>
      <c r="BX60" s="742">
        <v>0.999999999999996</v>
      </c>
      <c r="BY60" s="742">
        <v>1</v>
      </c>
      <c r="BZ60" s="742">
        <v>1</v>
      </c>
      <c r="CA60" s="742">
        <v>1</v>
      </c>
      <c r="CB60" s="742">
        <v>0.55418458520626701</v>
      </c>
      <c r="CC60" s="742">
        <v>1</v>
      </c>
      <c r="CD60" s="742">
        <v>1</v>
      </c>
      <c r="CE60" s="742">
        <v>1</v>
      </c>
      <c r="CF60" s="742">
        <v>0.999999999999996</v>
      </c>
      <c r="CG60" s="742">
        <v>1</v>
      </c>
      <c r="CH60" s="742">
        <v>1</v>
      </c>
      <c r="CI60" s="742">
        <v>1</v>
      </c>
      <c r="CJ60" s="742">
        <v>0.999999999999996</v>
      </c>
      <c r="CK60" s="742">
        <v>1</v>
      </c>
      <c r="CL60" s="742">
        <v>1</v>
      </c>
      <c r="CM60" s="742">
        <v>1</v>
      </c>
      <c r="CN60" s="742">
        <v>0.999999999999995</v>
      </c>
      <c r="CO60" s="742">
        <v>1</v>
      </c>
      <c r="CP60" s="742">
        <v>1</v>
      </c>
      <c r="CQ60" s="742">
        <v>1</v>
      </c>
      <c r="CR60" s="742">
        <v>0.554123562706624</v>
      </c>
      <c r="CS60" s="742">
        <v>1</v>
      </c>
      <c r="CT60" s="742">
        <v>1</v>
      </c>
      <c r="CU60" s="742">
        <v>1</v>
      </c>
      <c r="CV60" s="742">
        <v>1</v>
      </c>
      <c r="CW60" s="742">
        <v>1</v>
      </c>
      <c r="CX60" s="742">
        <v>1</v>
      </c>
      <c r="CY60" s="742">
        <v>0.55412371720043896</v>
      </c>
      <c r="CZ60" s="742">
        <v>1</v>
      </c>
      <c r="DA60" s="742">
        <v>1</v>
      </c>
      <c r="DB60" s="742">
        <v>1</v>
      </c>
      <c r="DC60" s="742">
        <v>0.55412316974359999</v>
      </c>
      <c r="DD60" s="742">
        <v>1</v>
      </c>
      <c r="DE60" s="742">
        <v>1</v>
      </c>
      <c r="DF60" s="742">
        <v>1</v>
      </c>
      <c r="DG60" s="742">
        <v>0.55412309440765795</v>
      </c>
      <c r="DH60" s="742">
        <v>1</v>
      </c>
      <c r="DI60" s="742">
        <v>1</v>
      </c>
      <c r="DJ60" s="742">
        <v>1</v>
      </c>
      <c r="DK60" s="742">
        <v>0.99999999999981504</v>
      </c>
      <c r="DL60" s="742">
        <v>1</v>
      </c>
      <c r="DM60" s="742">
        <v>1</v>
      </c>
      <c r="DN60" s="742">
        <v>1</v>
      </c>
      <c r="DO60" s="742">
        <v>0.55412356233262405</v>
      </c>
      <c r="DP60" s="742">
        <v>1</v>
      </c>
      <c r="DQ60" s="742">
        <v>1</v>
      </c>
      <c r="DR60" s="742">
        <v>1</v>
      </c>
      <c r="DS60" s="742">
        <v>1</v>
      </c>
      <c r="DT60" s="742">
        <v>1</v>
      </c>
      <c r="DU60" s="742">
        <v>1</v>
      </c>
      <c r="DV60" s="742">
        <v>0.55412247626005895</v>
      </c>
      <c r="DW60" s="742">
        <v>1</v>
      </c>
      <c r="DX60" s="742">
        <v>1</v>
      </c>
      <c r="DY60" s="742">
        <v>1</v>
      </c>
      <c r="DZ60" s="742">
        <v>0.55412216921620105</v>
      </c>
      <c r="EA60" s="742">
        <v>1</v>
      </c>
      <c r="EB60" s="742">
        <v>1</v>
      </c>
      <c r="EC60" s="742">
        <v>1</v>
      </c>
      <c r="ED60" s="742">
        <v>0.55412209380987998</v>
      </c>
      <c r="EE60" s="742">
        <v>1</v>
      </c>
      <c r="EF60" s="742">
        <v>1</v>
      </c>
      <c r="EG60" s="742">
        <v>1</v>
      </c>
      <c r="EH60" s="742">
        <v>0.99999999999994604</v>
      </c>
      <c r="EI60" s="742">
        <v>1</v>
      </c>
      <c r="EJ60" s="742">
        <v>1</v>
      </c>
      <c r="EK60" s="742">
        <v>1</v>
      </c>
      <c r="EL60" s="742">
        <v>0.55412177700304999</v>
      </c>
      <c r="EM60" s="742">
        <v>1</v>
      </c>
      <c r="EN60" s="742">
        <v>1</v>
      </c>
      <c r="EO60" s="742">
        <v>1</v>
      </c>
      <c r="EP60" s="742">
        <v>1</v>
      </c>
      <c r="EQ60" s="742">
        <v>1</v>
      </c>
      <c r="ER60" s="742">
        <v>0.999999999999999</v>
      </c>
      <c r="ES60" s="742">
        <v>0.554116994090606</v>
      </c>
      <c r="ET60" s="742">
        <v>1</v>
      </c>
      <c r="EU60" s="742">
        <v>1</v>
      </c>
      <c r="EV60" s="742">
        <v>0.999999999999999</v>
      </c>
      <c r="EW60" s="742">
        <v>0.55411697288719497</v>
      </c>
      <c r="EX60" s="742">
        <v>1</v>
      </c>
      <c r="EY60" s="742">
        <v>1</v>
      </c>
      <c r="EZ60" s="742">
        <v>1</v>
      </c>
      <c r="FA60" s="742">
        <v>0.55411689746330905</v>
      </c>
      <c r="FB60" s="742">
        <v>1</v>
      </c>
      <c r="FC60" s="742">
        <v>1</v>
      </c>
      <c r="FD60" s="742">
        <v>0.999999999999999</v>
      </c>
      <c r="FE60" s="742">
        <v>0.99999999998798195</v>
      </c>
      <c r="FF60" s="742">
        <v>1</v>
      </c>
      <c r="FG60" s="742">
        <v>1</v>
      </c>
      <c r="FH60" s="742">
        <v>1</v>
      </c>
    </row>
    <row r="61" spans="1:164" ht="12.75" customHeight="1" x14ac:dyDescent="0.2">
      <c r="A61" s="489"/>
      <c r="B61" s="489"/>
      <c r="C61" s="489"/>
      <c r="D61" s="489"/>
      <c r="E61" s="489"/>
      <c r="F61" s="744"/>
      <c r="G61" s="745"/>
      <c r="H61" s="506"/>
      <c r="I61" s="750">
        <v>3434115.1715951599</v>
      </c>
      <c r="J61" s="742">
        <v>0.57823158009687203</v>
      </c>
      <c r="K61" s="742">
        <v>1</v>
      </c>
      <c r="L61" s="742">
        <v>1</v>
      </c>
      <c r="M61" s="742">
        <v>1</v>
      </c>
      <c r="N61" s="742">
        <v>1</v>
      </c>
      <c r="O61" s="742">
        <v>1</v>
      </c>
      <c r="P61" s="742">
        <v>1</v>
      </c>
      <c r="Q61" s="742">
        <v>1</v>
      </c>
      <c r="R61" s="742">
        <v>1</v>
      </c>
      <c r="S61" s="742">
        <v>1</v>
      </c>
      <c r="T61" s="742">
        <v>1</v>
      </c>
      <c r="U61" s="742">
        <v>1</v>
      </c>
      <c r="V61" s="742">
        <v>1</v>
      </c>
      <c r="W61" s="742">
        <v>1</v>
      </c>
      <c r="X61" s="742">
        <v>1</v>
      </c>
      <c r="Y61" s="742">
        <v>0.63847874752647105</v>
      </c>
      <c r="Z61" s="742">
        <v>1</v>
      </c>
      <c r="AA61" s="742">
        <v>1</v>
      </c>
      <c r="AB61" s="742">
        <v>1</v>
      </c>
      <c r="AC61" s="742">
        <v>1</v>
      </c>
      <c r="AD61" s="742">
        <v>1</v>
      </c>
      <c r="AE61" s="742">
        <v>1</v>
      </c>
      <c r="AF61" s="742">
        <v>1</v>
      </c>
      <c r="AG61" s="742">
        <v>1</v>
      </c>
      <c r="AH61" s="742">
        <v>1</v>
      </c>
      <c r="AI61" s="742">
        <v>1</v>
      </c>
      <c r="AJ61" s="742">
        <v>1</v>
      </c>
      <c r="AK61" s="742">
        <v>0.63975066895779098</v>
      </c>
      <c r="AL61" s="742">
        <v>1</v>
      </c>
      <c r="AM61" s="742">
        <v>0.999999999999999</v>
      </c>
      <c r="AN61" s="742">
        <v>1</v>
      </c>
      <c r="AO61" s="742">
        <v>1</v>
      </c>
      <c r="AP61" s="742">
        <v>1</v>
      </c>
      <c r="AQ61" s="742">
        <v>1</v>
      </c>
      <c r="AR61" s="742">
        <v>1</v>
      </c>
      <c r="AS61" s="742">
        <v>1</v>
      </c>
      <c r="AT61" s="742">
        <v>1</v>
      </c>
      <c r="AU61" s="742">
        <v>1</v>
      </c>
      <c r="AV61" s="742">
        <v>1</v>
      </c>
      <c r="AW61" s="742">
        <v>1</v>
      </c>
      <c r="AX61" s="742">
        <v>1</v>
      </c>
      <c r="AY61" s="742">
        <v>1</v>
      </c>
      <c r="AZ61" s="742">
        <v>1</v>
      </c>
      <c r="BA61" s="742">
        <v>0.56337296843978002</v>
      </c>
      <c r="BB61" s="742">
        <v>1</v>
      </c>
      <c r="BC61" s="742">
        <v>1</v>
      </c>
      <c r="BD61" s="742">
        <v>1</v>
      </c>
      <c r="BE61" s="742">
        <v>1</v>
      </c>
      <c r="BF61" s="742">
        <v>1</v>
      </c>
      <c r="BG61" s="742">
        <v>1</v>
      </c>
      <c r="BH61" s="742">
        <v>0.999999999999998</v>
      </c>
      <c r="BI61" s="742">
        <v>1</v>
      </c>
      <c r="BJ61" s="742">
        <v>1</v>
      </c>
      <c r="BK61" s="742">
        <v>1</v>
      </c>
      <c r="BL61" s="742">
        <v>0.999999999999997</v>
      </c>
      <c r="BM61" s="742">
        <v>1</v>
      </c>
      <c r="BN61" s="742">
        <v>1</v>
      </c>
      <c r="BO61" s="742">
        <v>1</v>
      </c>
      <c r="BP61" s="742">
        <v>0.56309643623873595</v>
      </c>
      <c r="BQ61" s="742">
        <v>1</v>
      </c>
      <c r="BR61" s="742">
        <v>1</v>
      </c>
      <c r="BS61" s="742">
        <v>1</v>
      </c>
      <c r="BT61" s="742">
        <v>0.999999999999999</v>
      </c>
      <c r="BU61" s="742">
        <v>1</v>
      </c>
      <c r="BV61" s="742">
        <v>1</v>
      </c>
      <c r="BW61" s="742">
        <v>1</v>
      </c>
      <c r="BX61" s="742">
        <v>0.999999999999997</v>
      </c>
      <c r="BY61" s="742">
        <v>1</v>
      </c>
      <c r="BZ61" s="742">
        <v>1</v>
      </c>
      <c r="CA61" s="742">
        <v>1</v>
      </c>
      <c r="CB61" s="742">
        <v>0.56309649460503297</v>
      </c>
      <c r="CC61" s="742">
        <v>1</v>
      </c>
      <c r="CD61" s="742">
        <v>1</v>
      </c>
      <c r="CE61" s="742">
        <v>1</v>
      </c>
      <c r="CF61" s="742">
        <v>0.999999999999996</v>
      </c>
      <c r="CG61" s="742">
        <v>1</v>
      </c>
      <c r="CH61" s="742">
        <v>1</v>
      </c>
      <c r="CI61" s="742">
        <v>1</v>
      </c>
      <c r="CJ61" s="742">
        <v>0.999999999999996</v>
      </c>
      <c r="CK61" s="742">
        <v>1</v>
      </c>
      <c r="CL61" s="742">
        <v>1</v>
      </c>
      <c r="CM61" s="742">
        <v>1</v>
      </c>
      <c r="CN61" s="742">
        <v>0.999999999999996</v>
      </c>
      <c r="CO61" s="742">
        <v>1</v>
      </c>
      <c r="CP61" s="742">
        <v>1</v>
      </c>
      <c r="CQ61" s="742">
        <v>1</v>
      </c>
      <c r="CR61" s="742">
        <v>0.56303669195327</v>
      </c>
      <c r="CS61" s="742">
        <v>1</v>
      </c>
      <c r="CT61" s="742">
        <v>1</v>
      </c>
      <c r="CU61" s="742">
        <v>1</v>
      </c>
      <c r="CV61" s="742">
        <v>1</v>
      </c>
      <c r="CW61" s="742">
        <v>1</v>
      </c>
      <c r="CX61" s="742">
        <v>1</v>
      </c>
      <c r="CY61" s="742">
        <v>0.56303684335873205</v>
      </c>
      <c r="CZ61" s="742">
        <v>1</v>
      </c>
      <c r="DA61" s="742">
        <v>1</v>
      </c>
      <c r="DB61" s="742">
        <v>1</v>
      </c>
      <c r="DC61" s="742">
        <v>0.563036306845628</v>
      </c>
      <c r="DD61" s="742">
        <v>1</v>
      </c>
      <c r="DE61" s="742">
        <v>1</v>
      </c>
      <c r="DF61" s="742">
        <v>1</v>
      </c>
      <c r="DG61" s="742">
        <v>0.56303623301566097</v>
      </c>
      <c r="DH61" s="742">
        <v>1</v>
      </c>
      <c r="DI61" s="742">
        <v>1</v>
      </c>
      <c r="DJ61" s="742">
        <v>1</v>
      </c>
      <c r="DK61" s="742">
        <v>0.99999999999981903</v>
      </c>
      <c r="DL61" s="742">
        <v>1</v>
      </c>
      <c r="DM61" s="742">
        <v>1</v>
      </c>
      <c r="DN61" s="742">
        <v>1</v>
      </c>
      <c r="DO61" s="742">
        <v>0.56303669158674596</v>
      </c>
      <c r="DP61" s="742">
        <v>1</v>
      </c>
      <c r="DQ61" s="742">
        <v>1</v>
      </c>
      <c r="DR61" s="742">
        <v>1</v>
      </c>
      <c r="DS61" s="742">
        <v>1</v>
      </c>
      <c r="DT61" s="742">
        <v>1</v>
      </c>
      <c r="DU61" s="742">
        <v>1</v>
      </c>
      <c r="DV61" s="742">
        <v>0.56303562722491396</v>
      </c>
      <c r="DW61" s="742">
        <v>1</v>
      </c>
      <c r="DX61" s="742">
        <v>1</v>
      </c>
      <c r="DY61" s="742">
        <v>1</v>
      </c>
      <c r="DZ61" s="742">
        <v>0.56303532631890296</v>
      </c>
      <c r="EA61" s="742">
        <v>1</v>
      </c>
      <c r="EB61" s="742">
        <v>1</v>
      </c>
      <c r="EC61" s="742">
        <v>1</v>
      </c>
      <c r="ED61" s="742">
        <v>0.56303525241996499</v>
      </c>
      <c r="EE61" s="742">
        <v>1</v>
      </c>
      <c r="EF61" s="742">
        <v>1</v>
      </c>
      <c r="EG61" s="742">
        <v>1</v>
      </c>
      <c r="EH61" s="742">
        <v>0.99999999999994804</v>
      </c>
      <c r="EI61" s="742">
        <v>1</v>
      </c>
      <c r="EJ61" s="742">
        <v>1</v>
      </c>
      <c r="EK61" s="742">
        <v>1</v>
      </c>
      <c r="EL61" s="742">
        <v>0.563034941946148</v>
      </c>
      <c r="EM61" s="742">
        <v>1</v>
      </c>
      <c r="EN61" s="742">
        <v>1</v>
      </c>
      <c r="EO61" s="742">
        <v>1</v>
      </c>
      <c r="EP61" s="742">
        <v>1</v>
      </c>
      <c r="EQ61" s="742">
        <v>1</v>
      </c>
      <c r="ER61" s="742">
        <v>1</v>
      </c>
      <c r="ES61" s="742">
        <v>0.56303025464475798</v>
      </c>
      <c r="ET61" s="742">
        <v>1</v>
      </c>
      <c r="EU61" s="742">
        <v>1</v>
      </c>
      <c r="EV61" s="742">
        <v>1</v>
      </c>
      <c r="EW61" s="742">
        <v>0.56303023386520601</v>
      </c>
      <c r="EX61" s="742">
        <v>1</v>
      </c>
      <c r="EY61" s="742">
        <v>1</v>
      </c>
      <c r="EZ61" s="742">
        <v>1</v>
      </c>
      <c r="FA61" s="742">
        <v>0.56303015994905403</v>
      </c>
      <c r="FB61" s="742">
        <v>1</v>
      </c>
      <c r="FC61" s="742">
        <v>1</v>
      </c>
      <c r="FD61" s="742">
        <v>1</v>
      </c>
      <c r="FE61" s="742">
        <v>0.99999999998822198</v>
      </c>
      <c r="FF61" s="742">
        <v>1</v>
      </c>
      <c r="FG61" s="742">
        <v>1</v>
      </c>
      <c r="FH61" s="742">
        <v>1</v>
      </c>
    </row>
    <row r="62" spans="1:164" ht="12.75" customHeight="1" x14ac:dyDescent="0.2">
      <c r="A62" s="489"/>
      <c r="B62" s="489"/>
      <c r="C62" s="489"/>
      <c r="D62" s="489"/>
      <c r="E62" s="489"/>
      <c r="F62" s="744"/>
      <c r="G62" s="745"/>
      <c r="H62" s="506"/>
      <c r="I62" s="750">
        <v>3517874.0782194301</v>
      </c>
      <c r="J62" s="742">
        <v>0.58666278693682306</v>
      </c>
      <c r="K62" s="742">
        <v>1</v>
      </c>
      <c r="L62" s="742">
        <v>1</v>
      </c>
      <c r="M62" s="742">
        <v>1</v>
      </c>
      <c r="N62" s="742">
        <v>1</v>
      </c>
      <c r="O62" s="742">
        <v>1</v>
      </c>
      <c r="P62" s="742">
        <v>1</v>
      </c>
      <c r="Q62" s="742">
        <v>1</v>
      </c>
      <c r="R62" s="742">
        <v>1</v>
      </c>
      <c r="S62" s="742">
        <v>1</v>
      </c>
      <c r="T62" s="742">
        <v>1</v>
      </c>
      <c r="U62" s="742">
        <v>1</v>
      </c>
      <c r="V62" s="742">
        <v>1</v>
      </c>
      <c r="W62" s="742">
        <v>1</v>
      </c>
      <c r="X62" s="742">
        <v>1</v>
      </c>
      <c r="Y62" s="742">
        <v>0.64570560541594102</v>
      </c>
      <c r="Z62" s="742">
        <v>1</v>
      </c>
      <c r="AA62" s="742">
        <v>1</v>
      </c>
      <c r="AB62" s="742">
        <v>1</v>
      </c>
      <c r="AC62" s="742">
        <v>1</v>
      </c>
      <c r="AD62" s="742">
        <v>1</v>
      </c>
      <c r="AE62" s="742">
        <v>1</v>
      </c>
      <c r="AF62" s="742">
        <v>1</v>
      </c>
      <c r="AG62" s="742">
        <v>1</v>
      </c>
      <c r="AH62" s="742">
        <v>1</v>
      </c>
      <c r="AI62" s="742">
        <v>1</v>
      </c>
      <c r="AJ62" s="742">
        <v>1</v>
      </c>
      <c r="AK62" s="742">
        <v>0.64695210096878797</v>
      </c>
      <c r="AL62" s="742">
        <v>1</v>
      </c>
      <c r="AM62" s="742">
        <v>0.999999999999999</v>
      </c>
      <c r="AN62" s="742">
        <v>1</v>
      </c>
      <c r="AO62" s="742">
        <v>1</v>
      </c>
      <c r="AP62" s="742">
        <v>1</v>
      </c>
      <c r="AQ62" s="742">
        <v>1</v>
      </c>
      <c r="AR62" s="742">
        <v>1</v>
      </c>
      <c r="AS62" s="742">
        <v>1</v>
      </c>
      <c r="AT62" s="742">
        <v>1</v>
      </c>
      <c r="AU62" s="742">
        <v>1</v>
      </c>
      <c r="AV62" s="742">
        <v>1</v>
      </c>
      <c r="AW62" s="742">
        <v>1</v>
      </c>
      <c r="AX62" s="742">
        <v>1</v>
      </c>
      <c r="AY62" s="742">
        <v>1</v>
      </c>
      <c r="AZ62" s="742">
        <v>1</v>
      </c>
      <c r="BA62" s="742">
        <v>0.57210120090407302</v>
      </c>
      <c r="BB62" s="742">
        <v>1</v>
      </c>
      <c r="BC62" s="742">
        <v>1</v>
      </c>
      <c r="BD62" s="742">
        <v>1</v>
      </c>
      <c r="BE62" s="742">
        <v>1</v>
      </c>
      <c r="BF62" s="742">
        <v>1</v>
      </c>
      <c r="BG62" s="742">
        <v>1</v>
      </c>
      <c r="BH62" s="742">
        <v>0.999999999999998</v>
      </c>
      <c r="BI62" s="742">
        <v>1</v>
      </c>
      <c r="BJ62" s="742">
        <v>1</v>
      </c>
      <c r="BK62" s="742">
        <v>1</v>
      </c>
      <c r="BL62" s="742">
        <v>0.999999999999996</v>
      </c>
      <c r="BM62" s="742">
        <v>1</v>
      </c>
      <c r="BN62" s="742">
        <v>1</v>
      </c>
      <c r="BO62" s="742">
        <v>1</v>
      </c>
      <c r="BP62" s="742">
        <v>0.57183019655047995</v>
      </c>
      <c r="BQ62" s="742">
        <v>1</v>
      </c>
      <c r="BR62" s="742">
        <v>1</v>
      </c>
      <c r="BS62" s="742">
        <v>1</v>
      </c>
      <c r="BT62" s="742">
        <v>0.999999999999999</v>
      </c>
      <c r="BU62" s="742">
        <v>1</v>
      </c>
      <c r="BV62" s="742">
        <v>1</v>
      </c>
      <c r="BW62" s="742">
        <v>1</v>
      </c>
      <c r="BX62" s="742">
        <v>0.999999999999996</v>
      </c>
      <c r="BY62" s="742">
        <v>1</v>
      </c>
      <c r="BZ62" s="742">
        <v>1</v>
      </c>
      <c r="CA62" s="742">
        <v>1</v>
      </c>
      <c r="CB62" s="742">
        <v>0.57183025375002605</v>
      </c>
      <c r="CC62" s="742">
        <v>1</v>
      </c>
      <c r="CD62" s="742">
        <v>1</v>
      </c>
      <c r="CE62" s="742">
        <v>1</v>
      </c>
      <c r="CF62" s="742">
        <v>0.999999999999995</v>
      </c>
      <c r="CG62" s="742">
        <v>1</v>
      </c>
      <c r="CH62" s="742">
        <v>1</v>
      </c>
      <c r="CI62" s="742">
        <v>1</v>
      </c>
      <c r="CJ62" s="742">
        <v>0.999999999999996</v>
      </c>
      <c r="CK62" s="742">
        <v>1</v>
      </c>
      <c r="CL62" s="742">
        <v>1</v>
      </c>
      <c r="CM62" s="742">
        <v>1</v>
      </c>
      <c r="CN62" s="742">
        <v>0.999999999999996</v>
      </c>
      <c r="CO62" s="742">
        <v>1</v>
      </c>
      <c r="CP62" s="742">
        <v>1</v>
      </c>
      <c r="CQ62" s="742">
        <v>1</v>
      </c>
      <c r="CR62" s="742">
        <v>0.57177164663370605</v>
      </c>
      <c r="CS62" s="742">
        <v>1</v>
      </c>
      <c r="CT62" s="742">
        <v>1</v>
      </c>
      <c r="CU62" s="742">
        <v>1</v>
      </c>
      <c r="CV62" s="742">
        <v>1</v>
      </c>
      <c r="CW62" s="742">
        <v>1</v>
      </c>
      <c r="CX62" s="742">
        <v>1</v>
      </c>
      <c r="CY62" s="742">
        <v>0.57177179494006802</v>
      </c>
      <c r="CZ62" s="742">
        <v>1</v>
      </c>
      <c r="DA62" s="742">
        <v>1</v>
      </c>
      <c r="DB62" s="742">
        <v>1</v>
      </c>
      <c r="DC62" s="742">
        <v>0.57177126915193199</v>
      </c>
      <c r="DD62" s="742">
        <v>1</v>
      </c>
      <c r="DE62" s="742">
        <v>1</v>
      </c>
      <c r="DF62" s="742">
        <v>1</v>
      </c>
      <c r="DG62" s="742">
        <v>0.57177119679783694</v>
      </c>
      <c r="DH62" s="742">
        <v>1</v>
      </c>
      <c r="DI62" s="742">
        <v>1</v>
      </c>
      <c r="DJ62" s="742">
        <v>1</v>
      </c>
      <c r="DK62" s="742">
        <v>0.99999999999982203</v>
      </c>
      <c r="DL62" s="742">
        <v>1</v>
      </c>
      <c r="DM62" s="742">
        <v>1</v>
      </c>
      <c r="DN62" s="742">
        <v>1</v>
      </c>
      <c r="DO62" s="742">
        <v>0.57177164569614303</v>
      </c>
      <c r="DP62" s="742">
        <v>1</v>
      </c>
      <c r="DQ62" s="742">
        <v>1</v>
      </c>
      <c r="DR62" s="742">
        <v>1</v>
      </c>
      <c r="DS62" s="742">
        <v>1</v>
      </c>
      <c r="DT62" s="742">
        <v>1</v>
      </c>
      <c r="DU62" s="742">
        <v>1</v>
      </c>
      <c r="DV62" s="742">
        <v>0.57177060311692696</v>
      </c>
      <c r="DW62" s="742">
        <v>1</v>
      </c>
      <c r="DX62" s="742">
        <v>1</v>
      </c>
      <c r="DY62" s="742">
        <v>1</v>
      </c>
      <c r="DZ62" s="742">
        <v>0.571770308226068</v>
      </c>
      <c r="EA62" s="742">
        <v>1</v>
      </c>
      <c r="EB62" s="742">
        <v>1</v>
      </c>
      <c r="EC62" s="742">
        <v>1</v>
      </c>
      <c r="ED62" s="742">
        <v>0.57177023580437902</v>
      </c>
      <c r="EE62" s="742">
        <v>1</v>
      </c>
      <c r="EF62" s="742">
        <v>1</v>
      </c>
      <c r="EG62" s="742">
        <v>1</v>
      </c>
      <c r="EH62" s="742">
        <v>0.99999999999994904</v>
      </c>
      <c r="EI62" s="742">
        <v>1</v>
      </c>
      <c r="EJ62" s="742">
        <v>1</v>
      </c>
      <c r="EK62" s="742">
        <v>1</v>
      </c>
      <c r="EL62" s="742">
        <v>0.57176993153733402</v>
      </c>
      <c r="EM62" s="742">
        <v>1</v>
      </c>
      <c r="EN62" s="742">
        <v>1</v>
      </c>
      <c r="EO62" s="742">
        <v>1</v>
      </c>
      <c r="EP62" s="742">
        <v>1</v>
      </c>
      <c r="EQ62" s="742">
        <v>1</v>
      </c>
      <c r="ER62" s="742">
        <v>1</v>
      </c>
      <c r="ES62" s="742">
        <v>0.57176533793536299</v>
      </c>
      <c r="ET62" s="742">
        <v>1</v>
      </c>
      <c r="EU62" s="742">
        <v>1</v>
      </c>
      <c r="EV62" s="742">
        <v>1</v>
      </c>
      <c r="EW62" s="742">
        <v>0.57176531757119697</v>
      </c>
      <c r="EX62" s="742">
        <v>1</v>
      </c>
      <c r="EY62" s="742">
        <v>1</v>
      </c>
      <c r="EZ62" s="742">
        <v>1</v>
      </c>
      <c r="FA62" s="742">
        <v>0.57176524513263904</v>
      </c>
      <c r="FB62" s="742">
        <v>1</v>
      </c>
      <c r="FC62" s="742">
        <v>1</v>
      </c>
      <c r="FD62" s="742">
        <v>0.999999999999999</v>
      </c>
      <c r="FE62" s="742">
        <v>0.99999999998845701</v>
      </c>
      <c r="FF62" s="742">
        <v>1</v>
      </c>
      <c r="FG62" s="742">
        <v>1</v>
      </c>
      <c r="FH62" s="742">
        <v>1</v>
      </c>
    </row>
    <row r="63" spans="1:164" ht="12.75" customHeight="1" x14ac:dyDescent="0.2">
      <c r="A63" s="489"/>
      <c r="B63" s="489"/>
      <c r="C63" s="489"/>
      <c r="D63" s="489"/>
      <c r="E63" s="489"/>
      <c r="F63" s="744"/>
      <c r="G63" s="745"/>
      <c r="H63" s="506"/>
      <c r="I63" s="750">
        <v>3601632.98484371</v>
      </c>
      <c r="J63" s="742">
        <v>0.59492545361621096</v>
      </c>
      <c r="K63" s="742">
        <v>1</v>
      </c>
      <c r="L63" s="742">
        <v>1</v>
      </c>
      <c r="M63" s="742">
        <v>1</v>
      </c>
      <c r="N63" s="742">
        <v>1</v>
      </c>
      <c r="O63" s="742">
        <v>1</v>
      </c>
      <c r="P63" s="742">
        <v>1</v>
      </c>
      <c r="Q63" s="742">
        <v>1</v>
      </c>
      <c r="R63" s="742">
        <v>1</v>
      </c>
      <c r="S63" s="742">
        <v>1</v>
      </c>
      <c r="T63" s="742">
        <v>1</v>
      </c>
      <c r="U63" s="742">
        <v>1</v>
      </c>
      <c r="V63" s="742">
        <v>1</v>
      </c>
      <c r="W63" s="742">
        <v>1</v>
      </c>
      <c r="X63" s="742">
        <v>1</v>
      </c>
      <c r="Y63" s="742">
        <v>0.65278799745563998</v>
      </c>
      <c r="Z63" s="742">
        <v>1</v>
      </c>
      <c r="AA63" s="742">
        <v>1</v>
      </c>
      <c r="AB63" s="742">
        <v>1</v>
      </c>
      <c r="AC63" s="742">
        <v>1</v>
      </c>
      <c r="AD63" s="742">
        <v>1</v>
      </c>
      <c r="AE63" s="742">
        <v>1</v>
      </c>
      <c r="AF63" s="742">
        <v>1</v>
      </c>
      <c r="AG63" s="742">
        <v>1</v>
      </c>
      <c r="AH63" s="742">
        <v>1</v>
      </c>
      <c r="AI63" s="742">
        <v>1</v>
      </c>
      <c r="AJ63" s="742">
        <v>1</v>
      </c>
      <c r="AK63" s="742">
        <v>0.65400957539670401</v>
      </c>
      <c r="AL63" s="742">
        <v>1</v>
      </c>
      <c r="AM63" s="742">
        <v>1</v>
      </c>
      <c r="AN63" s="742">
        <v>1</v>
      </c>
      <c r="AO63" s="742">
        <v>1</v>
      </c>
      <c r="AP63" s="742">
        <v>1</v>
      </c>
      <c r="AQ63" s="742">
        <v>1</v>
      </c>
      <c r="AR63" s="742">
        <v>1</v>
      </c>
      <c r="AS63" s="742">
        <v>1</v>
      </c>
      <c r="AT63" s="742">
        <v>1</v>
      </c>
      <c r="AU63" s="742">
        <v>1</v>
      </c>
      <c r="AV63" s="742">
        <v>1</v>
      </c>
      <c r="AW63" s="742">
        <v>1</v>
      </c>
      <c r="AX63" s="742">
        <v>1</v>
      </c>
      <c r="AY63" s="742">
        <v>1</v>
      </c>
      <c r="AZ63" s="742">
        <v>1</v>
      </c>
      <c r="BA63" s="742">
        <v>0.58065495565413905</v>
      </c>
      <c r="BB63" s="742">
        <v>1</v>
      </c>
      <c r="BC63" s="742">
        <v>1</v>
      </c>
      <c r="BD63" s="742">
        <v>1</v>
      </c>
      <c r="BE63" s="742">
        <v>1</v>
      </c>
      <c r="BF63" s="742">
        <v>1</v>
      </c>
      <c r="BG63" s="742">
        <v>1</v>
      </c>
      <c r="BH63" s="742">
        <v>0.999999999999998</v>
      </c>
      <c r="BI63" s="742">
        <v>1</v>
      </c>
      <c r="BJ63" s="742">
        <v>1</v>
      </c>
      <c r="BK63" s="742">
        <v>1</v>
      </c>
      <c r="BL63" s="742">
        <v>0.999999999999997</v>
      </c>
      <c r="BM63" s="742">
        <v>1</v>
      </c>
      <c r="BN63" s="742">
        <v>1</v>
      </c>
      <c r="BO63" s="742">
        <v>1</v>
      </c>
      <c r="BP63" s="742">
        <v>0.58038936783274298</v>
      </c>
      <c r="BQ63" s="742">
        <v>1</v>
      </c>
      <c r="BR63" s="742">
        <v>1</v>
      </c>
      <c r="BS63" s="742">
        <v>1</v>
      </c>
      <c r="BT63" s="742">
        <v>0.999999999999999</v>
      </c>
      <c r="BU63" s="742">
        <v>1</v>
      </c>
      <c r="BV63" s="742">
        <v>1</v>
      </c>
      <c r="BW63" s="742">
        <v>1</v>
      </c>
      <c r="BX63" s="742">
        <v>0.999999999999997</v>
      </c>
      <c r="BY63" s="742">
        <v>1</v>
      </c>
      <c r="BZ63" s="742">
        <v>1</v>
      </c>
      <c r="CA63" s="742">
        <v>1</v>
      </c>
      <c r="CB63" s="742">
        <v>0.58038942388886205</v>
      </c>
      <c r="CC63" s="742">
        <v>1</v>
      </c>
      <c r="CD63" s="742">
        <v>1</v>
      </c>
      <c r="CE63" s="742">
        <v>1</v>
      </c>
      <c r="CF63" s="742">
        <v>0.999999999999996</v>
      </c>
      <c r="CG63" s="742">
        <v>1</v>
      </c>
      <c r="CH63" s="742">
        <v>1</v>
      </c>
      <c r="CI63" s="742">
        <v>1</v>
      </c>
      <c r="CJ63" s="742">
        <v>0.999999999999996</v>
      </c>
      <c r="CK63" s="742">
        <v>1</v>
      </c>
      <c r="CL63" s="742">
        <v>1</v>
      </c>
      <c r="CM63" s="742">
        <v>1</v>
      </c>
      <c r="CN63" s="742">
        <v>0.999999999999996</v>
      </c>
      <c r="CO63" s="742">
        <v>1</v>
      </c>
      <c r="CP63" s="742">
        <v>1</v>
      </c>
      <c r="CQ63" s="742">
        <v>1</v>
      </c>
      <c r="CR63" s="742">
        <v>0.58033198927547403</v>
      </c>
      <c r="CS63" s="742">
        <v>1</v>
      </c>
      <c r="CT63" s="742">
        <v>1</v>
      </c>
      <c r="CU63" s="742">
        <v>1</v>
      </c>
      <c r="CV63" s="742">
        <v>1</v>
      </c>
      <c r="CW63" s="742">
        <v>1</v>
      </c>
      <c r="CX63" s="742">
        <v>1</v>
      </c>
      <c r="CY63" s="742">
        <v>0.58033213367828496</v>
      </c>
      <c r="CZ63" s="742">
        <v>1</v>
      </c>
      <c r="DA63" s="742">
        <v>1</v>
      </c>
      <c r="DB63" s="742">
        <v>1</v>
      </c>
      <c r="DC63" s="742">
        <v>0.580331618400724</v>
      </c>
      <c r="DD63" s="742">
        <v>1</v>
      </c>
      <c r="DE63" s="742">
        <v>1</v>
      </c>
      <c r="DF63" s="742">
        <v>1</v>
      </c>
      <c r="DG63" s="742">
        <v>0.58033154749299598</v>
      </c>
      <c r="DH63" s="742">
        <v>1</v>
      </c>
      <c r="DI63" s="742">
        <v>1</v>
      </c>
      <c r="DJ63" s="742">
        <v>1</v>
      </c>
      <c r="DK63" s="742">
        <v>0.99999999999982603</v>
      </c>
      <c r="DL63" s="742">
        <v>1</v>
      </c>
      <c r="DM63" s="742">
        <v>1</v>
      </c>
      <c r="DN63" s="742">
        <v>1</v>
      </c>
      <c r="DO63" s="742">
        <v>0.58033198229101302</v>
      </c>
      <c r="DP63" s="742">
        <v>1</v>
      </c>
      <c r="DQ63" s="742">
        <v>1</v>
      </c>
      <c r="DR63" s="742">
        <v>1</v>
      </c>
      <c r="DS63" s="742">
        <v>1</v>
      </c>
      <c r="DT63" s="742">
        <v>1</v>
      </c>
      <c r="DU63" s="742">
        <v>1</v>
      </c>
      <c r="DV63" s="742">
        <v>0.58033096567984699</v>
      </c>
      <c r="DW63" s="742">
        <v>1</v>
      </c>
      <c r="DX63" s="742">
        <v>1</v>
      </c>
      <c r="DY63" s="742">
        <v>1</v>
      </c>
      <c r="DZ63" s="742">
        <v>0.58033067668389604</v>
      </c>
      <c r="EA63" s="742">
        <v>1</v>
      </c>
      <c r="EB63" s="742">
        <v>1</v>
      </c>
      <c r="EC63" s="742">
        <v>1</v>
      </c>
      <c r="ED63" s="742">
        <v>0.58033060570992601</v>
      </c>
      <c r="EE63" s="742">
        <v>1</v>
      </c>
      <c r="EF63" s="742">
        <v>1</v>
      </c>
      <c r="EG63" s="742">
        <v>1</v>
      </c>
      <c r="EH63" s="742">
        <v>0.99999999999995004</v>
      </c>
      <c r="EI63" s="742">
        <v>1</v>
      </c>
      <c r="EJ63" s="742">
        <v>1</v>
      </c>
      <c r="EK63" s="742">
        <v>1</v>
      </c>
      <c r="EL63" s="742">
        <v>0.58033030753058001</v>
      </c>
      <c r="EM63" s="742">
        <v>1</v>
      </c>
      <c r="EN63" s="742">
        <v>1</v>
      </c>
      <c r="EO63" s="742">
        <v>1</v>
      </c>
      <c r="EP63" s="742">
        <v>1</v>
      </c>
      <c r="EQ63" s="742">
        <v>1</v>
      </c>
      <c r="ER63" s="742">
        <v>1</v>
      </c>
      <c r="ES63" s="742">
        <v>0.58032580574996095</v>
      </c>
      <c r="ET63" s="742">
        <v>1</v>
      </c>
      <c r="EU63" s="742">
        <v>1</v>
      </c>
      <c r="EV63" s="742">
        <v>1</v>
      </c>
      <c r="EW63" s="742">
        <v>0.58032578579287797</v>
      </c>
      <c r="EX63" s="742">
        <v>1</v>
      </c>
      <c r="EY63" s="742">
        <v>1</v>
      </c>
      <c r="EZ63" s="742">
        <v>1</v>
      </c>
      <c r="FA63" s="742">
        <v>0.58032571480237605</v>
      </c>
      <c r="FB63" s="742">
        <v>1</v>
      </c>
      <c r="FC63" s="742">
        <v>1</v>
      </c>
      <c r="FD63" s="742">
        <v>0.999999999999999</v>
      </c>
      <c r="FE63" s="742">
        <v>0.99999999998868805</v>
      </c>
      <c r="FF63" s="742">
        <v>1</v>
      </c>
      <c r="FG63" s="742">
        <v>1</v>
      </c>
      <c r="FH63" s="742">
        <v>1</v>
      </c>
    </row>
    <row r="64" spans="1:164" ht="12.75" customHeight="1" x14ac:dyDescent="0.2">
      <c r="A64" s="489"/>
      <c r="B64" s="489"/>
      <c r="C64" s="489"/>
      <c r="D64" s="489"/>
      <c r="E64" s="489"/>
      <c r="F64" s="744"/>
      <c r="G64" s="745"/>
      <c r="H64" s="506"/>
      <c r="I64" s="750">
        <v>3685391.8914679801</v>
      </c>
      <c r="J64" s="742">
        <v>0.60302294937227496</v>
      </c>
      <c r="K64" s="742">
        <v>1</v>
      </c>
      <c r="L64" s="742">
        <v>1</v>
      </c>
      <c r="M64" s="742">
        <v>1</v>
      </c>
      <c r="N64" s="742">
        <v>1</v>
      </c>
      <c r="O64" s="742">
        <v>1</v>
      </c>
      <c r="P64" s="742">
        <v>1</v>
      </c>
      <c r="Q64" s="742">
        <v>1</v>
      </c>
      <c r="R64" s="742">
        <v>1</v>
      </c>
      <c r="S64" s="742">
        <v>1</v>
      </c>
      <c r="T64" s="742">
        <v>1</v>
      </c>
      <c r="U64" s="742">
        <v>1</v>
      </c>
      <c r="V64" s="742">
        <v>1</v>
      </c>
      <c r="W64" s="742">
        <v>1</v>
      </c>
      <c r="X64" s="742">
        <v>1</v>
      </c>
      <c r="Y64" s="742">
        <v>0.65972881153753504</v>
      </c>
      <c r="Z64" s="742">
        <v>1</v>
      </c>
      <c r="AA64" s="742">
        <v>1</v>
      </c>
      <c r="AB64" s="742">
        <v>1</v>
      </c>
      <c r="AC64" s="742">
        <v>1</v>
      </c>
      <c r="AD64" s="742">
        <v>1</v>
      </c>
      <c r="AE64" s="742">
        <v>1</v>
      </c>
      <c r="AF64" s="742">
        <v>1</v>
      </c>
      <c r="AG64" s="742">
        <v>1</v>
      </c>
      <c r="AH64" s="742">
        <v>1</v>
      </c>
      <c r="AI64" s="742">
        <v>1</v>
      </c>
      <c r="AJ64" s="742">
        <v>1</v>
      </c>
      <c r="AK64" s="742">
        <v>0.66092596997318698</v>
      </c>
      <c r="AL64" s="742">
        <v>1</v>
      </c>
      <c r="AM64" s="742">
        <v>0.999999999999999</v>
      </c>
      <c r="AN64" s="742">
        <v>1</v>
      </c>
      <c r="AO64" s="742">
        <v>1</v>
      </c>
      <c r="AP64" s="742">
        <v>1</v>
      </c>
      <c r="AQ64" s="742">
        <v>1</v>
      </c>
      <c r="AR64" s="742">
        <v>1</v>
      </c>
      <c r="AS64" s="742">
        <v>1</v>
      </c>
      <c r="AT64" s="742">
        <v>1</v>
      </c>
      <c r="AU64" s="742">
        <v>1</v>
      </c>
      <c r="AV64" s="742">
        <v>1</v>
      </c>
      <c r="AW64" s="742">
        <v>1</v>
      </c>
      <c r="AX64" s="742">
        <v>1</v>
      </c>
      <c r="AY64" s="742">
        <v>1</v>
      </c>
      <c r="AZ64" s="742">
        <v>1</v>
      </c>
      <c r="BA64" s="742">
        <v>0.58903772062316995</v>
      </c>
      <c r="BB64" s="742">
        <v>1</v>
      </c>
      <c r="BC64" s="742">
        <v>1</v>
      </c>
      <c r="BD64" s="742">
        <v>1</v>
      </c>
      <c r="BE64" s="742">
        <v>1</v>
      </c>
      <c r="BF64" s="742">
        <v>1</v>
      </c>
      <c r="BG64" s="742">
        <v>1</v>
      </c>
      <c r="BH64" s="742">
        <v>0.999999999999998</v>
      </c>
      <c r="BI64" s="742">
        <v>1</v>
      </c>
      <c r="BJ64" s="742">
        <v>1</v>
      </c>
      <c r="BK64" s="742">
        <v>1</v>
      </c>
      <c r="BL64" s="742">
        <v>0.999999999999997</v>
      </c>
      <c r="BM64" s="742">
        <v>1</v>
      </c>
      <c r="BN64" s="742">
        <v>1</v>
      </c>
      <c r="BO64" s="742">
        <v>1</v>
      </c>
      <c r="BP64" s="742">
        <v>0.58877744014394495</v>
      </c>
      <c r="BQ64" s="742">
        <v>1</v>
      </c>
      <c r="BR64" s="742">
        <v>1</v>
      </c>
      <c r="BS64" s="742">
        <v>1</v>
      </c>
      <c r="BT64" s="742">
        <v>0.999999999999998</v>
      </c>
      <c r="BU64" s="742">
        <v>1</v>
      </c>
      <c r="BV64" s="742">
        <v>1</v>
      </c>
      <c r="BW64" s="742">
        <v>1</v>
      </c>
      <c r="BX64" s="742">
        <v>0.999999999999997</v>
      </c>
      <c r="BY64" s="742">
        <v>1</v>
      </c>
      <c r="BZ64" s="742">
        <v>1</v>
      </c>
      <c r="CA64" s="742">
        <v>1</v>
      </c>
      <c r="CB64" s="742">
        <v>0.58877749507949495</v>
      </c>
      <c r="CC64" s="742">
        <v>1</v>
      </c>
      <c r="CD64" s="742">
        <v>1</v>
      </c>
      <c r="CE64" s="742">
        <v>1</v>
      </c>
      <c r="CF64" s="742">
        <v>0.999999999999996</v>
      </c>
      <c r="CG64" s="742">
        <v>1</v>
      </c>
      <c r="CH64" s="742">
        <v>1</v>
      </c>
      <c r="CI64" s="742">
        <v>1</v>
      </c>
      <c r="CJ64" s="742">
        <v>0.999999999999996</v>
      </c>
      <c r="CK64" s="742">
        <v>1</v>
      </c>
      <c r="CL64" s="742">
        <v>1</v>
      </c>
      <c r="CM64" s="742">
        <v>1</v>
      </c>
      <c r="CN64" s="742">
        <v>0.999999999999996</v>
      </c>
      <c r="CO64" s="742">
        <v>1</v>
      </c>
      <c r="CP64" s="742">
        <v>0.999999999999999</v>
      </c>
      <c r="CQ64" s="742">
        <v>1</v>
      </c>
      <c r="CR64" s="742">
        <v>0.588721210503519</v>
      </c>
      <c r="CS64" s="742">
        <v>1</v>
      </c>
      <c r="CT64" s="742">
        <v>1</v>
      </c>
      <c r="CU64" s="742">
        <v>1</v>
      </c>
      <c r="CV64" s="742">
        <v>1</v>
      </c>
      <c r="CW64" s="742">
        <v>1</v>
      </c>
      <c r="CX64" s="742">
        <v>1</v>
      </c>
      <c r="CY64" s="742">
        <v>0.58872135010784199</v>
      </c>
      <c r="CZ64" s="742">
        <v>1</v>
      </c>
      <c r="DA64" s="742">
        <v>1</v>
      </c>
      <c r="DB64" s="742">
        <v>1</v>
      </c>
      <c r="DC64" s="742">
        <v>0.58872084513074796</v>
      </c>
      <c r="DD64" s="742">
        <v>1</v>
      </c>
      <c r="DE64" s="742">
        <v>1</v>
      </c>
      <c r="DF64" s="742">
        <v>1</v>
      </c>
      <c r="DG64" s="742">
        <v>0.58872077564047498</v>
      </c>
      <c r="DH64" s="742">
        <v>1</v>
      </c>
      <c r="DI64" s="742">
        <v>1</v>
      </c>
      <c r="DJ64" s="742">
        <v>1</v>
      </c>
      <c r="DK64" s="742">
        <v>0.99999999999983002</v>
      </c>
      <c r="DL64" s="742">
        <v>1</v>
      </c>
      <c r="DM64" s="742">
        <v>1</v>
      </c>
      <c r="DN64" s="742">
        <v>1</v>
      </c>
      <c r="DO64" s="742">
        <v>0.58872121199180605</v>
      </c>
      <c r="DP64" s="742">
        <v>1</v>
      </c>
      <c r="DQ64" s="742">
        <v>1</v>
      </c>
      <c r="DR64" s="742">
        <v>1</v>
      </c>
      <c r="DS64" s="742">
        <v>1</v>
      </c>
      <c r="DT64" s="742">
        <v>1</v>
      </c>
      <c r="DU64" s="742">
        <v>1</v>
      </c>
      <c r="DV64" s="742">
        <v>0.58872020545784798</v>
      </c>
      <c r="DW64" s="742">
        <v>1</v>
      </c>
      <c r="DX64" s="742">
        <v>1</v>
      </c>
      <c r="DY64" s="742">
        <v>1</v>
      </c>
      <c r="DZ64" s="742">
        <v>0.58871992223896397</v>
      </c>
      <c r="EA64" s="742">
        <v>1</v>
      </c>
      <c r="EB64" s="742">
        <v>1</v>
      </c>
      <c r="EC64" s="742">
        <v>1</v>
      </c>
      <c r="ED64" s="742">
        <v>0.58871985268377303</v>
      </c>
      <c r="EE64" s="742">
        <v>1</v>
      </c>
      <c r="EF64" s="742">
        <v>1</v>
      </c>
      <c r="EG64" s="742">
        <v>1</v>
      </c>
      <c r="EH64" s="742">
        <v>0.99999999999995104</v>
      </c>
      <c r="EI64" s="742">
        <v>1</v>
      </c>
      <c r="EJ64" s="742">
        <v>1</v>
      </c>
      <c r="EK64" s="742">
        <v>1</v>
      </c>
      <c r="EL64" s="742">
        <v>0.58871956047587104</v>
      </c>
      <c r="EM64" s="742">
        <v>1</v>
      </c>
      <c r="EN64" s="742">
        <v>1</v>
      </c>
      <c r="EO64" s="742">
        <v>1</v>
      </c>
      <c r="EP64" s="742">
        <v>1</v>
      </c>
      <c r="EQ64" s="742">
        <v>1</v>
      </c>
      <c r="ER64" s="742">
        <v>1</v>
      </c>
      <c r="ES64" s="742">
        <v>0.588715148675648</v>
      </c>
      <c r="ET64" s="742">
        <v>1</v>
      </c>
      <c r="EU64" s="742">
        <v>1</v>
      </c>
      <c r="EV64" s="742">
        <v>1</v>
      </c>
      <c r="EW64" s="742">
        <v>0.58871512911750901</v>
      </c>
      <c r="EX64" s="742">
        <v>1</v>
      </c>
      <c r="EY64" s="742">
        <v>1</v>
      </c>
      <c r="EZ64" s="742">
        <v>1</v>
      </c>
      <c r="FA64" s="742">
        <v>0.58871505954611603</v>
      </c>
      <c r="FB64" s="742">
        <v>1</v>
      </c>
      <c r="FC64" s="742">
        <v>1</v>
      </c>
      <c r="FD64" s="742">
        <v>1</v>
      </c>
      <c r="FE64" s="742">
        <v>0.99999999998891398</v>
      </c>
      <c r="FF64" s="742">
        <v>1</v>
      </c>
      <c r="FG64" s="742">
        <v>1</v>
      </c>
      <c r="FH64" s="742">
        <v>1</v>
      </c>
    </row>
    <row r="65" spans="1:164" ht="12.75" customHeight="1" x14ac:dyDescent="0.2">
      <c r="A65" s="489"/>
      <c r="B65" s="489"/>
      <c r="C65" s="489"/>
      <c r="D65" s="489"/>
      <c r="E65" s="489"/>
      <c r="F65" s="744"/>
      <c r="G65" s="745"/>
      <c r="H65" s="506"/>
      <c r="I65" s="750">
        <v>3769150.7980922498</v>
      </c>
      <c r="J65" s="742">
        <v>0.61095858206855402</v>
      </c>
      <c r="K65" s="742">
        <v>1</v>
      </c>
      <c r="L65" s="742">
        <v>1</v>
      </c>
      <c r="M65" s="742">
        <v>1</v>
      </c>
      <c r="N65" s="742">
        <v>1</v>
      </c>
      <c r="O65" s="742">
        <v>1</v>
      </c>
      <c r="P65" s="742">
        <v>1</v>
      </c>
      <c r="Q65" s="742">
        <v>1</v>
      </c>
      <c r="R65" s="742">
        <v>1</v>
      </c>
      <c r="S65" s="742">
        <v>1</v>
      </c>
      <c r="T65" s="742">
        <v>1</v>
      </c>
      <c r="U65" s="742">
        <v>1</v>
      </c>
      <c r="V65" s="742">
        <v>1</v>
      </c>
      <c r="W65" s="742">
        <v>1</v>
      </c>
      <c r="X65" s="742">
        <v>1</v>
      </c>
      <c r="Y65" s="742">
        <v>0.666530877824143</v>
      </c>
      <c r="Z65" s="742">
        <v>1</v>
      </c>
      <c r="AA65" s="742">
        <v>1</v>
      </c>
      <c r="AB65" s="742">
        <v>1</v>
      </c>
      <c r="AC65" s="742">
        <v>1</v>
      </c>
      <c r="AD65" s="742">
        <v>1</v>
      </c>
      <c r="AE65" s="742">
        <v>1</v>
      </c>
      <c r="AF65" s="742">
        <v>1</v>
      </c>
      <c r="AG65" s="742">
        <v>1</v>
      </c>
      <c r="AH65" s="742">
        <v>1</v>
      </c>
      <c r="AI65" s="742">
        <v>1</v>
      </c>
      <c r="AJ65" s="742">
        <v>1</v>
      </c>
      <c r="AK65" s="742">
        <v>0.66770410490353904</v>
      </c>
      <c r="AL65" s="742">
        <v>1</v>
      </c>
      <c r="AM65" s="742">
        <v>1</v>
      </c>
      <c r="AN65" s="742">
        <v>1</v>
      </c>
      <c r="AO65" s="742">
        <v>1</v>
      </c>
      <c r="AP65" s="742">
        <v>1</v>
      </c>
      <c r="AQ65" s="742">
        <v>1</v>
      </c>
      <c r="AR65" s="742">
        <v>1</v>
      </c>
      <c r="AS65" s="742">
        <v>1</v>
      </c>
      <c r="AT65" s="742">
        <v>1</v>
      </c>
      <c r="AU65" s="742">
        <v>1</v>
      </c>
      <c r="AV65" s="742">
        <v>1</v>
      </c>
      <c r="AW65" s="742">
        <v>1</v>
      </c>
      <c r="AX65" s="742">
        <v>1</v>
      </c>
      <c r="AY65" s="742">
        <v>1</v>
      </c>
      <c r="AZ65" s="742">
        <v>1</v>
      </c>
      <c r="BA65" s="742">
        <v>0.59725292021153198</v>
      </c>
      <c r="BB65" s="742">
        <v>1</v>
      </c>
      <c r="BC65" s="742">
        <v>1</v>
      </c>
      <c r="BD65" s="742">
        <v>1</v>
      </c>
      <c r="BE65" s="742">
        <v>1</v>
      </c>
      <c r="BF65" s="742">
        <v>1</v>
      </c>
      <c r="BG65" s="742">
        <v>1</v>
      </c>
      <c r="BH65" s="742">
        <v>0.999999999999998</v>
      </c>
      <c r="BI65" s="742">
        <v>1</v>
      </c>
      <c r="BJ65" s="742">
        <v>1</v>
      </c>
      <c r="BK65" s="742">
        <v>1</v>
      </c>
      <c r="BL65" s="742">
        <v>0.999999999999997</v>
      </c>
      <c r="BM65" s="742">
        <v>1</v>
      </c>
      <c r="BN65" s="742">
        <v>1</v>
      </c>
      <c r="BO65" s="742">
        <v>1</v>
      </c>
      <c r="BP65" s="742">
        <v>0.59699783377564997</v>
      </c>
      <c r="BQ65" s="742">
        <v>0.999999999999999</v>
      </c>
      <c r="BR65" s="742">
        <v>1</v>
      </c>
      <c r="BS65" s="742">
        <v>1</v>
      </c>
      <c r="BT65" s="742">
        <v>0.999999999999999</v>
      </c>
      <c r="BU65" s="742">
        <v>1</v>
      </c>
      <c r="BV65" s="742">
        <v>1</v>
      </c>
      <c r="BW65" s="742">
        <v>1</v>
      </c>
      <c r="BX65" s="742">
        <v>0.999999999999997</v>
      </c>
      <c r="BY65" s="742">
        <v>1</v>
      </c>
      <c r="BZ65" s="742">
        <v>1</v>
      </c>
      <c r="CA65" s="742">
        <v>1</v>
      </c>
      <c r="CB65" s="742">
        <v>0.59699788761303196</v>
      </c>
      <c r="CC65" s="742">
        <v>1</v>
      </c>
      <c r="CD65" s="742">
        <v>1</v>
      </c>
      <c r="CE65" s="742">
        <v>1</v>
      </c>
      <c r="CF65" s="742">
        <v>0.999999999999996</v>
      </c>
      <c r="CG65" s="742">
        <v>1</v>
      </c>
      <c r="CH65" s="742">
        <v>1</v>
      </c>
      <c r="CI65" s="742">
        <v>1</v>
      </c>
      <c r="CJ65" s="742">
        <v>0.999999999999996</v>
      </c>
      <c r="CK65" s="742">
        <v>1</v>
      </c>
      <c r="CL65" s="742">
        <v>1</v>
      </c>
      <c r="CM65" s="742">
        <v>1</v>
      </c>
      <c r="CN65" s="742">
        <v>0.999999999999996</v>
      </c>
      <c r="CO65" s="742">
        <v>1</v>
      </c>
      <c r="CP65" s="742">
        <v>1</v>
      </c>
      <c r="CQ65" s="742">
        <v>1</v>
      </c>
      <c r="CR65" s="742">
        <v>0.59694273776407702</v>
      </c>
      <c r="CS65" s="742">
        <v>1</v>
      </c>
      <c r="CT65" s="742">
        <v>1</v>
      </c>
      <c r="CU65" s="742">
        <v>1</v>
      </c>
      <c r="CV65" s="742">
        <v>1</v>
      </c>
      <c r="CW65" s="742">
        <v>1</v>
      </c>
      <c r="CX65" s="742">
        <v>1</v>
      </c>
      <c r="CY65" s="742">
        <v>0.59694286498682503</v>
      </c>
      <c r="CZ65" s="742">
        <v>1</v>
      </c>
      <c r="DA65" s="742">
        <v>1</v>
      </c>
      <c r="DB65" s="742">
        <v>1</v>
      </c>
      <c r="DC65" s="742">
        <v>0.59694237010428997</v>
      </c>
      <c r="DD65" s="742">
        <v>1</v>
      </c>
      <c r="DE65" s="742">
        <v>1</v>
      </c>
      <c r="DF65" s="742">
        <v>1</v>
      </c>
      <c r="DG65" s="742">
        <v>0.59694230200313703</v>
      </c>
      <c r="DH65" s="742">
        <v>1</v>
      </c>
      <c r="DI65" s="742">
        <v>1</v>
      </c>
      <c r="DJ65" s="742">
        <v>1</v>
      </c>
      <c r="DK65" s="742">
        <v>0.99999999999983302</v>
      </c>
      <c r="DL65" s="742">
        <v>1</v>
      </c>
      <c r="DM65" s="742">
        <v>1</v>
      </c>
      <c r="DN65" s="742">
        <v>1</v>
      </c>
      <c r="DO65" s="742">
        <v>0.59694273519139196</v>
      </c>
      <c r="DP65" s="742">
        <v>1</v>
      </c>
      <c r="DQ65" s="742">
        <v>1</v>
      </c>
      <c r="DR65" s="742">
        <v>1</v>
      </c>
      <c r="DS65" s="742">
        <v>1</v>
      </c>
      <c r="DT65" s="742">
        <v>1</v>
      </c>
      <c r="DU65" s="742">
        <v>1</v>
      </c>
      <c r="DV65" s="742">
        <v>0.59694174321853699</v>
      </c>
      <c r="DW65" s="742">
        <v>1</v>
      </c>
      <c r="DX65" s="742">
        <v>1</v>
      </c>
      <c r="DY65" s="742">
        <v>1</v>
      </c>
      <c r="DZ65" s="742">
        <v>0.59694146566123596</v>
      </c>
      <c r="EA65" s="742">
        <v>1</v>
      </c>
      <c r="EB65" s="742">
        <v>1</v>
      </c>
      <c r="EC65" s="742">
        <v>1</v>
      </c>
      <c r="ED65" s="742">
        <v>0.59694139749646302</v>
      </c>
      <c r="EE65" s="742">
        <v>1</v>
      </c>
      <c r="EF65" s="742">
        <v>1</v>
      </c>
      <c r="EG65" s="742">
        <v>1</v>
      </c>
      <c r="EH65" s="742">
        <v>0.99999999999995204</v>
      </c>
      <c r="EI65" s="742">
        <v>1</v>
      </c>
      <c r="EJ65" s="742">
        <v>1</v>
      </c>
      <c r="EK65" s="742">
        <v>1</v>
      </c>
      <c r="EL65" s="742">
        <v>0.59694111110303705</v>
      </c>
      <c r="EM65" s="742">
        <v>1</v>
      </c>
      <c r="EN65" s="742">
        <v>1</v>
      </c>
      <c r="EO65" s="742">
        <v>1</v>
      </c>
      <c r="EP65" s="742">
        <v>1</v>
      </c>
      <c r="EQ65" s="742">
        <v>1</v>
      </c>
      <c r="ER65" s="742">
        <v>1</v>
      </c>
      <c r="ES65" s="742">
        <v>0.59693678752208401</v>
      </c>
      <c r="ET65" s="742">
        <v>1</v>
      </c>
      <c r="EU65" s="742">
        <v>1</v>
      </c>
      <c r="EV65" s="742">
        <v>1</v>
      </c>
      <c r="EW65" s="742">
        <v>0.59693676835491505</v>
      </c>
      <c r="EX65" s="742">
        <v>1</v>
      </c>
      <c r="EY65" s="742">
        <v>1</v>
      </c>
      <c r="EZ65" s="742">
        <v>0.999999999999999</v>
      </c>
      <c r="FA65" s="742">
        <v>0.59693670017426403</v>
      </c>
      <c r="FB65" s="742">
        <v>1</v>
      </c>
      <c r="FC65" s="742">
        <v>1</v>
      </c>
      <c r="FD65" s="742">
        <v>0.999999999999999</v>
      </c>
      <c r="FE65" s="742">
        <v>0.99999999998913602</v>
      </c>
      <c r="FF65" s="742">
        <v>1</v>
      </c>
      <c r="FG65" s="742">
        <v>1</v>
      </c>
      <c r="FH65" s="742">
        <v>1</v>
      </c>
    </row>
    <row r="66" spans="1:164" ht="12.75" customHeight="1" x14ac:dyDescent="0.2">
      <c r="A66" s="489"/>
      <c r="B66" s="489"/>
      <c r="C66" s="489"/>
      <c r="D66" s="489"/>
      <c r="E66" s="489"/>
      <c r="F66" s="744"/>
      <c r="G66" s="745"/>
      <c r="H66" s="506"/>
      <c r="I66" s="750">
        <v>3852909.7047165199</v>
      </c>
      <c r="J66" s="742">
        <v>0.61873556142730102</v>
      </c>
      <c r="K66" s="742">
        <v>1</v>
      </c>
      <c r="L66" s="742">
        <v>1</v>
      </c>
      <c r="M66" s="742">
        <v>1</v>
      </c>
      <c r="N66" s="742">
        <v>1</v>
      </c>
      <c r="O66" s="742">
        <v>1</v>
      </c>
      <c r="P66" s="742">
        <v>1</v>
      </c>
      <c r="Q66" s="742">
        <v>1</v>
      </c>
      <c r="R66" s="742">
        <v>1</v>
      </c>
      <c r="S66" s="742">
        <v>1</v>
      </c>
      <c r="T66" s="742">
        <v>1</v>
      </c>
      <c r="U66" s="742">
        <v>1</v>
      </c>
      <c r="V66" s="742">
        <v>1</v>
      </c>
      <c r="W66" s="742">
        <v>1</v>
      </c>
      <c r="X66" s="742">
        <v>1</v>
      </c>
      <c r="Y66" s="742">
        <v>0.67319696990163802</v>
      </c>
      <c r="Z66" s="742">
        <v>1</v>
      </c>
      <c r="AA66" s="742">
        <v>1</v>
      </c>
      <c r="AB66" s="742">
        <v>0.999999999999999</v>
      </c>
      <c r="AC66" s="742">
        <v>1</v>
      </c>
      <c r="AD66" s="742">
        <v>1</v>
      </c>
      <c r="AE66" s="742">
        <v>1</v>
      </c>
      <c r="AF66" s="742">
        <v>1</v>
      </c>
      <c r="AG66" s="742">
        <v>1</v>
      </c>
      <c r="AH66" s="742">
        <v>1</v>
      </c>
      <c r="AI66" s="742">
        <v>1</v>
      </c>
      <c r="AJ66" s="742">
        <v>1</v>
      </c>
      <c r="AK66" s="742">
        <v>0.674346744015769</v>
      </c>
      <c r="AL66" s="742">
        <v>1</v>
      </c>
      <c r="AM66" s="742">
        <v>0.999999999999999</v>
      </c>
      <c r="AN66" s="742">
        <v>1</v>
      </c>
      <c r="AO66" s="742">
        <v>1</v>
      </c>
      <c r="AP66" s="742">
        <v>1</v>
      </c>
      <c r="AQ66" s="742">
        <v>1</v>
      </c>
      <c r="AR66" s="742">
        <v>1</v>
      </c>
      <c r="AS66" s="742">
        <v>1</v>
      </c>
      <c r="AT66" s="742">
        <v>1</v>
      </c>
      <c r="AU66" s="742">
        <v>1</v>
      </c>
      <c r="AV66" s="742">
        <v>1</v>
      </c>
      <c r="AW66" s="742">
        <v>1</v>
      </c>
      <c r="AX66" s="742">
        <v>1</v>
      </c>
      <c r="AY66" s="742">
        <v>1</v>
      </c>
      <c r="AZ66" s="742">
        <v>1</v>
      </c>
      <c r="BA66" s="742">
        <v>0.60530387720458401</v>
      </c>
      <c r="BB66" s="742">
        <v>1</v>
      </c>
      <c r="BC66" s="742">
        <v>1</v>
      </c>
      <c r="BD66" s="742">
        <v>1</v>
      </c>
      <c r="BE66" s="742">
        <v>1</v>
      </c>
      <c r="BF66" s="742">
        <v>1</v>
      </c>
      <c r="BG66" s="742">
        <v>1</v>
      </c>
      <c r="BH66" s="742">
        <v>0.999999999999998</v>
      </c>
      <c r="BI66" s="742">
        <v>1</v>
      </c>
      <c r="BJ66" s="742">
        <v>1</v>
      </c>
      <c r="BK66" s="742">
        <v>1</v>
      </c>
      <c r="BL66" s="742">
        <v>0.999999999999997</v>
      </c>
      <c r="BM66" s="742">
        <v>1</v>
      </c>
      <c r="BN66" s="742">
        <v>1</v>
      </c>
      <c r="BO66" s="742">
        <v>1</v>
      </c>
      <c r="BP66" s="742">
        <v>0.60505390064610698</v>
      </c>
      <c r="BQ66" s="742">
        <v>1</v>
      </c>
      <c r="BR66" s="742">
        <v>1</v>
      </c>
      <c r="BS66" s="742">
        <v>1</v>
      </c>
      <c r="BT66" s="742">
        <v>0.999999999999999</v>
      </c>
      <c r="BU66" s="742">
        <v>1</v>
      </c>
      <c r="BV66" s="742">
        <v>1</v>
      </c>
      <c r="BW66" s="742">
        <v>1</v>
      </c>
      <c r="BX66" s="742">
        <v>0.999999999999998</v>
      </c>
      <c r="BY66" s="742">
        <v>1</v>
      </c>
      <c r="BZ66" s="742">
        <v>1</v>
      </c>
      <c r="CA66" s="742">
        <v>1</v>
      </c>
      <c r="CB66" s="742">
        <v>0.60505395340727197</v>
      </c>
      <c r="CC66" s="742">
        <v>1</v>
      </c>
      <c r="CD66" s="742">
        <v>1</v>
      </c>
      <c r="CE66" s="742">
        <v>1</v>
      </c>
      <c r="CF66" s="742">
        <v>0.999999999999996</v>
      </c>
      <c r="CG66" s="742">
        <v>1</v>
      </c>
      <c r="CH66" s="742">
        <v>1</v>
      </c>
      <c r="CI66" s="742">
        <v>1</v>
      </c>
      <c r="CJ66" s="742">
        <v>0.999999999999997</v>
      </c>
      <c r="CK66" s="742">
        <v>1</v>
      </c>
      <c r="CL66" s="742">
        <v>1</v>
      </c>
      <c r="CM66" s="742">
        <v>1</v>
      </c>
      <c r="CN66" s="742">
        <v>0.999999999999996</v>
      </c>
      <c r="CO66" s="742">
        <v>1</v>
      </c>
      <c r="CP66" s="742">
        <v>1</v>
      </c>
      <c r="CQ66" s="742">
        <v>1</v>
      </c>
      <c r="CR66" s="742">
        <v>0.60499989464277804</v>
      </c>
      <c r="CS66" s="742">
        <v>1</v>
      </c>
      <c r="CT66" s="742">
        <v>1</v>
      </c>
      <c r="CU66" s="742">
        <v>1</v>
      </c>
      <c r="CV66" s="742">
        <v>1</v>
      </c>
      <c r="CW66" s="742">
        <v>1</v>
      </c>
      <c r="CX66" s="742">
        <v>1</v>
      </c>
      <c r="CY66" s="742">
        <v>0.60500003069067598</v>
      </c>
      <c r="CZ66" s="742">
        <v>1</v>
      </c>
      <c r="DA66" s="742">
        <v>1</v>
      </c>
      <c r="DB66" s="742">
        <v>1</v>
      </c>
      <c r="DC66" s="742">
        <v>0.60499954570090897</v>
      </c>
      <c r="DD66" s="742">
        <v>1</v>
      </c>
      <c r="DE66" s="742">
        <v>1</v>
      </c>
      <c r="DF66" s="742">
        <v>1</v>
      </c>
      <c r="DG66" s="742">
        <v>0.60499947896110695</v>
      </c>
      <c r="DH66" s="742">
        <v>1</v>
      </c>
      <c r="DI66" s="742">
        <v>1</v>
      </c>
      <c r="DJ66" s="742">
        <v>1</v>
      </c>
      <c r="DK66" s="742">
        <v>0.99999999999983602</v>
      </c>
      <c r="DL66" s="742">
        <v>1</v>
      </c>
      <c r="DM66" s="742">
        <v>1</v>
      </c>
      <c r="DN66" s="742">
        <v>1</v>
      </c>
      <c r="DO66" s="742">
        <v>0.60499989275309896</v>
      </c>
      <c r="DP66" s="742">
        <v>1</v>
      </c>
      <c r="DQ66" s="742">
        <v>1</v>
      </c>
      <c r="DR66" s="742">
        <v>1</v>
      </c>
      <c r="DS66" s="742">
        <v>1</v>
      </c>
      <c r="DT66" s="742">
        <v>1</v>
      </c>
      <c r="DU66" s="742">
        <v>1</v>
      </c>
      <c r="DV66" s="742">
        <v>0.60499893134668503</v>
      </c>
      <c r="DW66" s="742">
        <v>1</v>
      </c>
      <c r="DX66" s="742">
        <v>1</v>
      </c>
      <c r="DY66" s="742">
        <v>1</v>
      </c>
      <c r="DZ66" s="742">
        <v>0.60499865933779096</v>
      </c>
      <c r="EA66" s="742">
        <v>1</v>
      </c>
      <c r="EB66" s="742">
        <v>1</v>
      </c>
      <c r="EC66" s="742">
        <v>1</v>
      </c>
      <c r="ED66" s="742">
        <v>0.60499859253564103</v>
      </c>
      <c r="EE66" s="742">
        <v>1</v>
      </c>
      <c r="EF66" s="742">
        <v>1</v>
      </c>
      <c r="EG66" s="742">
        <v>1</v>
      </c>
      <c r="EH66" s="742">
        <v>0.99999999999995304</v>
      </c>
      <c r="EI66" s="742">
        <v>1</v>
      </c>
      <c r="EJ66" s="742">
        <v>1</v>
      </c>
      <c r="EK66" s="742">
        <v>1</v>
      </c>
      <c r="EL66" s="742">
        <v>0.60499831190683795</v>
      </c>
      <c r="EM66" s="742">
        <v>1</v>
      </c>
      <c r="EN66" s="742">
        <v>1</v>
      </c>
      <c r="EO66" s="742">
        <v>1</v>
      </c>
      <c r="EP66" s="742">
        <v>1</v>
      </c>
      <c r="EQ66" s="742">
        <v>1</v>
      </c>
      <c r="ER66" s="742">
        <v>1</v>
      </c>
      <c r="ES66" s="742">
        <v>0.60499407471526501</v>
      </c>
      <c r="ET66" s="742">
        <v>1</v>
      </c>
      <c r="EU66" s="742">
        <v>1</v>
      </c>
      <c r="EV66" s="742">
        <v>1</v>
      </c>
      <c r="EW66" s="742">
        <v>0.604994055931249</v>
      </c>
      <c r="EX66" s="742">
        <v>1</v>
      </c>
      <c r="EY66" s="742">
        <v>1</v>
      </c>
      <c r="EZ66" s="742">
        <v>1</v>
      </c>
      <c r="FA66" s="742">
        <v>0.60499398911353897</v>
      </c>
      <c r="FB66" s="742">
        <v>1</v>
      </c>
      <c r="FC66" s="742">
        <v>1</v>
      </c>
      <c r="FD66" s="742">
        <v>1</v>
      </c>
      <c r="FE66" s="742">
        <v>0.99999999998935296</v>
      </c>
      <c r="FF66" s="742">
        <v>1</v>
      </c>
      <c r="FG66" s="742">
        <v>1</v>
      </c>
      <c r="FH66" s="742">
        <v>1</v>
      </c>
    </row>
    <row r="67" spans="1:164" ht="12.75" customHeight="1" x14ac:dyDescent="0.2">
      <c r="A67" s="489"/>
      <c r="B67" s="489"/>
      <c r="C67" s="489"/>
      <c r="D67" s="489"/>
      <c r="E67" s="489"/>
      <c r="F67" s="744"/>
      <c r="G67" s="745"/>
      <c r="H67" s="506"/>
      <c r="I67" s="750">
        <v>3936668.6113407901</v>
      </c>
      <c r="J67" s="742">
        <v>0.62635708825559699</v>
      </c>
      <c r="K67" s="742">
        <v>1</v>
      </c>
      <c r="L67" s="742">
        <v>1</v>
      </c>
      <c r="M67" s="742">
        <v>1</v>
      </c>
      <c r="N67" s="742">
        <v>1</v>
      </c>
      <c r="O67" s="742">
        <v>1</v>
      </c>
      <c r="P67" s="742">
        <v>1</v>
      </c>
      <c r="Q67" s="742">
        <v>1</v>
      </c>
      <c r="R67" s="742">
        <v>1</v>
      </c>
      <c r="S67" s="742">
        <v>1</v>
      </c>
      <c r="T67" s="742">
        <v>1</v>
      </c>
      <c r="U67" s="742">
        <v>1</v>
      </c>
      <c r="V67" s="742">
        <v>1</v>
      </c>
      <c r="W67" s="742">
        <v>1</v>
      </c>
      <c r="X67" s="742">
        <v>1</v>
      </c>
      <c r="Y67" s="742">
        <v>0.67972980591197396</v>
      </c>
      <c r="Z67" s="742">
        <v>1</v>
      </c>
      <c r="AA67" s="742">
        <v>1</v>
      </c>
      <c r="AB67" s="742">
        <v>1</v>
      </c>
      <c r="AC67" s="742">
        <v>1</v>
      </c>
      <c r="AD67" s="742">
        <v>1</v>
      </c>
      <c r="AE67" s="742">
        <v>1</v>
      </c>
      <c r="AF67" s="742">
        <v>1</v>
      </c>
      <c r="AG67" s="742">
        <v>1</v>
      </c>
      <c r="AH67" s="742">
        <v>1</v>
      </c>
      <c r="AI67" s="742">
        <v>1</v>
      </c>
      <c r="AJ67" s="742">
        <v>1</v>
      </c>
      <c r="AK67" s="742">
        <v>0.68085659588873604</v>
      </c>
      <c r="AL67" s="742">
        <v>1</v>
      </c>
      <c r="AM67" s="742">
        <v>1</v>
      </c>
      <c r="AN67" s="742">
        <v>1</v>
      </c>
      <c r="AO67" s="742">
        <v>1</v>
      </c>
      <c r="AP67" s="742">
        <v>1</v>
      </c>
      <c r="AQ67" s="742">
        <v>1</v>
      </c>
      <c r="AR67" s="742">
        <v>1</v>
      </c>
      <c r="AS67" s="742">
        <v>1</v>
      </c>
      <c r="AT67" s="742">
        <v>1</v>
      </c>
      <c r="AU67" s="742">
        <v>1</v>
      </c>
      <c r="AV67" s="742">
        <v>1</v>
      </c>
      <c r="AW67" s="742">
        <v>1</v>
      </c>
      <c r="AX67" s="742">
        <v>1</v>
      </c>
      <c r="AY67" s="742">
        <v>1</v>
      </c>
      <c r="AZ67" s="742">
        <v>1</v>
      </c>
      <c r="BA67" s="742">
        <v>0.61319390518667505</v>
      </c>
      <c r="BB67" s="742">
        <v>1</v>
      </c>
      <c r="BC67" s="742">
        <v>1</v>
      </c>
      <c r="BD67" s="742">
        <v>1</v>
      </c>
      <c r="BE67" s="742">
        <v>1</v>
      </c>
      <c r="BF67" s="742">
        <v>1</v>
      </c>
      <c r="BG67" s="742">
        <v>1</v>
      </c>
      <c r="BH67" s="742">
        <v>0.999999999999999</v>
      </c>
      <c r="BI67" s="742">
        <v>1</v>
      </c>
      <c r="BJ67" s="742">
        <v>1</v>
      </c>
      <c r="BK67" s="742">
        <v>1</v>
      </c>
      <c r="BL67" s="742">
        <v>0.999999999999997</v>
      </c>
      <c r="BM67" s="742">
        <v>1</v>
      </c>
      <c r="BN67" s="742">
        <v>1</v>
      </c>
      <c r="BO67" s="742">
        <v>1</v>
      </c>
      <c r="BP67" s="742">
        <v>0.61294892566844095</v>
      </c>
      <c r="BQ67" s="742">
        <v>1</v>
      </c>
      <c r="BR67" s="742">
        <v>1</v>
      </c>
      <c r="BS67" s="742">
        <v>1</v>
      </c>
      <c r="BT67" s="742">
        <v>0.999999999999999</v>
      </c>
      <c r="BU67" s="742">
        <v>1</v>
      </c>
      <c r="BV67" s="742">
        <v>1</v>
      </c>
      <c r="BW67" s="742">
        <v>1</v>
      </c>
      <c r="BX67" s="742">
        <v>0.999999999999997</v>
      </c>
      <c r="BY67" s="742">
        <v>1</v>
      </c>
      <c r="BZ67" s="742">
        <v>1</v>
      </c>
      <c r="CA67" s="742">
        <v>1</v>
      </c>
      <c r="CB67" s="742">
        <v>0.61294897737490295</v>
      </c>
      <c r="CC67" s="742">
        <v>1</v>
      </c>
      <c r="CD67" s="742">
        <v>1</v>
      </c>
      <c r="CE67" s="742">
        <v>1</v>
      </c>
      <c r="CF67" s="742">
        <v>0.999999999999996</v>
      </c>
      <c r="CG67" s="742">
        <v>1</v>
      </c>
      <c r="CH67" s="742">
        <v>1</v>
      </c>
      <c r="CI67" s="742">
        <v>1</v>
      </c>
      <c r="CJ67" s="742">
        <v>0.999999999999997</v>
      </c>
      <c r="CK67" s="742">
        <v>1</v>
      </c>
      <c r="CL67" s="742">
        <v>1</v>
      </c>
      <c r="CM67" s="742">
        <v>1</v>
      </c>
      <c r="CN67" s="742">
        <v>0.999999999999996</v>
      </c>
      <c r="CO67" s="742">
        <v>1</v>
      </c>
      <c r="CP67" s="742">
        <v>1</v>
      </c>
      <c r="CQ67" s="742">
        <v>1</v>
      </c>
      <c r="CR67" s="742">
        <v>0.61289599927829597</v>
      </c>
      <c r="CS67" s="742">
        <v>1</v>
      </c>
      <c r="CT67" s="742">
        <v>1</v>
      </c>
      <c r="CU67" s="742">
        <v>1</v>
      </c>
      <c r="CV67" s="742">
        <v>1</v>
      </c>
      <c r="CW67" s="742">
        <v>1</v>
      </c>
      <c r="CX67" s="742">
        <v>1</v>
      </c>
      <c r="CY67" s="742">
        <v>0.61289613258057996</v>
      </c>
      <c r="CZ67" s="742">
        <v>1</v>
      </c>
      <c r="DA67" s="742">
        <v>1</v>
      </c>
      <c r="DB67" s="742">
        <v>1</v>
      </c>
      <c r="DC67" s="742">
        <v>0.61289565728582296</v>
      </c>
      <c r="DD67" s="742">
        <v>1</v>
      </c>
      <c r="DE67" s="742">
        <v>1</v>
      </c>
      <c r="DF67" s="742">
        <v>1</v>
      </c>
      <c r="DG67" s="742">
        <v>0.61289559188015896</v>
      </c>
      <c r="DH67" s="742">
        <v>1</v>
      </c>
      <c r="DI67" s="742">
        <v>1</v>
      </c>
      <c r="DJ67" s="742">
        <v>1</v>
      </c>
      <c r="DK67" s="742">
        <v>0.99999999999984002</v>
      </c>
      <c r="DL67" s="742">
        <v>1</v>
      </c>
      <c r="DM67" s="742">
        <v>1</v>
      </c>
      <c r="DN67" s="742">
        <v>1</v>
      </c>
      <c r="DO67" s="742">
        <v>0.61289599864389199</v>
      </c>
      <c r="DP67" s="742">
        <v>1</v>
      </c>
      <c r="DQ67" s="742">
        <v>1</v>
      </c>
      <c r="DR67" s="742">
        <v>1</v>
      </c>
      <c r="DS67" s="742">
        <v>1</v>
      </c>
      <c r="DT67" s="742">
        <v>1</v>
      </c>
      <c r="DU67" s="742">
        <v>1</v>
      </c>
      <c r="DV67" s="742">
        <v>0.612895055212622</v>
      </c>
      <c r="DW67" s="742">
        <v>1</v>
      </c>
      <c r="DX67" s="742">
        <v>1</v>
      </c>
      <c r="DY67" s="742">
        <v>1</v>
      </c>
      <c r="DZ67" s="742">
        <v>0.61289478864122204</v>
      </c>
      <c r="EA67" s="742">
        <v>1</v>
      </c>
      <c r="EB67" s="742">
        <v>1</v>
      </c>
      <c r="EC67" s="742">
        <v>1</v>
      </c>
      <c r="ED67" s="742">
        <v>0.61289472317445604</v>
      </c>
      <c r="EE67" s="742">
        <v>1</v>
      </c>
      <c r="EF67" s="742">
        <v>1</v>
      </c>
      <c r="EG67" s="742">
        <v>1</v>
      </c>
      <c r="EH67" s="742">
        <v>0.99999999999995404</v>
      </c>
      <c r="EI67" s="742">
        <v>1</v>
      </c>
      <c r="EJ67" s="742">
        <v>1</v>
      </c>
      <c r="EK67" s="742">
        <v>1</v>
      </c>
      <c r="EL67" s="742">
        <v>0.61289444810378502</v>
      </c>
      <c r="EM67" s="742">
        <v>1</v>
      </c>
      <c r="EN67" s="742">
        <v>1</v>
      </c>
      <c r="EO67" s="742">
        <v>1</v>
      </c>
      <c r="EP67" s="742">
        <v>1</v>
      </c>
      <c r="EQ67" s="742">
        <v>1</v>
      </c>
      <c r="ER67" s="742">
        <v>1</v>
      </c>
      <c r="ES67" s="742">
        <v>0.61289029566590603</v>
      </c>
      <c r="ET67" s="742">
        <v>1</v>
      </c>
      <c r="EU67" s="742">
        <v>1</v>
      </c>
      <c r="EV67" s="742">
        <v>1</v>
      </c>
      <c r="EW67" s="742">
        <v>0.61289027725738598</v>
      </c>
      <c r="EX67" s="742">
        <v>1</v>
      </c>
      <c r="EY67" s="742">
        <v>1</v>
      </c>
      <c r="EZ67" s="742">
        <v>1</v>
      </c>
      <c r="FA67" s="742">
        <v>0.61289021177536995</v>
      </c>
      <c r="FB67" s="742">
        <v>1</v>
      </c>
      <c r="FC67" s="742">
        <v>1</v>
      </c>
      <c r="FD67" s="742">
        <v>1</v>
      </c>
      <c r="FE67" s="742">
        <v>0.99999999998956601</v>
      </c>
      <c r="FF67" s="742">
        <v>1</v>
      </c>
      <c r="FG67" s="742">
        <v>1</v>
      </c>
      <c r="FH67" s="742">
        <v>1</v>
      </c>
    </row>
    <row r="68" spans="1:164" ht="12.75" customHeight="1" x14ac:dyDescent="0.2">
      <c r="A68" s="489"/>
      <c r="B68" s="489"/>
      <c r="C68" s="489"/>
      <c r="D68" s="489"/>
      <c r="E68" s="489"/>
      <c r="F68" s="744"/>
      <c r="G68" s="745"/>
      <c r="H68" s="506"/>
      <c r="I68" s="750">
        <v>4020427.51796507</v>
      </c>
      <c r="J68" s="742">
        <v>0.63382626126517605</v>
      </c>
      <c r="K68" s="742">
        <v>1</v>
      </c>
      <c r="L68" s="742">
        <v>1</v>
      </c>
      <c r="M68" s="742">
        <v>1</v>
      </c>
      <c r="N68" s="742">
        <v>1</v>
      </c>
      <c r="O68" s="742">
        <v>1</v>
      </c>
      <c r="P68" s="742">
        <v>1</v>
      </c>
      <c r="Q68" s="742">
        <v>1</v>
      </c>
      <c r="R68" s="742">
        <v>1</v>
      </c>
      <c r="S68" s="742">
        <v>1</v>
      </c>
      <c r="T68" s="742">
        <v>1</v>
      </c>
      <c r="U68" s="742">
        <v>1</v>
      </c>
      <c r="V68" s="742">
        <v>1</v>
      </c>
      <c r="W68" s="742">
        <v>1</v>
      </c>
      <c r="X68" s="742">
        <v>1</v>
      </c>
      <c r="Y68" s="742">
        <v>0.68613204966226304</v>
      </c>
      <c r="Z68" s="742">
        <v>1</v>
      </c>
      <c r="AA68" s="742">
        <v>1</v>
      </c>
      <c r="AB68" s="742">
        <v>1</v>
      </c>
      <c r="AC68" s="742">
        <v>1</v>
      </c>
      <c r="AD68" s="742">
        <v>1</v>
      </c>
      <c r="AE68" s="742">
        <v>1</v>
      </c>
      <c r="AF68" s="742">
        <v>1</v>
      </c>
      <c r="AG68" s="742">
        <v>1</v>
      </c>
      <c r="AH68" s="742">
        <v>1</v>
      </c>
      <c r="AI68" s="742">
        <v>1</v>
      </c>
      <c r="AJ68" s="742">
        <v>1</v>
      </c>
      <c r="AK68" s="742">
        <v>0.68723631495761595</v>
      </c>
      <c r="AL68" s="742">
        <v>1</v>
      </c>
      <c r="AM68" s="742">
        <v>1</v>
      </c>
      <c r="AN68" s="742">
        <v>1</v>
      </c>
      <c r="AO68" s="742">
        <v>1</v>
      </c>
      <c r="AP68" s="742">
        <v>1</v>
      </c>
      <c r="AQ68" s="742">
        <v>1</v>
      </c>
      <c r="AR68" s="742">
        <v>1</v>
      </c>
      <c r="AS68" s="742">
        <v>1</v>
      </c>
      <c r="AT68" s="742">
        <v>1</v>
      </c>
      <c r="AU68" s="742">
        <v>1</v>
      </c>
      <c r="AV68" s="742">
        <v>1</v>
      </c>
      <c r="AW68" s="742">
        <v>1</v>
      </c>
      <c r="AX68" s="742">
        <v>1</v>
      </c>
      <c r="AY68" s="742">
        <v>1</v>
      </c>
      <c r="AZ68" s="742">
        <v>1</v>
      </c>
      <c r="BA68" s="742">
        <v>0.62092621203045495</v>
      </c>
      <c r="BB68" s="742">
        <v>1</v>
      </c>
      <c r="BC68" s="742">
        <v>1</v>
      </c>
      <c r="BD68" s="742">
        <v>1</v>
      </c>
      <c r="BE68" s="742">
        <v>1</v>
      </c>
      <c r="BF68" s="742">
        <v>1</v>
      </c>
      <c r="BG68" s="742">
        <v>1</v>
      </c>
      <c r="BH68" s="742">
        <v>0.999999999999998</v>
      </c>
      <c r="BI68" s="742">
        <v>1</v>
      </c>
      <c r="BJ68" s="742">
        <v>1</v>
      </c>
      <c r="BK68" s="742">
        <v>1</v>
      </c>
      <c r="BL68" s="742">
        <v>0.999999999999996</v>
      </c>
      <c r="BM68" s="742">
        <v>1</v>
      </c>
      <c r="BN68" s="742">
        <v>1</v>
      </c>
      <c r="BO68" s="742">
        <v>1</v>
      </c>
      <c r="BP68" s="742">
        <v>0.62068612809134405</v>
      </c>
      <c r="BQ68" s="742">
        <v>1</v>
      </c>
      <c r="BR68" s="742">
        <v>1</v>
      </c>
      <c r="BS68" s="742">
        <v>1</v>
      </c>
      <c r="BT68" s="742">
        <v>0.999999999999999</v>
      </c>
      <c r="BU68" s="742">
        <v>1</v>
      </c>
      <c r="BV68" s="742">
        <v>1</v>
      </c>
      <c r="BW68" s="742">
        <v>1</v>
      </c>
      <c r="BX68" s="742">
        <v>0.999999999999996</v>
      </c>
      <c r="BY68" s="742">
        <v>1</v>
      </c>
      <c r="BZ68" s="742">
        <v>1</v>
      </c>
      <c r="CA68" s="742">
        <v>1</v>
      </c>
      <c r="CB68" s="742">
        <v>0.62068617876418697</v>
      </c>
      <c r="CC68" s="742">
        <v>1</v>
      </c>
      <c r="CD68" s="742">
        <v>1</v>
      </c>
      <c r="CE68" s="742">
        <v>1</v>
      </c>
      <c r="CF68" s="742">
        <v>0.999999999999996</v>
      </c>
      <c r="CG68" s="742">
        <v>1</v>
      </c>
      <c r="CH68" s="742">
        <v>1</v>
      </c>
      <c r="CI68" s="742">
        <v>1</v>
      </c>
      <c r="CJ68" s="742">
        <v>0.999999999999996</v>
      </c>
      <c r="CK68" s="742">
        <v>1</v>
      </c>
      <c r="CL68" s="742">
        <v>1</v>
      </c>
      <c r="CM68" s="742">
        <v>1</v>
      </c>
      <c r="CN68" s="742">
        <v>0.999999999999996</v>
      </c>
      <c r="CO68" s="742">
        <v>1</v>
      </c>
      <c r="CP68" s="742">
        <v>1</v>
      </c>
      <c r="CQ68" s="742">
        <v>1</v>
      </c>
      <c r="CR68" s="742">
        <v>0.62063426140579903</v>
      </c>
      <c r="CS68" s="742">
        <v>1</v>
      </c>
      <c r="CT68" s="742">
        <v>0.999999999999999</v>
      </c>
      <c r="CU68" s="742">
        <v>1</v>
      </c>
      <c r="CV68" s="742">
        <v>1</v>
      </c>
      <c r="CW68" s="742">
        <v>1</v>
      </c>
      <c r="CX68" s="742">
        <v>1</v>
      </c>
      <c r="CY68" s="742">
        <v>0.62063439034432699</v>
      </c>
      <c r="CZ68" s="742">
        <v>1</v>
      </c>
      <c r="DA68" s="742">
        <v>0.999999999999999</v>
      </c>
      <c r="DB68" s="742">
        <v>1</v>
      </c>
      <c r="DC68" s="742">
        <v>0.62063392455077504</v>
      </c>
      <c r="DD68" s="742">
        <v>1</v>
      </c>
      <c r="DE68" s="742">
        <v>0.999999999999999</v>
      </c>
      <c r="DF68" s="742">
        <v>1</v>
      </c>
      <c r="DG68" s="742">
        <v>0.62063386045257896</v>
      </c>
      <c r="DH68" s="742">
        <v>1</v>
      </c>
      <c r="DI68" s="742">
        <v>1</v>
      </c>
      <c r="DJ68" s="742">
        <v>1</v>
      </c>
      <c r="DK68" s="742">
        <v>0.99999999999984301</v>
      </c>
      <c r="DL68" s="742">
        <v>1</v>
      </c>
      <c r="DM68" s="742">
        <v>1</v>
      </c>
      <c r="DN68" s="742">
        <v>1</v>
      </c>
      <c r="DO68" s="742">
        <v>0.62063425396302196</v>
      </c>
      <c r="DP68" s="742">
        <v>1</v>
      </c>
      <c r="DQ68" s="742">
        <v>1</v>
      </c>
      <c r="DR68" s="742">
        <v>1</v>
      </c>
      <c r="DS68" s="742">
        <v>1</v>
      </c>
      <c r="DT68" s="742">
        <v>1</v>
      </c>
      <c r="DU68" s="742">
        <v>1</v>
      </c>
      <c r="DV68" s="742">
        <v>0.62063333451309699</v>
      </c>
      <c r="DW68" s="742">
        <v>1</v>
      </c>
      <c r="DX68" s="742">
        <v>0.999999999999999</v>
      </c>
      <c r="DY68" s="742">
        <v>1</v>
      </c>
      <c r="DZ68" s="742">
        <v>0.62063307327049499</v>
      </c>
      <c r="EA68" s="742">
        <v>1</v>
      </c>
      <c r="EB68" s="742">
        <v>0.999999999999999</v>
      </c>
      <c r="EC68" s="742">
        <v>1</v>
      </c>
      <c r="ED68" s="742">
        <v>0.62063300911241803</v>
      </c>
      <c r="EE68" s="742">
        <v>1</v>
      </c>
      <c r="EF68" s="742">
        <v>0.999999999999999</v>
      </c>
      <c r="EG68" s="742">
        <v>1</v>
      </c>
      <c r="EH68" s="742">
        <v>0.99999999999995504</v>
      </c>
      <c r="EI68" s="742">
        <v>1</v>
      </c>
      <c r="EJ68" s="742">
        <v>1</v>
      </c>
      <c r="EK68" s="742">
        <v>1</v>
      </c>
      <c r="EL68" s="742">
        <v>0.620632739595946</v>
      </c>
      <c r="EM68" s="742">
        <v>1</v>
      </c>
      <c r="EN68" s="742">
        <v>1</v>
      </c>
      <c r="EO68" s="742">
        <v>1</v>
      </c>
      <c r="EP68" s="742">
        <v>1</v>
      </c>
      <c r="EQ68" s="742">
        <v>1</v>
      </c>
      <c r="ER68" s="742">
        <v>1</v>
      </c>
      <c r="ES68" s="742">
        <v>0.62062867011035605</v>
      </c>
      <c r="ET68" s="742">
        <v>1</v>
      </c>
      <c r="EU68" s="742">
        <v>0.999999999999999</v>
      </c>
      <c r="EV68" s="742">
        <v>1</v>
      </c>
      <c r="EW68" s="742">
        <v>0.62062865206982498</v>
      </c>
      <c r="EX68" s="742">
        <v>1</v>
      </c>
      <c r="EY68" s="742">
        <v>1</v>
      </c>
      <c r="EZ68" s="742">
        <v>1</v>
      </c>
      <c r="FA68" s="742">
        <v>0.62062858789680297</v>
      </c>
      <c r="FB68" s="742">
        <v>1</v>
      </c>
      <c r="FC68" s="742">
        <v>1</v>
      </c>
      <c r="FD68" s="742">
        <v>1</v>
      </c>
      <c r="FE68" s="742">
        <v>0.99999999998977396</v>
      </c>
      <c r="FF68" s="742">
        <v>1</v>
      </c>
      <c r="FG68" s="742">
        <v>0.999999999999999</v>
      </c>
      <c r="FH68" s="742">
        <v>1</v>
      </c>
    </row>
    <row r="69" spans="1:164" ht="12.75" customHeight="1" x14ac:dyDescent="0.2">
      <c r="A69" s="489"/>
      <c r="B69" s="489"/>
      <c r="C69" s="489"/>
      <c r="D69" s="489"/>
      <c r="E69" s="489"/>
      <c r="F69" s="744"/>
      <c r="G69" s="745"/>
      <c r="H69" s="506"/>
      <c r="I69" s="750">
        <v>4104186.4245893401</v>
      </c>
      <c r="J69" s="742">
        <v>0.64114612623276102</v>
      </c>
      <c r="K69" s="742">
        <v>1</v>
      </c>
      <c r="L69" s="742">
        <v>1</v>
      </c>
      <c r="M69" s="742">
        <v>1</v>
      </c>
      <c r="N69" s="742">
        <v>1</v>
      </c>
      <c r="O69" s="742">
        <v>1</v>
      </c>
      <c r="P69" s="742">
        <v>1</v>
      </c>
      <c r="Q69" s="742">
        <v>1</v>
      </c>
      <c r="R69" s="742">
        <v>1</v>
      </c>
      <c r="S69" s="742">
        <v>1</v>
      </c>
      <c r="T69" s="742">
        <v>1</v>
      </c>
      <c r="U69" s="742">
        <v>1</v>
      </c>
      <c r="V69" s="742">
        <v>1</v>
      </c>
      <c r="W69" s="742">
        <v>1</v>
      </c>
      <c r="X69" s="742">
        <v>1</v>
      </c>
      <c r="Y69" s="742">
        <v>0.69240631170911304</v>
      </c>
      <c r="Z69" s="742">
        <v>1</v>
      </c>
      <c r="AA69" s="742">
        <v>1</v>
      </c>
      <c r="AB69" s="742">
        <v>1</v>
      </c>
      <c r="AC69" s="742">
        <v>1</v>
      </c>
      <c r="AD69" s="742">
        <v>1</v>
      </c>
      <c r="AE69" s="742">
        <v>1</v>
      </c>
      <c r="AF69" s="742">
        <v>1</v>
      </c>
      <c r="AG69" s="742">
        <v>1</v>
      </c>
      <c r="AH69" s="742">
        <v>1</v>
      </c>
      <c r="AI69" s="742">
        <v>1</v>
      </c>
      <c r="AJ69" s="742">
        <v>1</v>
      </c>
      <c r="AK69" s="742">
        <v>0.69348850259443195</v>
      </c>
      <c r="AL69" s="742">
        <v>1</v>
      </c>
      <c r="AM69" s="742">
        <v>1</v>
      </c>
      <c r="AN69" s="742">
        <v>1</v>
      </c>
      <c r="AO69" s="742">
        <v>1</v>
      </c>
      <c r="AP69" s="742">
        <v>1</v>
      </c>
      <c r="AQ69" s="742">
        <v>1</v>
      </c>
      <c r="AR69" s="742">
        <v>1</v>
      </c>
      <c r="AS69" s="742">
        <v>1</v>
      </c>
      <c r="AT69" s="742">
        <v>1</v>
      </c>
      <c r="AU69" s="742">
        <v>1</v>
      </c>
      <c r="AV69" s="742">
        <v>1</v>
      </c>
      <c r="AW69" s="742">
        <v>1</v>
      </c>
      <c r="AX69" s="742">
        <v>1</v>
      </c>
      <c r="AY69" s="742">
        <v>1</v>
      </c>
      <c r="AZ69" s="742">
        <v>1</v>
      </c>
      <c r="BA69" s="742">
        <v>0.62850395081335997</v>
      </c>
      <c r="BB69" s="742">
        <v>1</v>
      </c>
      <c r="BC69" s="742">
        <v>1</v>
      </c>
      <c r="BD69" s="742">
        <v>1</v>
      </c>
      <c r="BE69" s="742">
        <v>1</v>
      </c>
      <c r="BF69" s="742">
        <v>1</v>
      </c>
      <c r="BG69" s="742">
        <v>1</v>
      </c>
      <c r="BH69" s="742">
        <v>0.999999999999999</v>
      </c>
      <c r="BI69" s="742">
        <v>1</v>
      </c>
      <c r="BJ69" s="742">
        <v>1</v>
      </c>
      <c r="BK69" s="742">
        <v>1</v>
      </c>
      <c r="BL69" s="742">
        <v>0.999999999999997</v>
      </c>
      <c r="BM69" s="742">
        <v>1</v>
      </c>
      <c r="BN69" s="742">
        <v>1</v>
      </c>
      <c r="BO69" s="742">
        <v>1</v>
      </c>
      <c r="BP69" s="742">
        <v>0.62826866280952598</v>
      </c>
      <c r="BQ69" s="742">
        <v>1</v>
      </c>
      <c r="BR69" s="742">
        <v>1</v>
      </c>
      <c r="BS69" s="742">
        <v>1</v>
      </c>
      <c r="BT69" s="742">
        <v>0.999999999999999</v>
      </c>
      <c r="BU69" s="742">
        <v>1</v>
      </c>
      <c r="BV69" s="742">
        <v>1</v>
      </c>
      <c r="BW69" s="742">
        <v>1</v>
      </c>
      <c r="BX69" s="742">
        <v>0.999999999999998</v>
      </c>
      <c r="BY69" s="742">
        <v>1</v>
      </c>
      <c r="BZ69" s="742">
        <v>1</v>
      </c>
      <c r="CA69" s="742">
        <v>1</v>
      </c>
      <c r="CB69" s="742">
        <v>0.62826871246941196</v>
      </c>
      <c r="CC69" s="742">
        <v>1</v>
      </c>
      <c r="CD69" s="742">
        <v>1</v>
      </c>
      <c r="CE69" s="742">
        <v>1</v>
      </c>
      <c r="CF69" s="742">
        <v>0.999999999999997</v>
      </c>
      <c r="CG69" s="742">
        <v>1</v>
      </c>
      <c r="CH69" s="742">
        <v>1</v>
      </c>
      <c r="CI69" s="742">
        <v>1</v>
      </c>
      <c r="CJ69" s="742">
        <v>0.999999999999997</v>
      </c>
      <c r="CK69" s="742">
        <v>1</v>
      </c>
      <c r="CL69" s="742">
        <v>1</v>
      </c>
      <c r="CM69" s="742">
        <v>1</v>
      </c>
      <c r="CN69" s="742">
        <v>0.999999999999996</v>
      </c>
      <c r="CO69" s="742">
        <v>1</v>
      </c>
      <c r="CP69" s="742">
        <v>1</v>
      </c>
      <c r="CQ69" s="742">
        <v>1</v>
      </c>
      <c r="CR69" s="742">
        <v>0.62821783654283303</v>
      </c>
      <c r="CS69" s="742">
        <v>1</v>
      </c>
      <c r="CT69" s="742">
        <v>1</v>
      </c>
      <c r="CU69" s="742">
        <v>1</v>
      </c>
      <c r="CV69" s="742">
        <v>1</v>
      </c>
      <c r="CW69" s="742">
        <v>1</v>
      </c>
      <c r="CX69" s="742">
        <v>1</v>
      </c>
      <c r="CY69" s="742">
        <v>0.62821795930694802</v>
      </c>
      <c r="CZ69" s="742">
        <v>1</v>
      </c>
      <c r="DA69" s="742">
        <v>1</v>
      </c>
      <c r="DB69" s="742">
        <v>1</v>
      </c>
      <c r="DC69" s="742">
        <v>0.62821750282467204</v>
      </c>
      <c r="DD69" s="742">
        <v>1</v>
      </c>
      <c r="DE69" s="742">
        <v>1</v>
      </c>
      <c r="DF69" s="742">
        <v>1</v>
      </c>
      <c r="DG69" s="742">
        <v>0.62821744000780699</v>
      </c>
      <c r="DH69" s="742">
        <v>1</v>
      </c>
      <c r="DI69" s="742">
        <v>1</v>
      </c>
      <c r="DJ69" s="742">
        <v>1</v>
      </c>
      <c r="DK69" s="742">
        <v>0.99999999999984601</v>
      </c>
      <c r="DL69" s="742">
        <v>1</v>
      </c>
      <c r="DM69" s="742">
        <v>1</v>
      </c>
      <c r="DN69" s="742">
        <v>1</v>
      </c>
      <c r="DO69" s="742">
        <v>0.62821783586272295</v>
      </c>
      <c r="DP69" s="742">
        <v>1</v>
      </c>
      <c r="DQ69" s="742">
        <v>1</v>
      </c>
      <c r="DR69" s="742">
        <v>1</v>
      </c>
      <c r="DS69" s="742">
        <v>1</v>
      </c>
      <c r="DT69" s="742">
        <v>1</v>
      </c>
      <c r="DU69" s="742">
        <v>1</v>
      </c>
      <c r="DV69" s="742">
        <v>0.62821692458192602</v>
      </c>
      <c r="DW69" s="742">
        <v>1</v>
      </c>
      <c r="DX69" s="742">
        <v>1</v>
      </c>
      <c r="DY69" s="742">
        <v>1</v>
      </c>
      <c r="DZ69" s="742">
        <v>0.62821666856159797</v>
      </c>
      <c r="EA69" s="742">
        <v>1</v>
      </c>
      <c r="EB69" s="742">
        <v>1</v>
      </c>
      <c r="EC69" s="742">
        <v>1</v>
      </c>
      <c r="ED69" s="742">
        <v>0.62821660568604998</v>
      </c>
      <c r="EE69" s="742">
        <v>1</v>
      </c>
      <c r="EF69" s="742">
        <v>1</v>
      </c>
      <c r="EG69" s="742">
        <v>1</v>
      </c>
      <c r="EH69" s="742">
        <v>0.99999999999995604</v>
      </c>
      <c r="EI69" s="742">
        <v>1</v>
      </c>
      <c r="EJ69" s="742">
        <v>1</v>
      </c>
      <c r="EK69" s="742">
        <v>1</v>
      </c>
      <c r="EL69" s="742">
        <v>0.62821634154068196</v>
      </c>
      <c r="EM69" s="742">
        <v>1</v>
      </c>
      <c r="EN69" s="742">
        <v>1</v>
      </c>
      <c r="EO69" s="742">
        <v>1</v>
      </c>
      <c r="EP69" s="742">
        <v>1</v>
      </c>
      <c r="EQ69" s="742">
        <v>1</v>
      </c>
      <c r="ER69" s="742">
        <v>1</v>
      </c>
      <c r="ES69" s="742">
        <v>0.62821235342121295</v>
      </c>
      <c r="ET69" s="742">
        <v>0.999999999999999</v>
      </c>
      <c r="EU69" s="742">
        <v>1</v>
      </c>
      <c r="EV69" s="742">
        <v>1</v>
      </c>
      <c r="EW69" s="742">
        <v>0.62821233574131397</v>
      </c>
      <c r="EX69" s="742">
        <v>1</v>
      </c>
      <c r="EY69" s="742">
        <v>1</v>
      </c>
      <c r="EZ69" s="742">
        <v>1</v>
      </c>
      <c r="FA69" s="742">
        <v>0.62821227285112002</v>
      </c>
      <c r="FB69" s="742">
        <v>1</v>
      </c>
      <c r="FC69" s="742">
        <v>1</v>
      </c>
      <c r="FD69" s="742">
        <v>0.999999999999999</v>
      </c>
      <c r="FE69" s="742">
        <v>0.99999999998997902</v>
      </c>
      <c r="FF69" s="742">
        <v>1</v>
      </c>
      <c r="FG69" s="742">
        <v>1</v>
      </c>
      <c r="FH69" s="742">
        <v>1</v>
      </c>
    </row>
    <row r="70" spans="1:164" ht="12.75" customHeight="1" x14ac:dyDescent="0.2">
      <c r="A70" s="489"/>
      <c r="B70" s="489"/>
      <c r="C70" s="489"/>
      <c r="D70" s="489"/>
      <c r="E70" s="489"/>
      <c r="F70" s="744"/>
      <c r="G70" s="745"/>
      <c r="H70" s="506"/>
      <c r="I70" s="750">
        <v>4104186.4245893401</v>
      </c>
      <c r="J70" s="742">
        <v>0.64114612623276102</v>
      </c>
      <c r="K70" s="742">
        <v>1</v>
      </c>
      <c r="L70" s="742">
        <v>1</v>
      </c>
      <c r="M70" s="742">
        <v>1</v>
      </c>
      <c r="N70" s="742">
        <v>1</v>
      </c>
      <c r="O70" s="742">
        <v>1</v>
      </c>
      <c r="P70" s="742">
        <v>1</v>
      </c>
      <c r="Q70" s="742">
        <v>1</v>
      </c>
      <c r="R70" s="742">
        <v>1</v>
      </c>
      <c r="S70" s="742">
        <v>1</v>
      </c>
      <c r="T70" s="742">
        <v>1</v>
      </c>
      <c r="U70" s="742">
        <v>1</v>
      </c>
      <c r="V70" s="742">
        <v>1</v>
      </c>
      <c r="W70" s="742">
        <v>1</v>
      </c>
      <c r="X70" s="742">
        <v>1</v>
      </c>
      <c r="Y70" s="742">
        <v>0.69240631170911304</v>
      </c>
      <c r="Z70" s="742">
        <v>1</v>
      </c>
      <c r="AA70" s="742">
        <v>1</v>
      </c>
      <c r="AB70" s="742">
        <v>1</v>
      </c>
      <c r="AC70" s="742">
        <v>1</v>
      </c>
      <c r="AD70" s="742">
        <v>1</v>
      </c>
      <c r="AE70" s="742">
        <v>1</v>
      </c>
      <c r="AF70" s="742">
        <v>1</v>
      </c>
      <c r="AG70" s="742">
        <v>1</v>
      </c>
      <c r="AH70" s="742">
        <v>1</v>
      </c>
      <c r="AI70" s="742">
        <v>1</v>
      </c>
      <c r="AJ70" s="742">
        <v>1</v>
      </c>
      <c r="AK70" s="742">
        <v>0.69348850259443195</v>
      </c>
      <c r="AL70" s="742">
        <v>1</v>
      </c>
      <c r="AM70" s="742">
        <v>1</v>
      </c>
      <c r="AN70" s="742">
        <v>1</v>
      </c>
      <c r="AO70" s="742">
        <v>1</v>
      </c>
      <c r="AP70" s="742">
        <v>1</v>
      </c>
      <c r="AQ70" s="742">
        <v>1</v>
      </c>
      <c r="AR70" s="742">
        <v>1</v>
      </c>
      <c r="AS70" s="742">
        <v>1</v>
      </c>
      <c r="AT70" s="742">
        <v>1</v>
      </c>
      <c r="AU70" s="742">
        <v>1</v>
      </c>
      <c r="AV70" s="742">
        <v>1</v>
      </c>
      <c r="AW70" s="742">
        <v>1</v>
      </c>
      <c r="AX70" s="742">
        <v>1</v>
      </c>
      <c r="AY70" s="742">
        <v>1</v>
      </c>
      <c r="AZ70" s="742">
        <v>1</v>
      </c>
      <c r="BA70" s="742">
        <v>0.62850395081335997</v>
      </c>
      <c r="BB70" s="742">
        <v>1</v>
      </c>
      <c r="BC70" s="742">
        <v>1</v>
      </c>
      <c r="BD70" s="742">
        <v>1</v>
      </c>
      <c r="BE70" s="742">
        <v>1</v>
      </c>
      <c r="BF70" s="742">
        <v>1</v>
      </c>
      <c r="BG70" s="742">
        <v>1</v>
      </c>
      <c r="BH70" s="742">
        <v>0.999999999999999</v>
      </c>
      <c r="BI70" s="742">
        <v>1</v>
      </c>
      <c r="BJ70" s="742">
        <v>1</v>
      </c>
      <c r="BK70" s="742">
        <v>1</v>
      </c>
      <c r="BL70" s="742">
        <v>0.999999999999997</v>
      </c>
      <c r="BM70" s="742">
        <v>1</v>
      </c>
      <c r="BN70" s="742">
        <v>1</v>
      </c>
      <c r="BO70" s="742">
        <v>1</v>
      </c>
      <c r="BP70" s="742">
        <v>0.62826866280952598</v>
      </c>
      <c r="BQ70" s="742">
        <v>1</v>
      </c>
      <c r="BR70" s="742">
        <v>1</v>
      </c>
      <c r="BS70" s="742">
        <v>1</v>
      </c>
      <c r="BT70" s="742">
        <v>0.999999999999999</v>
      </c>
      <c r="BU70" s="742">
        <v>1</v>
      </c>
      <c r="BV70" s="742">
        <v>1</v>
      </c>
      <c r="BW70" s="742">
        <v>1</v>
      </c>
      <c r="BX70" s="742">
        <v>0.999999999999998</v>
      </c>
      <c r="BY70" s="742">
        <v>1</v>
      </c>
      <c r="BZ70" s="742">
        <v>1</v>
      </c>
      <c r="CA70" s="742">
        <v>1</v>
      </c>
      <c r="CB70" s="742">
        <v>0.62826871246941196</v>
      </c>
      <c r="CC70" s="742">
        <v>1</v>
      </c>
      <c r="CD70" s="742">
        <v>1</v>
      </c>
      <c r="CE70" s="742">
        <v>1</v>
      </c>
      <c r="CF70" s="742">
        <v>0.999999999999997</v>
      </c>
      <c r="CG70" s="742">
        <v>1</v>
      </c>
      <c r="CH70" s="742">
        <v>1</v>
      </c>
      <c r="CI70" s="742">
        <v>1</v>
      </c>
      <c r="CJ70" s="742">
        <v>0.999999999999997</v>
      </c>
      <c r="CK70" s="742">
        <v>1</v>
      </c>
      <c r="CL70" s="742">
        <v>1</v>
      </c>
      <c r="CM70" s="742">
        <v>1</v>
      </c>
      <c r="CN70" s="742">
        <v>0.999999999999996</v>
      </c>
      <c r="CO70" s="742">
        <v>1</v>
      </c>
      <c r="CP70" s="742">
        <v>1</v>
      </c>
      <c r="CQ70" s="742">
        <v>1</v>
      </c>
      <c r="CR70" s="742">
        <v>0.62821783654283303</v>
      </c>
      <c r="CS70" s="742">
        <v>1</v>
      </c>
      <c r="CT70" s="742">
        <v>1</v>
      </c>
      <c r="CU70" s="742">
        <v>1</v>
      </c>
      <c r="CV70" s="742">
        <v>1</v>
      </c>
      <c r="CW70" s="742">
        <v>1</v>
      </c>
      <c r="CX70" s="742">
        <v>1</v>
      </c>
      <c r="CY70" s="742">
        <v>0.62821795930694802</v>
      </c>
      <c r="CZ70" s="742">
        <v>1</v>
      </c>
      <c r="DA70" s="742">
        <v>1</v>
      </c>
      <c r="DB70" s="742">
        <v>1</v>
      </c>
      <c r="DC70" s="742">
        <v>0.62821750282467204</v>
      </c>
      <c r="DD70" s="742">
        <v>1</v>
      </c>
      <c r="DE70" s="742">
        <v>1</v>
      </c>
      <c r="DF70" s="742">
        <v>1</v>
      </c>
      <c r="DG70" s="742">
        <v>0.62821744000780699</v>
      </c>
      <c r="DH70" s="742">
        <v>1</v>
      </c>
      <c r="DI70" s="742">
        <v>1</v>
      </c>
      <c r="DJ70" s="742">
        <v>1</v>
      </c>
      <c r="DK70" s="742">
        <v>0.99999999999984601</v>
      </c>
      <c r="DL70" s="742">
        <v>1</v>
      </c>
      <c r="DM70" s="742">
        <v>1</v>
      </c>
      <c r="DN70" s="742">
        <v>1</v>
      </c>
      <c r="DO70" s="742">
        <v>0.62821783586272295</v>
      </c>
      <c r="DP70" s="742">
        <v>1</v>
      </c>
      <c r="DQ70" s="742">
        <v>1</v>
      </c>
      <c r="DR70" s="742">
        <v>1</v>
      </c>
      <c r="DS70" s="742">
        <v>1</v>
      </c>
      <c r="DT70" s="742">
        <v>1</v>
      </c>
      <c r="DU70" s="742">
        <v>1</v>
      </c>
      <c r="DV70" s="742">
        <v>0.62821692458192602</v>
      </c>
      <c r="DW70" s="742">
        <v>1</v>
      </c>
      <c r="DX70" s="742">
        <v>1</v>
      </c>
      <c r="DY70" s="742">
        <v>1</v>
      </c>
      <c r="DZ70" s="742">
        <v>0.62821666856159797</v>
      </c>
      <c r="EA70" s="742">
        <v>1</v>
      </c>
      <c r="EB70" s="742">
        <v>1</v>
      </c>
      <c r="EC70" s="742">
        <v>1</v>
      </c>
      <c r="ED70" s="742">
        <v>0.62821660568604998</v>
      </c>
      <c r="EE70" s="742">
        <v>1</v>
      </c>
      <c r="EF70" s="742">
        <v>1</v>
      </c>
      <c r="EG70" s="742">
        <v>1</v>
      </c>
      <c r="EH70" s="742">
        <v>0.99999999999995604</v>
      </c>
      <c r="EI70" s="742">
        <v>1</v>
      </c>
      <c r="EJ70" s="742">
        <v>1</v>
      </c>
      <c r="EK70" s="742">
        <v>1</v>
      </c>
      <c r="EL70" s="742">
        <v>0.62821634154068196</v>
      </c>
      <c r="EM70" s="742">
        <v>1</v>
      </c>
      <c r="EN70" s="742">
        <v>1</v>
      </c>
      <c r="EO70" s="742">
        <v>1</v>
      </c>
      <c r="EP70" s="742">
        <v>1</v>
      </c>
      <c r="EQ70" s="742">
        <v>1</v>
      </c>
      <c r="ER70" s="742">
        <v>1</v>
      </c>
      <c r="ES70" s="742">
        <v>0.62821235342121295</v>
      </c>
      <c r="ET70" s="742">
        <v>0.999999999999999</v>
      </c>
      <c r="EU70" s="742">
        <v>1</v>
      </c>
      <c r="EV70" s="742">
        <v>1</v>
      </c>
      <c r="EW70" s="742">
        <v>0.62821233574131397</v>
      </c>
      <c r="EX70" s="742">
        <v>1</v>
      </c>
      <c r="EY70" s="742">
        <v>1</v>
      </c>
      <c r="EZ70" s="742">
        <v>1</v>
      </c>
      <c r="FA70" s="742">
        <v>0.62821227285112002</v>
      </c>
      <c r="FB70" s="742">
        <v>1</v>
      </c>
      <c r="FC70" s="742">
        <v>1</v>
      </c>
      <c r="FD70" s="742">
        <v>0.999999999999999</v>
      </c>
      <c r="FE70" s="742">
        <v>0.99999999998997902</v>
      </c>
      <c r="FF70" s="742">
        <v>1</v>
      </c>
      <c r="FG70" s="742">
        <v>1</v>
      </c>
      <c r="FH70" s="742">
        <v>1</v>
      </c>
    </row>
    <row r="71" spans="1:164" ht="12.75" customHeight="1" x14ac:dyDescent="0.2">
      <c r="A71" s="489"/>
      <c r="B71" s="489"/>
      <c r="C71" s="489"/>
      <c r="D71" s="489"/>
      <c r="E71" s="489"/>
      <c r="F71" s="744"/>
      <c r="G71" s="745"/>
      <c r="H71" s="506"/>
      <c r="I71" s="750">
        <v>4187945.3312136098</v>
      </c>
      <c r="J71" s="742">
        <v>0.59424308375779999</v>
      </c>
      <c r="K71" s="742">
        <v>-8.7053091129707496E-215</v>
      </c>
      <c r="L71" s="742">
        <v>-2.5643645204072799E-101</v>
      </c>
      <c r="M71" s="742">
        <v>-1.2938318054906001E-214</v>
      </c>
      <c r="N71" s="742">
        <v>-1.3868094439365001E-214</v>
      </c>
      <c r="O71" s="742">
        <v>-2.6125828680336399E-101</v>
      </c>
      <c r="P71" s="742">
        <v>-2.0611538118216299E-214</v>
      </c>
      <c r="Q71" s="742">
        <v>1.6286362544900601E-16</v>
      </c>
      <c r="R71" s="742">
        <v>-9.8913150060480194E-215</v>
      </c>
      <c r="S71" s="742">
        <v>-9.4216229811839799E-101</v>
      </c>
      <c r="T71" s="742">
        <v>2.39192705924868E-108</v>
      </c>
      <c r="U71" s="742">
        <v>9.2880362314619103E-18</v>
      </c>
      <c r="V71" s="742">
        <v>-1.0276406135876599E-217</v>
      </c>
      <c r="W71" s="742">
        <v>1.9012173442266299E-91</v>
      </c>
      <c r="X71" s="742">
        <v>3.3824195194623503E-92</v>
      </c>
      <c r="Y71" s="742">
        <v>0.50935891303381797</v>
      </c>
      <c r="Z71" s="742">
        <v>-7.3916346894568197E-215</v>
      </c>
      <c r="AA71" s="742">
        <v>6.9886204475145801E-34</v>
      </c>
      <c r="AB71" s="742">
        <v>-2.1404939753559599E-30</v>
      </c>
      <c r="AC71" s="742">
        <v>7.6891759226168201E-19</v>
      </c>
      <c r="AD71" s="742">
        <v>-1.10359152760316E-214</v>
      </c>
      <c r="AE71" s="742">
        <v>7.1504260295682499E-89</v>
      </c>
      <c r="AF71" s="742">
        <v>5.6787043574314801E-89</v>
      </c>
      <c r="AG71" s="742">
        <v>8.8867518391708704E-18</v>
      </c>
      <c r="AH71" s="742">
        <v>-1.14655687328561E-217</v>
      </c>
      <c r="AI71" s="742">
        <v>9.6040590521664406E-89</v>
      </c>
      <c r="AJ71" s="742">
        <v>3.7505345798884498E-89</v>
      </c>
      <c r="AK71" s="742">
        <v>0.50756686204569801</v>
      </c>
      <c r="AL71" s="742">
        <v>-7.4389684021116995E-215</v>
      </c>
      <c r="AM71" s="742">
        <v>7.0080230655374702E-34</v>
      </c>
      <c r="AN71" s="742">
        <v>-2.13730217285748E-30</v>
      </c>
      <c r="AO71" s="742">
        <v>4.0778096873008902E-16</v>
      </c>
      <c r="AP71" s="742">
        <v>-1.0928456333117E-214</v>
      </c>
      <c r="AQ71" s="742">
        <v>-3.7545924563232399E-94</v>
      </c>
      <c r="AR71" s="742">
        <v>2.0178677896835401E-89</v>
      </c>
      <c r="AS71" s="742">
        <v>1.1549855819825E-17</v>
      </c>
      <c r="AT71" s="742">
        <v>-1.08941439691336E-216</v>
      </c>
      <c r="AU71" s="742">
        <v>1.3362602406475799E-90</v>
      </c>
      <c r="AV71" s="742">
        <v>1.92491734291074E-89</v>
      </c>
      <c r="AW71" s="742">
        <v>4.0778096873008798E-16</v>
      </c>
      <c r="AX71" s="742">
        <v>-1.09284563643476E-214</v>
      </c>
      <c r="AY71" s="742">
        <v>-3.7545924641834497E-94</v>
      </c>
      <c r="AZ71" s="742">
        <v>2.0178677901217001E-89</v>
      </c>
      <c r="BA71" s="742">
        <v>0.61517785932373203</v>
      </c>
      <c r="BB71" s="742">
        <v>-3.2745450075095699E-214</v>
      </c>
      <c r="BC71" s="742">
        <v>-1.25791017005755E-100</v>
      </c>
      <c r="BD71" s="742">
        <v>-2.7710876635363001E-214</v>
      </c>
      <c r="BE71" s="742">
        <v>-5.21655206490942E-214</v>
      </c>
      <c r="BF71" s="742">
        <v>-1.28156294936996E-100</v>
      </c>
      <c r="BG71" s="742">
        <v>-4.4145132887379404E-214</v>
      </c>
      <c r="BH71" s="742">
        <v>2.43896970068705E-15</v>
      </c>
      <c r="BI71" s="742">
        <v>-3.6468527505343899E-214</v>
      </c>
      <c r="BJ71" s="742">
        <v>-7.1172939225573603E-100</v>
      </c>
      <c r="BK71" s="742">
        <v>-3.7869236081845198E-109</v>
      </c>
      <c r="BL71" s="742">
        <v>5.2695268798578299E-15</v>
      </c>
      <c r="BM71" s="742">
        <v>-3.6468316146234102E-214</v>
      </c>
      <c r="BN71" s="742">
        <v>3.1587970202207099E-90</v>
      </c>
      <c r="BO71" s="742">
        <v>2.6589360960286499E-91</v>
      </c>
      <c r="BP71" s="742">
        <v>0.61556747443038495</v>
      </c>
      <c r="BQ71" s="742">
        <v>-3.66121101411117E-214</v>
      </c>
      <c r="BR71" s="742">
        <v>1.22544429380479E-29</v>
      </c>
      <c r="BS71" s="742">
        <v>-8.4783704421628805E-26</v>
      </c>
      <c r="BT71" s="742">
        <v>2.4132977235701099E-15</v>
      </c>
      <c r="BU71" s="742">
        <v>-3.6893955962826799E-214</v>
      </c>
      <c r="BV71" s="742">
        <v>1.3875285077457499E-88</v>
      </c>
      <c r="BW71" s="742">
        <v>5.9590262555896101E-89</v>
      </c>
      <c r="BX71" s="742">
        <v>5.2477720843174603E-15</v>
      </c>
      <c r="BY71" s="742">
        <v>-3.6893736407822801E-214</v>
      </c>
      <c r="BZ71" s="742">
        <v>1.16111542728107E-87</v>
      </c>
      <c r="CA71" s="742">
        <v>4.7289456525529198E-89</v>
      </c>
      <c r="CB71" s="742">
        <v>0.61556739219623302</v>
      </c>
      <c r="CC71" s="742">
        <v>-3.66185437111513E-214</v>
      </c>
      <c r="CD71" s="742">
        <v>6.9255483260965202E-27</v>
      </c>
      <c r="CE71" s="742">
        <v>2.8406113931697101E-24</v>
      </c>
      <c r="CF71" s="742">
        <v>6.2032099342459603E-15</v>
      </c>
      <c r="CG71" s="742">
        <v>-4.1107927925044697E-214</v>
      </c>
      <c r="CH71" s="742">
        <v>-8.45977484174395E-94</v>
      </c>
      <c r="CI71" s="742">
        <v>2.06704860962095E-89</v>
      </c>
      <c r="CJ71" s="742">
        <v>5.7834543949968798E-15</v>
      </c>
      <c r="CK71" s="742">
        <v>-4.1107927668439702E-214</v>
      </c>
      <c r="CL71" s="742">
        <v>3.6935617001913501E-90</v>
      </c>
      <c r="CM71" s="742">
        <v>2.0655266967732402E-89</v>
      </c>
      <c r="CN71" s="742">
        <v>6.2032099342459603E-15</v>
      </c>
      <c r="CO71" s="742">
        <v>-4.1107927597948603E-214</v>
      </c>
      <c r="CP71" s="742">
        <v>-8.4597748404121996E-94</v>
      </c>
      <c r="CQ71" s="742">
        <v>2.0670486095701602E-89</v>
      </c>
      <c r="CR71" s="742">
        <v>0.61565165007455602</v>
      </c>
      <c r="CS71" s="742">
        <v>-1.2211353851544701E-213</v>
      </c>
      <c r="CT71" s="742">
        <v>-1.13739027130377E-99</v>
      </c>
      <c r="CU71" s="742">
        <v>-9.55890585666462E-214</v>
      </c>
      <c r="CV71" s="742">
        <v>-1.94534396089639E-213</v>
      </c>
      <c r="CW71" s="742">
        <v>-1.1587768858690401E-99</v>
      </c>
      <c r="CX71" s="742">
        <v>-1.5225045184323701E-213</v>
      </c>
      <c r="CY71" s="742">
        <v>0.61565143675452405</v>
      </c>
      <c r="CZ71" s="742">
        <v>-1.5709586697113202E-213</v>
      </c>
      <c r="DA71" s="742">
        <v>4.1424068387916201E-27</v>
      </c>
      <c r="DB71" s="742">
        <v>-6.9285085298519301E-22</v>
      </c>
      <c r="DC71" s="742">
        <v>0.61565219266508098</v>
      </c>
      <c r="DD71" s="742">
        <v>-1.57120617034727E-213</v>
      </c>
      <c r="DE71" s="742">
        <v>6.4432168092625098E-24</v>
      </c>
      <c r="DF71" s="742">
        <v>-1.0638168694760299E-18</v>
      </c>
      <c r="DG71" s="742">
        <v>0.61565229668649502</v>
      </c>
      <c r="DH71" s="742">
        <v>-1.57148232339406E-213</v>
      </c>
      <c r="DI71" s="742">
        <v>6.44573826460824E-24</v>
      </c>
      <c r="DJ71" s="742">
        <v>-1.06380863566495E-18</v>
      </c>
      <c r="DK71" s="742">
        <v>2.5535115287395202E-13</v>
      </c>
      <c r="DL71" s="742">
        <v>-1.6451462991896301E-213</v>
      </c>
      <c r="DM71" s="742">
        <v>-2.5278142548720802E-93</v>
      </c>
      <c r="DN71" s="742">
        <v>2.1249511254295102E-89</v>
      </c>
      <c r="DO71" s="742">
        <v>0.61565165059096305</v>
      </c>
      <c r="DP71" s="742">
        <v>-5.9921512949303598E-213</v>
      </c>
      <c r="DQ71" s="742">
        <v>-5.0343028254297298E-99</v>
      </c>
      <c r="DR71" s="742">
        <v>-1.0194108513083899E-211</v>
      </c>
      <c r="DS71" s="742">
        <v>-5.2067861712571802E-212</v>
      </c>
      <c r="DT71" s="742">
        <v>-5.3086392539688701E-99</v>
      </c>
      <c r="DU71" s="742">
        <v>1.1130860732705301E-210</v>
      </c>
      <c r="DV71" s="742">
        <v>0.61565315020455302</v>
      </c>
      <c r="DW71" s="742">
        <v>-2.30513829335629E-212</v>
      </c>
      <c r="DX71" s="742">
        <v>1.8639398495076301E-23</v>
      </c>
      <c r="DY71" s="742">
        <v>-2.49300994463155E-17</v>
      </c>
      <c r="DZ71" s="742">
        <v>0.61565357416070299</v>
      </c>
      <c r="EA71" s="742">
        <v>-2.3054820369942501E-212</v>
      </c>
      <c r="EB71" s="742">
        <v>2.4537454809047501E-20</v>
      </c>
      <c r="EC71" s="742">
        <v>-3.2427471824099197E-14</v>
      </c>
      <c r="ED71" s="742">
        <v>0.61565367827929096</v>
      </c>
      <c r="EE71" s="742">
        <v>-2.3058645651130599E-212</v>
      </c>
      <c r="EF71" s="742">
        <v>2.3035503302631301E-13</v>
      </c>
      <c r="EG71" s="742">
        <v>-3.8061803590414397E-8</v>
      </c>
      <c r="EH71" s="742">
        <v>7.3918737443165695E-14</v>
      </c>
      <c r="EI71" s="742">
        <v>-3.0961870941200002E-212</v>
      </c>
      <c r="EJ71" s="742">
        <v>7.8824432447788004E-89</v>
      </c>
      <c r="EK71" s="742">
        <v>2.22057610183976E-89</v>
      </c>
      <c r="EL71" s="742">
        <v>0.61565411571583994</v>
      </c>
      <c r="EM71" s="742">
        <v>-4.2470378045417301E-213</v>
      </c>
      <c r="EN71" s="742">
        <v>-2.9845212462499301E-99</v>
      </c>
      <c r="EO71" s="742">
        <v>-2.85405568385377E-213</v>
      </c>
      <c r="EP71" s="742">
        <v>-5.3118339610695299E-213</v>
      </c>
      <c r="EQ71" s="742">
        <v>-3.01447899536668E-99</v>
      </c>
      <c r="ER71" s="742">
        <v>-3.5695393852456603E-213</v>
      </c>
      <c r="ES71" s="742">
        <v>0.61566071980543002</v>
      </c>
      <c r="ET71" s="742">
        <v>-4.8360429759033902E-213</v>
      </c>
      <c r="EU71" s="742">
        <v>-4.3284135333344901E-32</v>
      </c>
      <c r="EV71" s="742">
        <v>-6.3139639509820798E-23</v>
      </c>
      <c r="EW71" s="742">
        <v>0.61566074908240997</v>
      </c>
      <c r="EX71" s="742">
        <v>-4.83677072774219E-213</v>
      </c>
      <c r="EY71" s="742">
        <v>-7.8641130281401996E-29</v>
      </c>
      <c r="EZ71" s="742">
        <v>-1.06104545396653E-19</v>
      </c>
      <c r="FA71" s="742">
        <v>0.61566085322525399</v>
      </c>
      <c r="FB71" s="742">
        <v>-4.8375847479872598E-213</v>
      </c>
      <c r="FC71" s="742">
        <v>-7.8638576965762895E-29</v>
      </c>
      <c r="FD71" s="742">
        <v>-1.06099689698067E-19</v>
      </c>
      <c r="FE71" s="742">
        <v>1.65945539370611E-11</v>
      </c>
      <c r="FF71" s="742">
        <v>-4.8942159799520698E-213</v>
      </c>
      <c r="FG71" s="742">
        <v>-1.2300968606238599E-93</v>
      </c>
      <c r="FH71" s="742">
        <v>2.1729140676634901E-89</v>
      </c>
    </row>
    <row r="72" spans="1:164" ht="12.75" customHeight="1" x14ac:dyDescent="0.2">
      <c r="A72" s="489"/>
      <c r="B72" s="489"/>
      <c r="C72" s="489"/>
      <c r="D72" s="489"/>
      <c r="E72" s="489"/>
      <c r="F72" s="744"/>
      <c r="G72" s="745"/>
      <c r="H72" s="506"/>
      <c r="I72" s="750">
        <v>4271704.2378378799</v>
      </c>
      <c r="J72" s="742">
        <v>0.58236358018000001</v>
      </c>
      <c r="K72" s="742">
        <v>2.0971097403205601E-216</v>
      </c>
      <c r="L72" s="742">
        <v>6.17759043463423E-103</v>
      </c>
      <c r="M72" s="742">
        <v>3.11684240845116E-216</v>
      </c>
      <c r="N72" s="742">
        <v>3.3408255930866298E-216</v>
      </c>
      <c r="O72" s="742">
        <v>6.2937491197316098E-103</v>
      </c>
      <c r="P72" s="742">
        <v>4.9653229007251202E-216</v>
      </c>
      <c r="Q72" s="742">
        <v>1.5960782142857E-16</v>
      </c>
      <c r="R72" s="742">
        <v>2.3828188710144101E-216</v>
      </c>
      <c r="S72" s="742">
        <v>2.2696823282969202E-102</v>
      </c>
      <c r="T72" s="742">
        <v>-5.7621801049452198E-110</v>
      </c>
      <c r="U72" s="742">
        <v>9.1022787159045293E-18</v>
      </c>
      <c r="V72" s="742">
        <v>2.4755871005807499E-219</v>
      </c>
      <c r="W72" s="742">
        <v>-4.5800668600901298E-93</v>
      </c>
      <c r="X72" s="742">
        <v>-8.1483134318267395E-94</v>
      </c>
      <c r="Y72" s="742">
        <v>0.499176327497376</v>
      </c>
      <c r="Z72" s="742">
        <v>1.7806454739355301E-216</v>
      </c>
      <c r="AA72" s="742">
        <v>-1.6186156160873799E-37</v>
      </c>
      <c r="AB72" s="742">
        <v>2.57933662294456E-34</v>
      </c>
      <c r="AC72" s="742">
        <v>7.5354617782781598E-19</v>
      </c>
      <c r="AD72" s="742">
        <v>2.6585534111137101E-216</v>
      </c>
      <c r="AE72" s="742">
        <v>-1.7225513021102199E-90</v>
      </c>
      <c r="AF72" s="742">
        <v>-1.3680107352682199E-90</v>
      </c>
      <c r="AG72" s="742">
        <v>8.7090153055509404E-18</v>
      </c>
      <c r="AH72" s="742">
        <v>2.7620565392368599E-219</v>
      </c>
      <c r="AI72" s="742">
        <v>-2.31363622190555E-90</v>
      </c>
      <c r="AJ72" s="742">
        <v>-9.03510953262915E-91</v>
      </c>
      <c r="AK72" s="742">
        <v>0.49742010137067499</v>
      </c>
      <c r="AL72" s="742">
        <v>1.7920481426501499E-216</v>
      </c>
      <c r="AM72" s="742">
        <v>-2.0888413507002299E-37</v>
      </c>
      <c r="AN72" s="742">
        <v>1.9703033173729899E-34</v>
      </c>
      <c r="AO72" s="742">
        <v>3.9962902618437E-16</v>
      </c>
      <c r="AP72" s="742">
        <v>2.63266630690965E-216</v>
      </c>
      <c r="AQ72" s="742">
        <v>9.0448764845599801E-96</v>
      </c>
      <c r="AR72" s="742">
        <v>-4.8610821846114102E-91</v>
      </c>
      <c r="AS72" s="742">
        <v>1.13188019337742E-17</v>
      </c>
      <c r="AT72" s="742">
        <v>2.6244003707269402E-218</v>
      </c>
      <c r="AU72" s="742">
        <v>-3.2190750270874501E-92</v>
      </c>
      <c r="AV72" s="742">
        <v>-4.6371627829300198E-91</v>
      </c>
      <c r="AW72" s="742">
        <v>3.9962902618437E-16</v>
      </c>
      <c r="AX72" s="742">
        <v>2.6326663076339701E-216</v>
      </c>
      <c r="AY72" s="742">
        <v>9.0448765069498897E-96</v>
      </c>
      <c r="AZ72" s="742">
        <v>-4.8610821854109599E-91</v>
      </c>
      <c r="BA72" s="742">
        <v>0.60287984899670299</v>
      </c>
      <c r="BB72" s="742">
        <v>7.8883829958816201E-216</v>
      </c>
      <c r="BC72" s="742">
        <v>3.0303234120971299E-102</v>
      </c>
      <c r="BD72" s="742">
        <v>6.6755535207046305E-216</v>
      </c>
      <c r="BE72" s="742">
        <v>1.25666806059648E-215</v>
      </c>
      <c r="BF72" s="742">
        <v>3.0873033059634999E-102</v>
      </c>
      <c r="BG72" s="742">
        <v>1.0634568087664601E-215</v>
      </c>
      <c r="BH72" s="742">
        <v>2.3902122977607901E-15</v>
      </c>
      <c r="BI72" s="742">
        <v>8.7852732205769798E-216</v>
      </c>
      <c r="BJ72" s="742">
        <v>1.7145661940204501E-101</v>
      </c>
      <c r="BK72" s="742">
        <v>9.1227435990829996E-111</v>
      </c>
      <c r="BL72" s="742">
        <v>5.1641837640713998E-15</v>
      </c>
      <c r="BM72" s="742">
        <v>8.7852218251329295E-216</v>
      </c>
      <c r="BN72" s="742">
        <v>-7.6095995077638102E-92</v>
      </c>
      <c r="BO72" s="742">
        <v>-6.4054271575503602E-93</v>
      </c>
      <c r="BP72" s="742">
        <v>0.60326167531420005</v>
      </c>
      <c r="BQ72" s="742">
        <v>8.8198621325174397E-216</v>
      </c>
      <c r="BR72" s="742">
        <v>-2.6472948967368501E-33</v>
      </c>
      <c r="BS72" s="742">
        <v>1.07352283323628E-29</v>
      </c>
      <c r="BT72" s="742">
        <v>2.36505352676236E-15</v>
      </c>
      <c r="BU72" s="742">
        <v>8.8877589665248097E-216</v>
      </c>
      <c r="BV72" s="742">
        <v>-3.3425826977561799E-90</v>
      </c>
      <c r="BW72" s="742">
        <v>-1.4355408166712601E-90</v>
      </c>
      <c r="BX72" s="742">
        <v>5.1428638655101897E-15</v>
      </c>
      <c r="BY72" s="742">
        <v>8.8877056399452803E-216</v>
      </c>
      <c r="BZ72" s="742">
        <v>-2.7971487763279701E-89</v>
      </c>
      <c r="CA72" s="742">
        <v>-1.1392118769561E-90</v>
      </c>
      <c r="CB72" s="742">
        <v>0.60326159472398599</v>
      </c>
      <c r="CC72" s="742">
        <v>8.8214131276482698E-216</v>
      </c>
      <c r="CD72" s="742">
        <v>-1.6695924599289501E-28</v>
      </c>
      <c r="CE72" s="742">
        <v>-7.0102029886884202E-26</v>
      </c>
      <c r="CF72" s="742">
        <v>6.0792016678953202E-15</v>
      </c>
      <c r="CG72" s="742">
        <v>9.9029048418384499E-216</v>
      </c>
      <c r="CH72" s="742">
        <v>2.0379740143632101E-95</v>
      </c>
      <c r="CI72" s="742">
        <v>-4.9795597142646595E-91</v>
      </c>
      <c r="CJ72" s="742">
        <v>5.6678372935054603E-15</v>
      </c>
      <c r="CK72" s="742">
        <v>9.9029048909684204E-216</v>
      </c>
      <c r="CL72" s="742">
        <v>-8.8978567487158306E-92</v>
      </c>
      <c r="CM72" s="742">
        <v>-4.9758934049362799E-91</v>
      </c>
      <c r="CN72" s="742">
        <v>6.0792016678953202E-15</v>
      </c>
      <c r="CO72" s="742">
        <v>9.9029056283013195E-216</v>
      </c>
      <c r="CP72" s="742">
        <v>2.03797400266288E-95</v>
      </c>
      <c r="CQ72" s="742">
        <v>-4.97955971240423E-91</v>
      </c>
      <c r="CR72" s="742">
        <v>0.60334416820453696</v>
      </c>
      <c r="CS72" s="742">
        <v>2.9417169934725498E-215</v>
      </c>
      <c r="CT72" s="742">
        <v>2.7399892879784599E-101</v>
      </c>
      <c r="CU72" s="742">
        <v>2.3027417956108699E-215</v>
      </c>
      <c r="CV72" s="742">
        <v>4.6863363196570105E-215</v>
      </c>
      <c r="CW72" s="742">
        <v>2.7915099466930401E-101</v>
      </c>
      <c r="CX72" s="742">
        <v>3.6677151280234998E-215</v>
      </c>
      <c r="CY72" s="742">
        <v>0.60334395914891403</v>
      </c>
      <c r="CZ72" s="742">
        <v>3.7844417402550399E-215</v>
      </c>
      <c r="DA72" s="742">
        <v>-7.14542150044224E-31</v>
      </c>
      <c r="DB72" s="742">
        <v>1.00645385303258E-25</v>
      </c>
      <c r="DC72" s="742">
        <v>0.60334469994807105</v>
      </c>
      <c r="DD72" s="742">
        <v>3.78503773797783E-215</v>
      </c>
      <c r="DE72" s="742">
        <v>-1.07967409674487E-27</v>
      </c>
      <c r="DF72" s="742">
        <v>1.54788052437652E-22</v>
      </c>
      <c r="DG72" s="742">
        <v>0.60334480188999795</v>
      </c>
      <c r="DH72" s="742">
        <v>3.7857026833873901E-215</v>
      </c>
      <c r="DI72" s="742">
        <v>-1.1411841500908899E-27</v>
      </c>
      <c r="DJ72" s="742">
        <v>1.5429768501355399E-22</v>
      </c>
      <c r="DK72" s="742">
        <v>2.5024643223509398E-13</v>
      </c>
      <c r="DL72" s="742">
        <v>3.9631594789598601E-215</v>
      </c>
      <c r="DM72" s="742">
        <v>6.0895471173519795E-95</v>
      </c>
      <c r="DN72" s="742">
        <v>-5.1190479945554497E-91</v>
      </c>
      <c r="DO72" s="742">
        <v>0.60334416871062102</v>
      </c>
      <c r="DP72" s="742">
        <v>1.4435100598629E-214</v>
      </c>
      <c r="DQ72" s="742">
        <v>1.2127706879681299E-100</v>
      </c>
      <c r="DR72" s="742">
        <v>2.45576209274149E-213</v>
      </c>
      <c r="DS72" s="742">
        <v>1.2543154297573E-213</v>
      </c>
      <c r="DT72" s="742">
        <v>1.2788587202312899E-100</v>
      </c>
      <c r="DU72" s="742">
        <v>-2.6814258373605003E-212</v>
      </c>
      <c r="DV72" s="742">
        <v>0.60334563834539301</v>
      </c>
      <c r="DW72" s="742">
        <v>5.5530811576821396E-214</v>
      </c>
      <c r="DX72" s="742">
        <v>-3.1086626756170199E-27</v>
      </c>
      <c r="DY72" s="742">
        <v>3.6283576892315802E-21</v>
      </c>
      <c r="DZ72" s="742">
        <v>0.60334605382624495</v>
      </c>
      <c r="EA72" s="742">
        <v>5.5539097029042197E-214</v>
      </c>
      <c r="EB72" s="742">
        <v>-3.9699500310472496E-24</v>
      </c>
      <c r="EC72" s="742">
        <v>4.7273599519217499E-18</v>
      </c>
      <c r="ED72" s="742">
        <v>0.60334615586338802</v>
      </c>
      <c r="EE72" s="742">
        <v>5.5548312883867497E-214</v>
      </c>
      <c r="EF72" s="742">
        <v>-3.5939051819634503E-17</v>
      </c>
      <c r="EG72" s="742">
        <v>5.5593985426911903E-12</v>
      </c>
      <c r="EH72" s="742">
        <v>7.2441010051829297E-14</v>
      </c>
      <c r="EI72" s="742">
        <v>7.4587179973694395E-214</v>
      </c>
      <c r="EJ72" s="742">
        <v>-1.8988949665403799E-90</v>
      </c>
      <c r="EK72" s="742">
        <v>-5.3494104051878297E-91</v>
      </c>
      <c r="EL72" s="742">
        <v>0.60334658455522105</v>
      </c>
      <c r="EM72" s="742">
        <v>1.02311193768088E-214</v>
      </c>
      <c r="EN72" s="742">
        <v>7.1897539831494305E-101</v>
      </c>
      <c r="EO72" s="742">
        <v>6.8754244483150698E-215</v>
      </c>
      <c r="EP72" s="742">
        <v>1.27962150085164E-214</v>
      </c>
      <c r="EQ72" s="742">
        <v>7.2619226227036306E-101</v>
      </c>
      <c r="ER72" s="742">
        <v>8.5990261933404602E-215</v>
      </c>
      <c r="ES72" s="742">
        <v>0.603353056622559</v>
      </c>
      <c r="ET72" s="742">
        <v>1.1650034246482601E-214</v>
      </c>
      <c r="EU72" s="742">
        <v>-1.2401374733121199E-34</v>
      </c>
      <c r="EV72" s="742">
        <v>9.1135863960376196E-27</v>
      </c>
      <c r="EW72" s="742">
        <v>0.60335308531426601</v>
      </c>
      <c r="EX72" s="742">
        <v>1.1651786865046301E-214</v>
      </c>
      <c r="EY72" s="742">
        <v>-2.2526591670131401E-31</v>
      </c>
      <c r="EZ72" s="742">
        <v>1.5391195884887299E-23</v>
      </c>
      <c r="FA72" s="742">
        <v>0.60335318737520005</v>
      </c>
      <c r="FB72" s="742">
        <v>1.1653747739756E-214</v>
      </c>
      <c r="FC72" s="742">
        <v>-2.25351417247286E-31</v>
      </c>
      <c r="FD72" s="742">
        <v>1.5247497704357401E-23</v>
      </c>
      <c r="FE72" s="742">
        <v>1.6262812486036398E-11</v>
      </c>
      <c r="FF72" s="742">
        <v>1.17901727387843E-214</v>
      </c>
      <c r="FG72" s="742">
        <v>2.96332212586473E-95</v>
      </c>
      <c r="FH72" s="742">
        <v>-5.2345916359628998E-91</v>
      </c>
    </row>
    <row r="73" spans="1:164" ht="12.75" customHeight="1" x14ac:dyDescent="0.2">
      <c r="A73" s="489"/>
      <c r="B73" s="489"/>
      <c r="C73" s="489"/>
      <c r="D73" s="489"/>
      <c r="E73" s="489"/>
      <c r="F73" s="744"/>
      <c r="G73" s="745"/>
      <c r="H73" s="506"/>
      <c r="I73" s="750">
        <v>4355463.1444621598</v>
      </c>
      <c r="J73" s="742">
        <v>0.57072195543958104</v>
      </c>
      <c r="K73" s="742">
        <v>-7.1026138551376099E-216</v>
      </c>
      <c r="L73" s="742">
        <v>-2.0922282289765099E-102</v>
      </c>
      <c r="M73" s="742">
        <v>-1.05563036701465E-215</v>
      </c>
      <c r="N73" s="742">
        <v>-1.13149030368559E-215</v>
      </c>
      <c r="O73" s="742">
        <v>-2.1315688885640801E-102</v>
      </c>
      <c r="P73" s="742">
        <v>-1.6816844497197801E-215</v>
      </c>
      <c r="Q73" s="742">
        <v>1.56417212630312E-16</v>
      </c>
      <c r="R73" s="742">
        <v>-8.0702700617319001E-216</v>
      </c>
      <c r="S73" s="742">
        <v>-7.6869670816933893E-102</v>
      </c>
      <c r="T73" s="742">
        <v>1.9515431733091399E-109</v>
      </c>
      <c r="U73" s="742">
        <v>8.9203297975153502E-18</v>
      </c>
      <c r="V73" s="742">
        <v>-8.3844631351487697E-219</v>
      </c>
      <c r="W73" s="742">
        <v>1.55117092155757E-92</v>
      </c>
      <c r="X73" s="742">
        <v>2.75965597364517E-93</v>
      </c>
      <c r="Y73" s="742">
        <v>0.48919764118911302</v>
      </c>
      <c r="Z73" s="742">
        <v>-6.0307941780775205E-216</v>
      </c>
      <c r="AA73" s="742">
        <v>-3.8269848547365001E-35</v>
      </c>
      <c r="AB73" s="742">
        <v>1.18573024804633E-31</v>
      </c>
      <c r="AC73" s="742">
        <v>7.3848256054700101E-19</v>
      </c>
      <c r="AD73" s="742">
        <v>-9.0041437091081097E-216</v>
      </c>
      <c r="AE73" s="742">
        <v>5.8339058070742502E-90</v>
      </c>
      <c r="AF73" s="742">
        <v>4.6331541865185901E-90</v>
      </c>
      <c r="AG73" s="742">
        <v>8.5349279554952004E-18</v>
      </c>
      <c r="AH73" s="742">
        <v>-9.3546945271496002E-219</v>
      </c>
      <c r="AI73" s="742">
        <v>7.8357812547857799E-90</v>
      </c>
      <c r="AJ73" s="742">
        <v>3.0599946251872598E-90</v>
      </c>
      <c r="AK73" s="742">
        <v>0.487476522555776</v>
      </c>
      <c r="AL73" s="742">
        <v>-6.0694134063632897E-216</v>
      </c>
      <c r="AM73" s="742">
        <v>-3.8111193113729298E-35</v>
      </c>
      <c r="AN73" s="742">
        <v>1.18745906170881E-31</v>
      </c>
      <c r="AO73" s="742">
        <v>3.9164032064618198E-16</v>
      </c>
      <c r="AP73" s="742">
        <v>-8.9164679626576696E-216</v>
      </c>
      <c r="AQ73" s="742">
        <v>-3.0633112471356503E-95</v>
      </c>
      <c r="AR73" s="742">
        <v>1.64634247231678E-90</v>
      </c>
      <c r="AS73" s="742">
        <v>1.10925524222926E-17</v>
      </c>
      <c r="AT73" s="742">
        <v>-8.8884724556736704E-218</v>
      </c>
      <c r="AU73" s="742">
        <v>1.09023202544355E-91</v>
      </c>
      <c r="AV73" s="742">
        <v>1.5705058555979601E-90</v>
      </c>
      <c r="AW73" s="742">
        <v>3.9164032064618198E-16</v>
      </c>
      <c r="AX73" s="742">
        <v>-8.9164679737464305E-216</v>
      </c>
      <c r="AY73" s="742">
        <v>-3.0633112548969397E-95</v>
      </c>
      <c r="AZ73" s="742">
        <v>1.64634247252788E-90</v>
      </c>
      <c r="BA73" s="742">
        <v>0.59082809781505896</v>
      </c>
      <c r="BB73" s="742">
        <v>-2.6716835664569098E-215</v>
      </c>
      <c r="BC73" s="742">
        <v>-1.02631086536002E-101</v>
      </c>
      <c r="BD73" s="742">
        <v>-2.2609154173342599E-215</v>
      </c>
      <c r="BE73" s="742">
        <v>-4.2561566702185799E-215</v>
      </c>
      <c r="BF73" s="742">
        <v>-1.04560883214206E-101</v>
      </c>
      <c r="BG73" s="742">
        <v>-3.6017775300400499E-215</v>
      </c>
      <c r="BH73" s="742">
        <v>2.3424312284278399E-15</v>
      </c>
      <c r="BI73" s="742">
        <v>-2.9754475407230598E-215</v>
      </c>
      <c r="BJ73" s="742">
        <v>-5.80689805181209E-101</v>
      </c>
      <c r="BK73" s="742">
        <v>-3.0897029271783803E-110</v>
      </c>
      <c r="BL73" s="742">
        <v>5.0609501726442597E-15</v>
      </c>
      <c r="BM73" s="742">
        <v>-2.9754301784833899E-215</v>
      </c>
      <c r="BN73" s="742">
        <v>2.5772084718987499E-91</v>
      </c>
      <c r="BO73" s="742">
        <v>2.1693793228947401E-92</v>
      </c>
      <c r="BP73" s="742">
        <v>0.59120229130865698</v>
      </c>
      <c r="BQ73" s="742">
        <v>-2.9871623239470201E-215</v>
      </c>
      <c r="BR73" s="742">
        <v>-6.7213999084660002E-31</v>
      </c>
      <c r="BS73" s="742">
        <v>4.6935940381706801E-27</v>
      </c>
      <c r="BT73" s="742">
        <v>2.3177753891015801E-15</v>
      </c>
      <c r="BU73" s="742">
        <v>-3.0101580033356701E-215</v>
      </c>
      <c r="BV73" s="742">
        <v>1.1320599038714101E-89</v>
      </c>
      <c r="BW73" s="742">
        <v>4.8618638498766999E-90</v>
      </c>
      <c r="BX73" s="742">
        <v>5.0400564656161603E-15</v>
      </c>
      <c r="BY73" s="742">
        <v>-3.0101399790206699E-215</v>
      </c>
      <c r="BZ73" s="742">
        <v>9.4733382617107906E-89</v>
      </c>
      <c r="CA73" s="742">
        <v>3.8582641027350102E-90</v>
      </c>
      <c r="CB73" s="742">
        <v>0.59120221232947201</v>
      </c>
      <c r="CC73" s="742">
        <v>-2.98768751524316E-215</v>
      </c>
      <c r="CD73" s="742">
        <v>5.65737361804961E-28</v>
      </c>
      <c r="CE73" s="742">
        <v>2.4131109826544901E-25</v>
      </c>
      <c r="CF73" s="742">
        <v>5.9576765812524098E-15</v>
      </c>
      <c r="CG73" s="742">
        <v>-3.3539735954927998E-215</v>
      </c>
      <c r="CH73" s="742">
        <v>-6.90219344545648E-95</v>
      </c>
      <c r="CI73" s="742">
        <v>1.6864682274990401E-90</v>
      </c>
      <c r="CJ73" s="742">
        <v>5.5545355223707603E-15</v>
      </c>
      <c r="CK73" s="742">
        <v>-3.3539735815266399E-215</v>
      </c>
      <c r="CL73" s="742">
        <v>3.0135142274432599E-91</v>
      </c>
      <c r="CM73" s="742">
        <v>1.68522652691429E-90</v>
      </c>
      <c r="CN73" s="742">
        <v>5.9576765812524098E-15</v>
      </c>
      <c r="CO73" s="742">
        <v>-3.3539737528986898E-215</v>
      </c>
      <c r="CP73" s="742">
        <v>-6.9021934158336099E-95</v>
      </c>
      <c r="CQ73" s="742">
        <v>1.6864682267930499E-90</v>
      </c>
      <c r="CR73" s="742">
        <v>0.59128313514097397</v>
      </c>
      <c r="CS73" s="742">
        <v>-9.9631784048344702E-215</v>
      </c>
      <c r="CT73" s="742">
        <v>-9.2798041321496398E-101</v>
      </c>
      <c r="CU73" s="742">
        <v>-7.7990600499965498E-215</v>
      </c>
      <c r="CV73" s="742">
        <v>-1.58719568755845E-214</v>
      </c>
      <c r="CW73" s="742">
        <v>-9.4542944576940604E-101</v>
      </c>
      <c r="CX73" s="742">
        <v>-1.2422031636293299E-214</v>
      </c>
      <c r="CY73" s="742">
        <v>0.59128293026454404</v>
      </c>
      <c r="CZ73" s="742">
        <v>-1.2817367665826699E-214</v>
      </c>
      <c r="DA73" s="742">
        <v>-2.2823167679812499E-28</v>
      </c>
      <c r="DB73" s="742">
        <v>3.82814044040868E-23</v>
      </c>
      <c r="DC73" s="742">
        <v>0.59128365625490797</v>
      </c>
      <c r="DD73" s="742">
        <v>-1.28193864895277E-214</v>
      </c>
      <c r="DE73" s="742">
        <v>-3.5517347388895002E-25</v>
      </c>
      <c r="DF73" s="742">
        <v>5.8775585159873506E-20</v>
      </c>
      <c r="DG73" s="742">
        <v>0.59128375615897899</v>
      </c>
      <c r="DH73" s="742">
        <v>-1.28216388378022E-214</v>
      </c>
      <c r="DI73" s="742">
        <v>-3.5497482328475001E-25</v>
      </c>
      <c r="DJ73" s="742">
        <v>5.8779816906635901E-20</v>
      </c>
      <c r="DK73" s="742">
        <v>2.4524393009405E-13</v>
      </c>
      <c r="DL73" s="742">
        <v>-1.34226596776695E-214</v>
      </c>
      <c r="DM73" s="742">
        <v>-2.06240275538868E-94</v>
      </c>
      <c r="DN73" s="742">
        <v>1.7337098633958799E-90</v>
      </c>
      <c r="DO73" s="742">
        <v>0.59128313563694102</v>
      </c>
      <c r="DP73" s="742">
        <v>-4.8889640079449402E-214</v>
      </c>
      <c r="DQ73" s="742">
        <v>-4.10741548813006E-100</v>
      </c>
      <c r="DR73" s="742">
        <v>-8.3173181724387899E-213</v>
      </c>
      <c r="DS73" s="742">
        <v>-4.24818813448771E-213</v>
      </c>
      <c r="DT73" s="742">
        <v>-4.3312426412861299E-100</v>
      </c>
      <c r="DU73" s="742">
        <v>9.0816096643030901E-212</v>
      </c>
      <c r="DV73" s="742">
        <v>0.59128457589337402</v>
      </c>
      <c r="DW73" s="742">
        <v>-1.8807497112324E-213</v>
      </c>
      <c r="DX73" s="742">
        <v>-1.02755245930416E-24</v>
      </c>
      <c r="DY73" s="742">
        <v>1.3773717915955501E-18</v>
      </c>
      <c r="DZ73" s="742">
        <v>0.59128498306863397</v>
      </c>
      <c r="EA73" s="742">
        <v>-1.8810302841514099E-213</v>
      </c>
      <c r="EB73" s="742">
        <v>-1.35337687217168E-21</v>
      </c>
      <c r="EC73" s="742">
        <v>1.7915217648018102E-15</v>
      </c>
      <c r="ED73" s="742">
        <v>0.59128508306604199</v>
      </c>
      <c r="EE73" s="742">
        <v>-1.88134240870688E-213</v>
      </c>
      <c r="EF73" s="742">
        <v>-1.2712712761095599E-14</v>
      </c>
      <c r="EG73" s="742">
        <v>2.1026998486078998E-9</v>
      </c>
      <c r="EH73" s="742">
        <v>7.0992894264993605E-14</v>
      </c>
      <c r="EI73" s="742">
        <v>-2.5261618812886302E-213</v>
      </c>
      <c r="EJ73" s="742">
        <v>6.4311502210202797E-90</v>
      </c>
      <c r="EK73" s="742">
        <v>1.8117285849853501E-90</v>
      </c>
      <c r="EL73" s="742">
        <v>0.59128550318808304</v>
      </c>
      <c r="EM73" s="742">
        <v>-3.4651351770254098E-214</v>
      </c>
      <c r="EN73" s="742">
        <v>-2.4350280873506E-100</v>
      </c>
      <c r="EO73" s="742">
        <v>-2.3286087888478499E-214</v>
      </c>
      <c r="EP73" s="742">
        <v>-4.3338967046637801E-214</v>
      </c>
      <c r="EQ73" s="742">
        <v>-2.4594701848672602E-100</v>
      </c>
      <c r="ER73" s="742">
        <v>-2.9123682182174302E-214</v>
      </c>
      <c r="ES73" s="742">
        <v>0.59129184587684303</v>
      </c>
      <c r="ET73" s="742">
        <v>-3.9457014789757197E-214</v>
      </c>
      <c r="EU73" s="742">
        <v>3.1116311680752002E-33</v>
      </c>
      <c r="EV73" s="742">
        <v>3.4889032075877599E-24</v>
      </c>
      <c r="EW73" s="742">
        <v>0.59129187399498995</v>
      </c>
      <c r="EX73" s="742">
        <v>-3.9462951390182803E-214</v>
      </c>
      <c r="EY73" s="742">
        <v>5.6530384401258697E-30</v>
      </c>
      <c r="EZ73" s="742">
        <v>5.8624774789497203E-21</v>
      </c>
      <c r="FA73" s="742">
        <v>0.59129197401568201</v>
      </c>
      <c r="FB73" s="742">
        <v>-3.9469592431827202E-214</v>
      </c>
      <c r="FC73" s="742">
        <v>5.6535186943641697E-30</v>
      </c>
      <c r="FD73" s="742">
        <v>5.8632149899616502E-21</v>
      </c>
      <c r="FE73" s="742">
        <v>1.59377139279709E-11</v>
      </c>
      <c r="FF73" s="742">
        <v>-3.9931644474372202E-214</v>
      </c>
      <c r="FG73" s="742">
        <v>-1.0036174584591401E-94</v>
      </c>
      <c r="FH73" s="742">
        <v>1.7728419742275001E-90</v>
      </c>
    </row>
    <row r="74" spans="1:164" ht="12.75" customHeight="1" x14ac:dyDescent="0.2">
      <c r="A74" s="489"/>
      <c r="B74" s="489"/>
      <c r="C74" s="489"/>
      <c r="D74" s="489"/>
      <c r="E74" s="489"/>
      <c r="F74" s="744"/>
      <c r="G74" s="745"/>
      <c r="H74" s="506"/>
      <c r="I74" s="750">
        <v>4439222.0510864304</v>
      </c>
      <c r="J74" s="742">
        <v>0.55931329916353401</v>
      </c>
      <c r="K74" s="742">
        <v>9.33973242284879E-215</v>
      </c>
      <c r="L74" s="742">
        <v>2.7512508321913499E-101</v>
      </c>
      <c r="M74" s="742">
        <v>1.3881233805009001E-214</v>
      </c>
      <c r="N74" s="742">
        <v>1.48787701871047E-214</v>
      </c>
      <c r="O74" s="742">
        <v>2.8029832444540099E-101</v>
      </c>
      <c r="P74" s="742">
        <v>2.2113661449901599E-214</v>
      </c>
      <c r="Q74" s="742">
        <v>1.53290453273066E-16</v>
      </c>
      <c r="R74" s="742">
        <v>1.0612171859827401E-214</v>
      </c>
      <c r="S74" s="742">
        <v>1.01082540596818E-100</v>
      </c>
      <c r="T74" s="742">
        <v>-2.5662462253026699E-108</v>
      </c>
      <c r="U74" s="742">
        <v>8.7419211479075095E-18</v>
      </c>
      <c r="V74" s="742">
        <v>1.1025327483552301E-217</v>
      </c>
      <c r="W74" s="742">
        <v>-2.0397749312399501E-91</v>
      </c>
      <c r="X74" s="742">
        <v>-3.6289248131887301E-92</v>
      </c>
      <c r="Y74" s="742">
        <v>0.479418645153947</v>
      </c>
      <c r="Z74" s="742">
        <v>7.9303203115171305E-215</v>
      </c>
      <c r="AA74" s="742">
        <v>-2.88277260509014E-33</v>
      </c>
      <c r="AB74" s="742">
        <v>8.8598588198741394E-30</v>
      </c>
      <c r="AC74" s="742">
        <v>7.2372039697180703E-19</v>
      </c>
      <c r="AD74" s="742">
        <v>1.1840188175838801E-214</v>
      </c>
      <c r="AE74" s="742">
        <v>-7.6715375713355995E-89</v>
      </c>
      <c r="AF74" s="742">
        <v>-6.0925591884222997E-89</v>
      </c>
      <c r="AG74" s="742">
        <v>8.3642221892748796E-18</v>
      </c>
      <c r="AH74" s="742">
        <v>1.23011535768896E-217</v>
      </c>
      <c r="AI74" s="742">
        <v>-1.0303987427772701E-88</v>
      </c>
      <c r="AJ74" s="742">
        <v>-4.0238675052303797E-89</v>
      </c>
      <c r="AK74" s="742">
        <v>0.47773193145406501</v>
      </c>
      <c r="AL74" s="742">
        <v>7.9811036677555196E-215</v>
      </c>
      <c r="AM74" s="742">
        <v>-2.8847888818037399E-33</v>
      </c>
      <c r="AN74" s="742">
        <v>8.8542984970255299E-30</v>
      </c>
      <c r="AO74" s="742">
        <v>3.8381148252369102E-16</v>
      </c>
      <c r="AP74" s="742">
        <v>1.17248977152881E-214</v>
      </c>
      <c r="AQ74" s="742">
        <v>4.02822081219995E-94</v>
      </c>
      <c r="AR74" s="742">
        <v>-2.16492674993179E-89</v>
      </c>
      <c r="AS74" s="742">
        <v>1.08706290811769E-17</v>
      </c>
      <c r="AT74" s="742">
        <v>1.16880848019497E-216</v>
      </c>
      <c r="AU74" s="742">
        <v>-1.4336446864461101E-90</v>
      </c>
      <c r="AV74" s="742">
        <v>-2.06520222445586E-89</v>
      </c>
      <c r="AW74" s="742">
        <v>3.8381148252368998E-16</v>
      </c>
      <c r="AX74" s="742">
        <v>1.17248977338623E-214</v>
      </c>
      <c r="AY74" s="742">
        <v>4.0282208188214799E-94</v>
      </c>
      <c r="AZ74" s="742">
        <v>-2.1649267507295298E-89</v>
      </c>
      <c r="BA74" s="742">
        <v>0.57901752241672699</v>
      </c>
      <c r="BB74" s="742">
        <v>3.5131865187984102E-214</v>
      </c>
      <c r="BC74" s="742">
        <v>1.3495844188243299E-100</v>
      </c>
      <c r="BD74" s="742">
        <v>2.9730383134784898E-214</v>
      </c>
      <c r="BE74" s="742">
        <v>5.5967227259263003E-214</v>
      </c>
      <c r="BF74" s="742">
        <v>1.37496097128982E-100</v>
      </c>
      <c r="BG74" s="742">
        <v>4.7362332023347603E-214</v>
      </c>
      <c r="BH74" s="742">
        <v>2.29560633815483E-15</v>
      </c>
      <c r="BI74" s="742">
        <v>3.9126272513821901E-214</v>
      </c>
      <c r="BJ74" s="742">
        <v>7.6359896087269201E-100</v>
      </c>
      <c r="BK74" s="742">
        <v>4.0629075312450301E-109</v>
      </c>
      <c r="BL74" s="742">
        <v>4.9597823438313001E-15</v>
      </c>
      <c r="BM74" s="742">
        <v>3.9126045372952301E-214</v>
      </c>
      <c r="BN74" s="742">
        <v>-3.3890049596921901E-90</v>
      </c>
      <c r="BO74" s="742">
        <v>-2.8527150538449298E-91</v>
      </c>
      <c r="BP74" s="742">
        <v>0.57938423583188403</v>
      </c>
      <c r="BQ74" s="742">
        <v>3.9280319269527097E-214</v>
      </c>
      <c r="BR74" s="742">
        <v>-5.05735872128167E-29</v>
      </c>
      <c r="BS74" s="742">
        <v>3.50868612643329E-25</v>
      </c>
      <c r="BT74" s="742">
        <v>2.2714433635542801E-15</v>
      </c>
      <c r="BU74" s="742">
        <v>3.95827056322637E-214</v>
      </c>
      <c r="BV74" s="742">
        <v>-1.4886493515164601E-88</v>
      </c>
      <c r="BW74" s="742">
        <v>-6.3933104993203096E-89</v>
      </c>
      <c r="BX74" s="742">
        <v>4.9393062960527002E-15</v>
      </c>
      <c r="BY74" s="742">
        <v>3.9582469898739996E-214</v>
      </c>
      <c r="BZ74" s="742">
        <v>-1.2457356333745399E-87</v>
      </c>
      <c r="CA74" s="742">
        <v>-5.07358354309353E-89</v>
      </c>
      <c r="CB74" s="742">
        <v>0.57938415843147695</v>
      </c>
      <c r="CC74" s="742">
        <v>3.92872226846599E-214</v>
      </c>
      <c r="CD74" s="742">
        <v>-7.4147297849586906E-27</v>
      </c>
      <c r="CE74" s="742">
        <v>-2.83385373331163E-24</v>
      </c>
      <c r="CF74" s="742">
        <v>5.8385834157074801E-15</v>
      </c>
      <c r="CG74" s="742">
        <v>4.4103781233139503E-214</v>
      </c>
      <c r="CH74" s="742">
        <v>9.07630893974298E-94</v>
      </c>
      <c r="CI74" s="742">
        <v>-2.2176917875986101E-89</v>
      </c>
      <c r="CJ74" s="742">
        <v>5.44350090824726E-15</v>
      </c>
      <c r="CK74" s="742">
        <v>4.4103781889516002E-214</v>
      </c>
      <c r="CL74" s="742">
        <v>-3.9627423908321399E-90</v>
      </c>
      <c r="CM74" s="742">
        <v>-2.2160589622943401E-89</v>
      </c>
      <c r="CN74" s="742">
        <v>5.8385834157074801E-15</v>
      </c>
      <c r="CO74" s="742">
        <v>4.41037827434228E-214</v>
      </c>
      <c r="CP74" s="742">
        <v>9.07630893185753E-94</v>
      </c>
      <c r="CQ74" s="742">
        <v>-2.2176917883984899E-89</v>
      </c>
      <c r="CR74" s="742">
        <v>0.57946346360679601</v>
      </c>
      <c r="CS74" s="742">
        <v>1.3101290215691001E-213</v>
      </c>
      <c r="CT74" s="742">
        <v>1.2202812461332501E-99</v>
      </c>
      <c r="CU74" s="742">
        <v>1.02555377036769E-213</v>
      </c>
      <c r="CV74" s="742">
        <v>2.08711631942392E-213</v>
      </c>
      <c r="CW74" s="742">
        <v>1.24322647852653E-99</v>
      </c>
      <c r="CX74" s="742">
        <v>1.6334612435532799E-213</v>
      </c>
      <c r="CY74" s="742">
        <v>0.57946326282572103</v>
      </c>
      <c r="CZ74" s="742">
        <v>1.6854466665672999E-213</v>
      </c>
      <c r="DA74" s="742">
        <v>-1.71187172195115E-26</v>
      </c>
      <c r="DB74" s="742">
        <v>2.86565675964253E-21</v>
      </c>
      <c r="DC74" s="742">
        <v>0.57946397430362795</v>
      </c>
      <c r="DD74" s="742">
        <v>1.6857121662615199E-213</v>
      </c>
      <c r="DE74" s="742">
        <v>-2.6631138335988902E-23</v>
      </c>
      <c r="DF74" s="742">
        <v>4.3999764207314202E-18</v>
      </c>
      <c r="DG74" s="742">
        <v>0.57946407221063501</v>
      </c>
      <c r="DH74" s="742">
        <v>1.6860084264635499E-213</v>
      </c>
      <c r="DI74" s="742">
        <v>-2.6633475451561401E-23</v>
      </c>
      <c r="DJ74" s="742">
        <v>4.39996031856981E-18</v>
      </c>
      <c r="DK74" s="742">
        <v>2.4034153642309101E-13</v>
      </c>
      <c r="DL74" s="742">
        <v>1.7650408880100501E-213</v>
      </c>
      <c r="DM74" s="742">
        <v>2.71203708682335E-93</v>
      </c>
      <c r="DN74" s="742">
        <v>-2.2798141474312399E-89</v>
      </c>
      <c r="DO74" s="742">
        <v>0.57946346409284899</v>
      </c>
      <c r="DP74" s="742">
        <v>6.42884592577276E-213</v>
      </c>
      <c r="DQ74" s="742">
        <v>5.4011938415634702E-99</v>
      </c>
      <c r="DR74" s="742">
        <v>1.09370323632891E-211</v>
      </c>
      <c r="DS74" s="742">
        <v>5.5862451325207301E-212</v>
      </c>
      <c r="DT74" s="742">
        <v>5.6955234160832901E-99</v>
      </c>
      <c r="DU74" s="742">
        <v>-1.1942053160164301E-210</v>
      </c>
      <c r="DV74" s="742">
        <v>0.57946487555865001</v>
      </c>
      <c r="DW74" s="742">
        <v>2.4731316226616998E-212</v>
      </c>
      <c r="DX74" s="742">
        <v>-7.7042406918696798E-23</v>
      </c>
      <c r="DY74" s="742">
        <v>1.03111555383243E-16</v>
      </c>
      <c r="DZ74" s="742">
        <v>0.57946527459453401</v>
      </c>
      <c r="EA74" s="742">
        <v>2.4735004547696001E-212</v>
      </c>
      <c r="EB74" s="742">
        <v>-1.01437097513824E-19</v>
      </c>
      <c r="EC74" s="742">
        <v>1.34120600119004E-13</v>
      </c>
      <c r="ED74" s="742">
        <v>0.57946537259299002</v>
      </c>
      <c r="EE74" s="742">
        <v>2.4739108515221002E-212</v>
      </c>
      <c r="EF74" s="742">
        <v>-9.5245682882205804E-13</v>
      </c>
      <c r="EG74" s="742">
        <v>1.57423905727532E-7</v>
      </c>
      <c r="EH74" s="742">
        <v>6.9573733743514205E-14</v>
      </c>
      <c r="EI74" s="742">
        <v>3.3218302604488002E-212</v>
      </c>
      <c r="EJ74" s="742">
        <v>-8.4569027788748595E-89</v>
      </c>
      <c r="EK74" s="742">
        <v>-2.38240811807078E-89</v>
      </c>
      <c r="EL74" s="742">
        <v>0.57946578431694895</v>
      </c>
      <c r="EM74" s="742">
        <v>4.5565524581135703E-213</v>
      </c>
      <c r="EN74" s="742">
        <v>3.2020278311284599E-99</v>
      </c>
      <c r="EO74" s="742">
        <v>3.0620529233239399E-213</v>
      </c>
      <c r="EP74" s="742">
        <v>5.6989485589375398E-213</v>
      </c>
      <c r="EQ74" s="742">
        <v>3.2341688462843701E-99</v>
      </c>
      <c r="ER74" s="742">
        <v>3.82967954853368E-213</v>
      </c>
      <c r="ES74" s="742">
        <v>0.57947200021619005</v>
      </c>
      <c r="ET74" s="742">
        <v>5.1884830591751701E-213</v>
      </c>
      <c r="EU74" s="742">
        <v>1.9627211787737299E-31</v>
      </c>
      <c r="EV74" s="742">
        <v>2.6115585194956599E-22</v>
      </c>
      <c r="EW74" s="742">
        <v>0.57947202777226203</v>
      </c>
      <c r="EX74" s="742">
        <v>5.1892637100218299E-213</v>
      </c>
      <c r="EY74" s="742">
        <v>3.5659434608409101E-28</v>
      </c>
      <c r="EZ74" s="742">
        <v>4.38858352189467E-19</v>
      </c>
      <c r="FA74" s="742">
        <v>0.579472125793566</v>
      </c>
      <c r="FB74" s="742">
        <v>5.1901371535146403E-213</v>
      </c>
      <c r="FC74" s="742">
        <v>3.5659071332748599E-28</v>
      </c>
      <c r="FD74" s="742">
        <v>4.3885211028270203E-19</v>
      </c>
      <c r="FE74" s="742">
        <v>1.5619121138089499E-11</v>
      </c>
      <c r="FF74" s="742">
        <v>5.2508954953742E-213</v>
      </c>
      <c r="FG74" s="742">
        <v>1.3197441735803301E-93</v>
      </c>
      <c r="FH74" s="742">
        <v>-2.33127255138957E-89</v>
      </c>
    </row>
    <row r="75" spans="1:164" ht="12.75" customHeight="1" x14ac:dyDescent="0.2">
      <c r="A75" s="489"/>
      <c r="B75" s="489"/>
      <c r="C75" s="489"/>
      <c r="D75" s="489"/>
      <c r="E75" s="489"/>
      <c r="F75" s="744"/>
      <c r="G75" s="745"/>
      <c r="H75" s="506"/>
      <c r="I75" s="750">
        <v>4522980.9577107001</v>
      </c>
      <c r="J75" s="742">
        <v>0.54813265390091404</v>
      </c>
      <c r="K75" s="742">
        <v>-5.8795989446246902E-215</v>
      </c>
      <c r="L75" s="742">
        <v>-1.7319784334372499E-101</v>
      </c>
      <c r="M75" s="742">
        <v>-8.7385894055639798E-215</v>
      </c>
      <c r="N75" s="742">
        <v>-9.366563916883741E-215</v>
      </c>
      <c r="O75" s="742">
        <v>-1.7645452288909002E-101</v>
      </c>
      <c r="P75" s="742">
        <v>-1.39211116414427E-214</v>
      </c>
      <c r="Q75" s="742">
        <v>1.5022618467305899E-16</v>
      </c>
      <c r="R75" s="742">
        <v>-6.6806318730382697E-215</v>
      </c>
      <c r="S75" s="742">
        <v>-6.3633885434403206E-101</v>
      </c>
      <c r="T75" s="742">
        <v>1.61551430180149E-108</v>
      </c>
      <c r="U75" s="742">
        <v>8.5673090313502207E-18</v>
      </c>
      <c r="V75" s="742">
        <v>-6.9407238805596898E-218</v>
      </c>
      <c r="W75" s="742">
        <v>1.28408642133994E-91</v>
      </c>
      <c r="X75" s="742">
        <v>2.28449330147581E-92</v>
      </c>
      <c r="Y75" s="742">
        <v>0.46983509008442298</v>
      </c>
      <c r="Z75" s="742">
        <v>-4.9923382025622499E-215</v>
      </c>
      <c r="AA75" s="742">
        <v>1.5751028008376301E-33</v>
      </c>
      <c r="AB75" s="742">
        <v>-4.84000215924988E-30</v>
      </c>
      <c r="AC75" s="742">
        <v>7.0925325448768299E-19</v>
      </c>
      <c r="AD75" s="742">
        <v>-7.4536993081464496E-215</v>
      </c>
      <c r="AE75" s="742">
        <v>4.82941291173095E-89</v>
      </c>
      <c r="AF75" s="742">
        <v>3.8354089700992098E-89</v>
      </c>
      <c r="AG75" s="742">
        <v>8.1971621261012598E-18</v>
      </c>
      <c r="AH75" s="742">
        <v>-7.7438888250001598E-218</v>
      </c>
      <c r="AI75" s="742">
        <v>6.4866018277431296E-89</v>
      </c>
      <c r="AJ75" s="742">
        <v>2.5331190089733801E-89</v>
      </c>
      <c r="AK75" s="742">
        <v>0.46818209370820602</v>
      </c>
      <c r="AL75" s="742">
        <v>-5.0243076109047496E-215</v>
      </c>
      <c r="AM75" s="742">
        <v>1.5763735221070699E-33</v>
      </c>
      <c r="AN75" s="742">
        <v>-4.8367236172398597E-30</v>
      </c>
      <c r="AO75" s="742">
        <v>3.7613910991920299E-16</v>
      </c>
      <c r="AP75" s="742">
        <v>-7.3811210803392303E-215</v>
      </c>
      <c r="AQ75" s="742">
        <v>-2.5358605141391101E-94</v>
      </c>
      <c r="AR75" s="742">
        <v>1.36287217613672E-89</v>
      </c>
      <c r="AS75" s="742">
        <v>1.06536023698177E-17</v>
      </c>
      <c r="AT75" s="742">
        <v>-7.3579464189936005E-217</v>
      </c>
      <c r="AU75" s="742">
        <v>9.0251313806468102E-91</v>
      </c>
      <c r="AV75" s="742">
        <v>1.30009324773108E-89</v>
      </c>
      <c r="AW75" s="742">
        <v>3.7613910991920299E-16</v>
      </c>
      <c r="AX75" s="742">
        <v>-7.3811210946871396E-215</v>
      </c>
      <c r="AY75" s="742">
        <v>-2.53586051848604E-94</v>
      </c>
      <c r="AZ75" s="742">
        <v>1.3628721766021001E-89</v>
      </c>
      <c r="BA75" s="742">
        <v>0.56744299070316995</v>
      </c>
      <c r="BB75" s="742">
        <v>-2.2116401865383301E-214</v>
      </c>
      <c r="BC75" s="742">
        <v>-8.4959578392560695E-101</v>
      </c>
      <c r="BD75" s="742">
        <v>-1.87160316906028E-214</v>
      </c>
      <c r="BE75" s="742">
        <v>-3.5232791682548101E-214</v>
      </c>
      <c r="BF75" s="742">
        <v>-8.6557093251825497E-101</v>
      </c>
      <c r="BG75" s="742">
        <v>-2.9815791434377902E-214</v>
      </c>
      <c r="BH75" s="742">
        <v>2.24971728122046E-15</v>
      </c>
      <c r="BI75" s="742">
        <v>-2.46309826859411E-214</v>
      </c>
      <c r="BJ75" s="742">
        <v>-4.8070387334731103E-100</v>
      </c>
      <c r="BK75" s="742">
        <v>-2.5576988652208202E-109</v>
      </c>
      <c r="BL75" s="742">
        <v>4.86063669724181E-15</v>
      </c>
      <c r="BM75" s="742">
        <v>-2.4630839799891902E-214</v>
      </c>
      <c r="BN75" s="742">
        <v>2.13345848299653E-90</v>
      </c>
      <c r="BO75" s="742">
        <v>1.7958511508457801E-91</v>
      </c>
      <c r="BP75" s="742">
        <v>0.56780237353542395</v>
      </c>
      <c r="BQ75" s="742">
        <v>-2.4727959036165501E-214</v>
      </c>
      <c r="BR75" s="742">
        <v>2.76319490663174E-29</v>
      </c>
      <c r="BS75" s="742">
        <v>-1.9167616322210601E-25</v>
      </c>
      <c r="BT75" s="742">
        <v>2.2260373266392E-15</v>
      </c>
      <c r="BU75" s="742">
        <v>-2.4918318887874999E-214</v>
      </c>
      <c r="BV75" s="742">
        <v>9.3713969767890998E-89</v>
      </c>
      <c r="BW75" s="742">
        <v>4.02473897662602E-89</v>
      </c>
      <c r="BX75" s="742">
        <v>4.8405699694201499E-15</v>
      </c>
      <c r="BY75" s="742">
        <v>-2.4918170562770802E-214</v>
      </c>
      <c r="BZ75" s="742">
        <v>7.8421986926898996E-88</v>
      </c>
      <c r="CA75" s="742">
        <v>3.1939400927984001E-89</v>
      </c>
      <c r="CB75" s="742">
        <v>0.56780229768225998</v>
      </c>
      <c r="CC75" s="742">
        <v>-2.47323046510596E-214</v>
      </c>
      <c r="CD75" s="742">
        <v>4.6694923143800398E-27</v>
      </c>
      <c r="CE75" s="742">
        <v>1.8079991146253699E-24</v>
      </c>
      <c r="CF75" s="742">
        <v>5.72187042121044E-15</v>
      </c>
      <c r="CG75" s="742">
        <v>-2.7764451070660199E-214</v>
      </c>
      <c r="CH75" s="742">
        <v>-5.71375168529204E-94</v>
      </c>
      <c r="CI75" s="742">
        <v>1.39608900543104E-89</v>
      </c>
      <c r="CJ75" s="742">
        <v>5.3346858705847201E-15</v>
      </c>
      <c r="CK75" s="742">
        <v>-2.7764451356642401E-214</v>
      </c>
      <c r="CL75" s="742">
        <v>2.4946397844017099E-90</v>
      </c>
      <c r="CM75" s="742">
        <v>1.39506110318904E-89</v>
      </c>
      <c r="CN75" s="742">
        <v>5.72187042121044E-15</v>
      </c>
      <c r="CO75" s="742">
        <v>-2.7764451688317198E-214</v>
      </c>
      <c r="CP75" s="742">
        <v>-5.7137516825111696E-94</v>
      </c>
      <c r="CQ75" s="742">
        <v>1.3960890058517201E-89</v>
      </c>
      <c r="CR75" s="742">
        <v>0.56788001755081696</v>
      </c>
      <c r="CS75" s="742">
        <v>-8.2475950370530402E-214</v>
      </c>
      <c r="CT75" s="742">
        <v>-7.6819633284500402E-100</v>
      </c>
      <c r="CU75" s="742">
        <v>-6.4561215408801996E-214</v>
      </c>
      <c r="CV75" s="742">
        <v>-1.3138927493204801E-213</v>
      </c>
      <c r="CW75" s="742">
        <v>-7.8264090740223304E-100</v>
      </c>
      <c r="CX75" s="742">
        <v>-1.02830536181047E-213</v>
      </c>
      <c r="CY75" s="742">
        <v>0.56787982078356503</v>
      </c>
      <c r="CZ75" s="742">
        <v>-1.0610314953927899E-213</v>
      </c>
      <c r="DA75" s="742">
        <v>9.3525172566469295E-27</v>
      </c>
      <c r="DB75" s="742">
        <v>-1.56553197229062E-21</v>
      </c>
      <c r="DC75" s="742">
        <v>0.56788051803907602</v>
      </c>
      <c r="DD75" s="742">
        <v>-1.0611986417005101E-213</v>
      </c>
      <c r="DE75" s="742">
        <v>1.45493708292E-23</v>
      </c>
      <c r="DF75" s="742">
        <v>-2.40374840433461E-18</v>
      </c>
      <c r="DG75" s="742">
        <v>0.56788061398891598</v>
      </c>
      <c r="DH75" s="742">
        <v>-1.06138515102622E-213</v>
      </c>
      <c r="DI75" s="742">
        <v>1.45508292463986E-23</v>
      </c>
      <c r="DJ75" s="742">
        <v>-2.4037301275872399E-18</v>
      </c>
      <c r="DK75" s="742">
        <v>2.3553712096461698E-13</v>
      </c>
      <c r="DL75" s="742">
        <v>-1.1111380891179401E-213</v>
      </c>
      <c r="DM75" s="742">
        <v>-1.7072916513212299E-93</v>
      </c>
      <c r="DN75" s="742">
        <v>1.43519648793954E-89</v>
      </c>
      <c r="DO75" s="742">
        <v>0.56788001802715304</v>
      </c>
      <c r="DP75" s="742">
        <v>-4.0471218574429602E-213</v>
      </c>
      <c r="DQ75" s="742">
        <v>-3.4001811588093299E-99</v>
      </c>
      <c r="DR75" s="742">
        <v>-6.8851397706435505E-212</v>
      </c>
      <c r="DS75" s="742">
        <v>-3.5166832025799401E-212</v>
      </c>
      <c r="DT75" s="742">
        <v>-3.5854686910161201E-99</v>
      </c>
      <c r="DU75" s="742">
        <v>7.5178259212799796E-211</v>
      </c>
      <c r="DV75" s="742">
        <v>0.56788140127803799</v>
      </c>
      <c r="DW75" s="742">
        <v>-1.5568991772964999E-212</v>
      </c>
      <c r="DX75" s="742">
        <v>4.2090479585906901E-23</v>
      </c>
      <c r="DY75" s="742">
        <v>-5.6330828919918796E-17</v>
      </c>
      <c r="DZ75" s="742">
        <v>0.56788179233720804</v>
      </c>
      <c r="EA75" s="742">
        <v>-1.55713135621986E-212</v>
      </c>
      <c r="EB75" s="742">
        <v>5.5417635887120197E-20</v>
      </c>
      <c r="EC75" s="742">
        <v>-7.3271518314762006E-14</v>
      </c>
      <c r="ED75" s="742">
        <v>0.56788188837671705</v>
      </c>
      <c r="EE75" s="742">
        <v>-1.55738971160012E-212</v>
      </c>
      <c r="EF75" s="742">
        <v>5.2034715041627205E-13</v>
      </c>
      <c r="EG75" s="742">
        <v>-8.6002569855883003E-8</v>
      </c>
      <c r="EH75" s="742">
        <v>6.8182991145246197E-14</v>
      </c>
      <c r="EI75" s="742">
        <v>-2.0911765385827501E-212</v>
      </c>
      <c r="EJ75" s="742">
        <v>5.3238195190523402E-89</v>
      </c>
      <c r="EK75" s="742">
        <v>1.4997817991321999E-89</v>
      </c>
      <c r="EL75" s="742">
        <v>0.56788229187010797</v>
      </c>
      <c r="EM75" s="742">
        <v>-2.8684655524953099E-213</v>
      </c>
      <c r="EN75" s="742">
        <v>-2.01575337302764E-99</v>
      </c>
      <c r="EO75" s="742">
        <v>-1.92764010924927E-213</v>
      </c>
      <c r="EP75" s="742">
        <v>-3.58763292469892E-213</v>
      </c>
      <c r="EQ75" s="742">
        <v>-2.03598691368836E-99</v>
      </c>
      <c r="ER75" s="742">
        <v>-2.4108805593486101E-213</v>
      </c>
      <c r="ES75" s="742">
        <v>0.56788838351385496</v>
      </c>
      <c r="ET75" s="742">
        <v>-3.2662819091775799E-213</v>
      </c>
      <c r="EU75" s="742">
        <v>-1.06838566308377E-31</v>
      </c>
      <c r="EV75" s="742">
        <v>-1.4267147166222899E-22</v>
      </c>
      <c r="EW75" s="742">
        <v>0.56788841051907302</v>
      </c>
      <c r="EX75" s="742">
        <v>-3.2667733721222E-213</v>
      </c>
      <c r="EY75" s="742">
        <v>-1.94108704847412E-28</v>
      </c>
      <c r="EZ75" s="742">
        <v>-2.39752418325526E-19</v>
      </c>
      <c r="FA75" s="742">
        <v>0.56788850658091095</v>
      </c>
      <c r="FB75" s="742">
        <v>-3.2673232161296599E-213</v>
      </c>
      <c r="FC75" s="742">
        <v>-1.94105791299213E-28</v>
      </c>
      <c r="FD75" s="742">
        <v>-2.3974771153641502E-19</v>
      </c>
      <c r="FE75" s="742">
        <v>1.53068956769387E-11</v>
      </c>
      <c r="FF75" s="742">
        <v>-3.3055721384802298E-213</v>
      </c>
      <c r="FG75" s="742">
        <v>-8.3081047517548204E-94</v>
      </c>
      <c r="FH75" s="742">
        <v>1.4675907605139899E-89</v>
      </c>
    </row>
    <row r="76" spans="1:164" ht="12.75" customHeight="1" x14ac:dyDescent="0.2">
      <c r="A76" s="489"/>
      <c r="B76" s="489"/>
      <c r="C76" s="489"/>
      <c r="D76" s="489"/>
      <c r="E76" s="489"/>
      <c r="F76" s="744"/>
      <c r="G76" s="745"/>
      <c r="H76" s="506"/>
      <c r="I76" s="750">
        <v>4606739.8643349698</v>
      </c>
      <c r="J76" s="742">
        <v>0.537175453728994</v>
      </c>
      <c r="K76" s="742">
        <v>1.9168490060969601E-214</v>
      </c>
      <c r="L76" s="742">
        <v>5.6465416716170501E-101</v>
      </c>
      <c r="M76" s="742">
        <v>2.84892842379818E-214</v>
      </c>
      <c r="N76" s="742">
        <v>3.0536587669661299E-214</v>
      </c>
      <c r="O76" s="742">
        <v>5.7527149146547894E-101</v>
      </c>
      <c r="P76" s="742">
        <v>4.5385186530171496E-214</v>
      </c>
      <c r="Q76" s="742">
        <v>1.47223155452285E-16</v>
      </c>
      <c r="R76" s="742">
        <v>2.17799934116049E-214</v>
      </c>
      <c r="S76" s="742">
        <v>2.0745719403998399E-100</v>
      </c>
      <c r="T76" s="742">
        <v>-5.2668493181624498E-108</v>
      </c>
      <c r="U76" s="742">
        <v>8.3958187090084402E-18</v>
      </c>
      <c r="V76" s="742">
        <v>2.2627937359064099E-217</v>
      </c>
      <c r="W76" s="742">
        <v>-4.1863377888606099E-91</v>
      </c>
      <c r="X76" s="742">
        <v>-7.4478323241474402E-92</v>
      </c>
      <c r="Y76" s="742">
        <v>0.46044306227253201</v>
      </c>
      <c r="Z76" s="742">
        <v>1.62758695128948E-214</v>
      </c>
      <c r="AA76" s="742">
        <v>-5.4119904246048303E-33</v>
      </c>
      <c r="AB76" s="742">
        <v>1.66312379650472E-29</v>
      </c>
      <c r="AC76" s="742">
        <v>6.9507525749401298E-19</v>
      </c>
      <c r="AD76" s="742">
        <v>2.43003245296445E-214</v>
      </c>
      <c r="AE76" s="742">
        <v>-1.5744698235513399E-88</v>
      </c>
      <c r="AF76" s="742">
        <v>-1.25040782265731E-88</v>
      </c>
      <c r="AG76" s="742">
        <v>8.0330679619673605E-18</v>
      </c>
      <c r="AH76" s="742">
        <v>2.5246391366557898E-217</v>
      </c>
      <c r="AI76" s="742">
        <v>-2.1147412765011201E-88</v>
      </c>
      <c r="AJ76" s="742">
        <v>-8.2583939504375203E-89</v>
      </c>
      <c r="AK76" s="742">
        <v>0.45882310937958098</v>
      </c>
      <c r="AL76" s="742">
        <v>1.63800952077005E-214</v>
      </c>
      <c r="AM76" s="742">
        <v>-5.4161235654442499E-33</v>
      </c>
      <c r="AN76" s="742">
        <v>1.6620268613662401E-29</v>
      </c>
      <c r="AO76" s="742">
        <v>3.6862006960930401E-16</v>
      </c>
      <c r="AP76" s="742">
        <v>2.4063707068715299E-214</v>
      </c>
      <c r="AQ76" s="742">
        <v>8.2673322050572899E-94</v>
      </c>
      <c r="AR76" s="742">
        <v>-4.4431924763338997E-89</v>
      </c>
      <c r="AS76" s="742">
        <v>1.0440178035710099E-17</v>
      </c>
      <c r="AT76" s="742">
        <v>2.3988153714504399E-216</v>
      </c>
      <c r="AU76" s="742">
        <v>-2.94234468427567E-90</v>
      </c>
      <c r="AV76" s="742">
        <v>-4.2385226130381001E-89</v>
      </c>
      <c r="AW76" s="742">
        <v>3.6862006960930401E-16</v>
      </c>
      <c r="AX76" s="742">
        <v>2.40637071101596E-214</v>
      </c>
      <c r="AY76" s="742">
        <v>8.2673322190807401E-94</v>
      </c>
      <c r="AZ76" s="742">
        <v>-4.4431924778936401E-89</v>
      </c>
      <c r="BA76" s="742">
        <v>0.55609977589734105</v>
      </c>
      <c r="BB76" s="742">
        <v>7.2103222808071696E-214</v>
      </c>
      <c r="BC76" s="742">
        <v>2.7698254813541901E-100</v>
      </c>
      <c r="BD76" s="742">
        <v>6.10174389876993E-214</v>
      </c>
      <c r="BE76" s="742">
        <v>1.14864879328486E-213</v>
      </c>
      <c r="BF76" s="742">
        <v>2.8219071595822399E-100</v>
      </c>
      <c r="BG76" s="742">
        <v>9.7204539383538198E-214</v>
      </c>
      <c r="BH76" s="742">
        <v>2.2047453152331702E-15</v>
      </c>
      <c r="BI76" s="742">
        <v>8.0301183189385698E-214</v>
      </c>
      <c r="BJ76" s="742">
        <v>1.5671756651628699E-99</v>
      </c>
      <c r="BK76" s="742">
        <v>8.3385300034538597E-109</v>
      </c>
      <c r="BL76" s="742">
        <v>4.7634720561816502E-15</v>
      </c>
      <c r="BM76" s="742">
        <v>8.0300717090827999E-214</v>
      </c>
      <c r="BN76" s="742">
        <v>-6.9554335947654598E-90</v>
      </c>
      <c r="BO76" s="742">
        <v>-5.8547767953639596E-91</v>
      </c>
      <c r="BP76" s="742">
        <v>0.55645197464779095</v>
      </c>
      <c r="BQ76" s="742">
        <v>8.0617342499384403E-214</v>
      </c>
      <c r="BR76" s="742">
        <v>-9.49432326217705E-29</v>
      </c>
      <c r="BS76" s="742">
        <v>6.5863600153071899E-25</v>
      </c>
      <c r="BT76" s="742">
        <v>2.1815387186232399E-15</v>
      </c>
      <c r="BU76" s="742">
        <v>8.1237948016720405E-214</v>
      </c>
      <c r="BV76" s="742">
        <v>-3.0552330090110802E-88</v>
      </c>
      <c r="BW76" s="742">
        <v>-1.3121325887192801E-88</v>
      </c>
      <c r="BX76" s="742">
        <v>4.74380645538446E-15</v>
      </c>
      <c r="BY76" s="742">
        <v>8.1237464237060106E-214</v>
      </c>
      <c r="BZ76" s="742">
        <v>-2.55668868095005E-87</v>
      </c>
      <c r="CA76" s="742">
        <v>-1.04127819149314E-88</v>
      </c>
      <c r="CB76" s="742">
        <v>0.55645190031091096</v>
      </c>
      <c r="CC76" s="742">
        <v>8.0631510590097004E-214</v>
      </c>
      <c r="CD76" s="742">
        <v>-1.52213126743472E-26</v>
      </c>
      <c r="CE76" s="742">
        <v>-5.8666301156619902E-24</v>
      </c>
      <c r="CF76" s="742">
        <v>5.6074899348144898E-15</v>
      </c>
      <c r="CG76" s="742">
        <v>9.0516821458869598E-214</v>
      </c>
      <c r="CH76" s="742">
        <v>1.86277924426172E-93</v>
      </c>
      <c r="CI76" s="742">
        <v>-4.5514849250384802E-89</v>
      </c>
      <c r="CJ76" s="742">
        <v>5.2280447645484098E-15</v>
      </c>
      <c r="CK76" s="742">
        <v>9.0516822590459007E-214</v>
      </c>
      <c r="CL76" s="742">
        <v>-8.1329454363143195E-90</v>
      </c>
      <c r="CM76" s="742">
        <v>-4.5481337914981199E-89</v>
      </c>
      <c r="CN76" s="742">
        <v>5.6074899348144898E-15</v>
      </c>
      <c r="CO76" s="742">
        <v>9.0516824144758094E-214</v>
      </c>
      <c r="CP76" s="742">
        <v>1.862779242765E-93</v>
      </c>
      <c r="CQ76" s="742">
        <v>-4.5514849264752797E-89</v>
      </c>
      <c r="CR76" s="742">
        <v>0.55652806655569897</v>
      </c>
      <c r="CS76" s="742">
        <v>2.68885594568683E-213</v>
      </c>
      <c r="CT76" s="742">
        <v>2.50444954942066E-99</v>
      </c>
      <c r="CU76" s="742">
        <v>2.1048051811287602E-213</v>
      </c>
      <c r="CV76" s="742">
        <v>4.2835133250298503E-213</v>
      </c>
      <c r="CW76" s="742">
        <v>2.5515412975392301E-99</v>
      </c>
      <c r="CX76" s="742">
        <v>3.3524499571975498E-213</v>
      </c>
      <c r="CY76" s="742">
        <v>0.556527873721402</v>
      </c>
      <c r="CZ76" s="742">
        <v>3.4591427338621698E-213</v>
      </c>
      <c r="DA76" s="742">
        <v>-3.2136101803090401E-26</v>
      </c>
      <c r="DB76" s="742">
        <v>5.3794042914324199E-21</v>
      </c>
      <c r="DC76" s="742">
        <v>0.55652855703871296</v>
      </c>
      <c r="DD76" s="742">
        <v>3.45968764308261E-213</v>
      </c>
      <c r="DE76" s="742">
        <v>-4.9993127977397599E-23</v>
      </c>
      <c r="DF76" s="742">
        <v>8.2596422471912994E-18</v>
      </c>
      <c r="DG76" s="742">
        <v>0.55652865107053195</v>
      </c>
      <c r="DH76" s="742">
        <v>3.4602956790471403E-213</v>
      </c>
      <c r="DI76" s="742">
        <v>-4.9997824487938797E-23</v>
      </c>
      <c r="DJ76" s="742">
        <v>8.2595800024884795E-18</v>
      </c>
      <c r="DK76" s="742">
        <v>2.3082872170407902E-13</v>
      </c>
      <c r="DL76" s="742">
        <v>3.6224987105484399E-213</v>
      </c>
      <c r="DM76" s="742">
        <v>5.5660582165731297E-93</v>
      </c>
      <c r="DN76" s="742">
        <v>-4.6789818950807201E-89</v>
      </c>
      <c r="DO76" s="742">
        <v>0.55652806702251401</v>
      </c>
      <c r="DP76" s="742">
        <v>1.31943040116957E-212</v>
      </c>
      <c r="DQ76" s="742">
        <v>1.10851637889286E-98</v>
      </c>
      <c r="DR76" s="742">
        <v>2.2446723963199498E-211</v>
      </c>
      <c r="DS76" s="742">
        <v>1.1464983898793701E-211</v>
      </c>
      <c r="DT76" s="742">
        <v>1.16892323785444E-98</v>
      </c>
      <c r="DU76" s="742">
        <v>-2.4509388250988199E-210</v>
      </c>
      <c r="DV76" s="742">
        <v>0.55652942262171601</v>
      </c>
      <c r="DW76" s="742">
        <v>5.0757554797359797E-212</v>
      </c>
      <c r="DX76" s="742">
        <v>-1.4462727350715199E-22</v>
      </c>
      <c r="DY76" s="742">
        <v>1.9356122749219899E-16</v>
      </c>
      <c r="DZ76" s="742">
        <v>0.55652980586360401</v>
      </c>
      <c r="EA76" s="742">
        <v>5.0765124483561002E-212</v>
      </c>
      <c r="EB76" s="742">
        <v>-1.90421401781813E-19</v>
      </c>
      <c r="EC76" s="742">
        <v>2.5177198339664802E-13</v>
      </c>
      <c r="ED76" s="742">
        <v>0.55652989998320601</v>
      </c>
      <c r="EE76" s="742">
        <v>5.0773547324210397E-212</v>
      </c>
      <c r="EF76" s="742">
        <v>-1.78797980172139E-12</v>
      </c>
      <c r="EG76" s="742">
        <v>2.95517783715003E-7</v>
      </c>
      <c r="EH76" s="742">
        <v>6.6819955116769502E-14</v>
      </c>
      <c r="EI76" s="742">
        <v>6.81759028926502E-212</v>
      </c>
      <c r="EJ76" s="742">
        <v>-1.7356547289999401E-88</v>
      </c>
      <c r="EK76" s="742">
        <v>-4.8895408706615002E-89</v>
      </c>
      <c r="EL76" s="742">
        <v>0.55653029541119203</v>
      </c>
      <c r="EM76" s="742">
        <v>9.3516844325638203E-213</v>
      </c>
      <c r="EN76" s="742">
        <v>6.5716958158328501E-99</v>
      </c>
      <c r="EO76" s="742">
        <v>6.2844338796945306E-213</v>
      </c>
      <c r="EP76" s="742">
        <v>1.16962921077055E-212</v>
      </c>
      <c r="EQ76" s="742">
        <v>6.6376605690751598E-99</v>
      </c>
      <c r="ER76" s="742">
        <v>7.8598797818576096E-213</v>
      </c>
      <c r="ES76" s="742">
        <v>0.55653626528261302</v>
      </c>
      <c r="ET76" s="742">
        <v>1.0648633294384E-212</v>
      </c>
      <c r="EU76" s="742">
        <v>3.6778451349484198E-31</v>
      </c>
      <c r="EV76" s="742">
        <v>4.9024103436861402E-22</v>
      </c>
      <c r="EW76" s="742">
        <v>0.556536291748015</v>
      </c>
      <c r="EX76" s="742">
        <v>1.0650235501621301E-212</v>
      </c>
      <c r="EY76" s="742">
        <v>6.6820589208832996E-28</v>
      </c>
      <c r="EZ76" s="742">
        <v>8.2382576199784304E-19</v>
      </c>
      <c r="FA76" s="742">
        <v>0.55653638588962195</v>
      </c>
      <c r="FB76" s="742">
        <v>1.0652028098270699E-212</v>
      </c>
      <c r="FC76" s="742">
        <v>6.6819614463082103E-28</v>
      </c>
      <c r="FD76" s="742">
        <v>8.2381011191615705E-19</v>
      </c>
      <c r="FE76" s="742">
        <v>1.5000910038701602E-11</v>
      </c>
      <c r="FF76" s="742">
        <v>1.07767260798716E-212</v>
      </c>
      <c r="FG76" s="742">
        <v>2.70858213164844E-93</v>
      </c>
      <c r="FH76" s="742">
        <v>-4.7845926708195698E-89</v>
      </c>
    </row>
    <row r="77" spans="1:164" ht="12.75" customHeight="1" x14ac:dyDescent="0.2">
      <c r="A77" s="489"/>
      <c r="B77" s="489"/>
      <c r="C77" s="489"/>
      <c r="D77" s="489"/>
      <c r="E77" s="489"/>
      <c r="F77" s="744"/>
      <c r="G77" s="745"/>
      <c r="H77" s="506"/>
      <c r="I77" s="750">
        <v>4690498.7709592497</v>
      </c>
      <c r="J77" s="742">
        <v>0.52643726843564198</v>
      </c>
      <c r="K77" s="742">
        <v>-5.5861679931866697E-215</v>
      </c>
      <c r="L77" s="742">
        <v>-1.6455359798879899E-101</v>
      </c>
      <c r="M77" s="742">
        <v>-8.3024759544429699E-215</v>
      </c>
      <c r="N77" s="742">
        <v>-8.8991103717837499E-215</v>
      </c>
      <c r="O77" s="742">
        <v>-1.6764773775932601E-101</v>
      </c>
      <c r="P77" s="742">
        <v>-1.32263561576881E-214</v>
      </c>
      <c r="Q77" s="742">
        <v>1.4428015142679299E-16</v>
      </c>
      <c r="R77" s="742">
        <v>-6.3472241019663904E-215</v>
      </c>
      <c r="S77" s="742">
        <v>-6.0457939910393303E-101</v>
      </c>
      <c r="T77" s="742">
        <v>1.5348854968942499E-108</v>
      </c>
      <c r="U77" s="742">
        <v>8.2282096602928103E-18</v>
      </c>
      <c r="V77" s="742">
        <v>-6.5943357572330896E-218</v>
      </c>
      <c r="W77" s="742">
        <v>1.2199969452188299E-91</v>
      </c>
      <c r="X77" s="742">
        <v>2.1704723494074701E-92</v>
      </c>
      <c r="Y77" s="742">
        <v>0.451238764337413</v>
      </c>
      <c r="Z77" s="742">
        <v>-4.7431874418150703E-215</v>
      </c>
      <c r="AA77" s="742">
        <v>1.5775741427423301E-33</v>
      </c>
      <c r="AB77" s="742">
        <v>-4.8479428596962901E-30</v>
      </c>
      <c r="AC77" s="742">
        <v>6.81180628964974E-19</v>
      </c>
      <c r="AD77" s="742">
        <v>-7.0817103869331605E-215</v>
      </c>
      <c r="AE77" s="742">
        <v>4.5883729772834502E-89</v>
      </c>
      <c r="AF77" s="742">
        <v>3.6439805820472002E-89</v>
      </c>
      <c r="AG77" s="742">
        <v>7.8727133597531205E-18</v>
      </c>
      <c r="AH77" s="742">
        <v>-7.3574174569018199E-218</v>
      </c>
      <c r="AI77" s="742">
        <v>6.1628501910220701E-89</v>
      </c>
      <c r="AJ77" s="742">
        <v>2.4066889677793499E-89</v>
      </c>
      <c r="AK77" s="742">
        <v>0.44965119444746598</v>
      </c>
      <c r="AL77" s="742">
        <v>-4.7735613646576596E-215</v>
      </c>
      <c r="AM77" s="742">
        <v>1.5787721810348298E-33</v>
      </c>
      <c r="AN77" s="742">
        <v>-4.8447259463739899E-30</v>
      </c>
      <c r="AO77" s="742">
        <v>3.6125132149757898E-16</v>
      </c>
      <c r="AP77" s="742">
        <v>-7.0127542556821202E-215</v>
      </c>
      <c r="AQ77" s="742">
        <v>-2.4092949935125899E-94</v>
      </c>
      <c r="AR77" s="742">
        <v>1.2948500978385699E-89</v>
      </c>
      <c r="AS77" s="742">
        <v>1.02319257185048E-17</v>
      </c>
      <c r="AT77" s="742">
        <v>-6.9907361553029703E-217</v>
      </c>
      <c r="AU77" s="742">
        <v>8.5746819958114305E-91</v>
      </c>
      <c r="AV77" s="742">
        <v>1.2352045177225199E-89</v>
      </c>
      <c r="AW77" s="742">
        <v>3.6125132149757898E-16</v>
      </c>
      <c r="AX77" s="742">
        <v>-7.0127542677082499E-215</v>
      </c>
      <c r="AY77" s="742">
        <v>-2.4092949976002399E-94</v>
      </c>
      <c r="AZ77" s="742">
        <v>1.2948500982931899E-89</v>
      </c>
      <c r="BA77" s="742">
        <v>0.54498329171377402</v>
      </c>
      <c r="BB77" s="742">
        <v>-2.1012647022154499E-214</v>
      </c>
      <c r="BC77" s="742">
        <v>-8.0719274781941903E-101</v>
      </c>
      <c r="BD77" s="742">
        <v>-1.7781977804258501E-214</v>
      </c>
      <c r="BE77" s="742">
        <v>-3.3474442204792402E-214</v>
      </c>
      <c r="BF77" s="742">
        <v>-8.2237058240413198E-101</v>
      </c>
      <c r="BG77" s="742">
        <v>-2.83277861313269E-214</v>
      </c>
      <c r="BH77" s="742">
        <v>2.16067226035192E-15</v>
      </c>
      <c r="BI77" s="742">
        <v>-2.3401733685456302E-214</v>
      </c>
      <c r="BJ77" s="742">
        <v>-4.5671210695823998E-100</v>
      </c>
      <c r="BK77" s="742">
        <v>-2.43004642553471E-109</v>
      </c>
      <c r="BL77" s="742">
        <v>4.6682500798410698E-15</v>
      </c>
      <c r="BM77" s="742">
        <v>-2.3401597849712601E-214</v>
      </c>
      <c r="BN77" s="742">
        <v>2.0269762903372399E-90</v>
      </c>
      <c r="BO77" s="742">
        <v>1.7062188734556599E-91</v>
      </c>
      <c r="BP77" s="742">
        <v>0.54532844998005903</v>
      </c>
      <c r="BQ77" s="742">
        <v>-2.34938702593799E-214</v>
      </c>
      <c r="BR77" s="742">
        <v>2.76756214109294E-29</v>
      </c>
      <c r="BS77" s="742">
        <v>-1.91990151914393E-25</v>
      </c>
      <c r="BT77" s="742">
        <v>2.1379295711025701E-15</v>
      </c>
      <c r="BU77" s="742">
        <v>-2.36747299247618E-214</v>
      </c>
      <c r="BV77" s="742">
        <v>8.9036629136131504E-89</v>
      </c>
      <c r="BW77" s="742">
        <v>3.8238609734490302E-89</v>
      </c>
      <c r="BX77" s="742">
        <v>4.6489776038841599E-15</v>
      </c>
      <c r="BY77" s="742">
        <v>-2.3674588936711699E-214</v>
      </c>
      <c r="BZ77" s="742">
        <v>7.4507889402877504E-88</v>
      </c>
      <c r="CA77" s="742">
        <v>3.0345282149195201E-89</v>
      </c>
      <c r="CB77" s="742">
        <v>0.54532837712920201</v>
      </c>
      <c r="CC77" s="742">
        <v>-2.3497999196105201E-214</v>
      </c>
      <c r="CD77" s="742">
        <v>4.4358429501536401E-27</v>
      </c>
      <c r="CE77" s="742">
        <v>1.70963458362061E-24</v>
      </c>
      <c r="CF77" s="742">
        <v>5.49539571023122E-15</v>
      </c>
      <c r="CG77" s="742">
        <v>-2.6378821150263399E-214</v>
      </c>
      <c r="CH77" s="742">
        <v>-5.4285767112166095E-94</v>
      </c>
      <c r="CI77" s="742">
        <v>1.32640904751734E-89</v>
      </c>
      <c r="CJ77" s="742">
        <v>5.1235361311782201E-15</v>
      </c>
      <c r="CK77" s="742">
        <v>-2.6378821481344102E-214</v>
      </c>
      <c r="CL77" s="742">
        <v>2.3701309087917099E-90</v>
      </c>
      <c r="CM77" s="742">
        <v>1.3254324488362999E-89</v>
      </c>
      <c r="CN77" s="742">
        <v>5.49539571023122E-15</v>
      </c>
      <c r="CO77" s="742">
        <v>-2.6378821939561798E-214</v>
      </c>
      <c r="CP77" s="742">
        <v>-5.4285767067805296E-94</v>
      </c>
      <c r="CQ77" s="742">
        <v>1.32640904793556E-89</v>
      </c>
      <c r="CR77" s="742">
        <v>0.54540302080357494</v>
      </c>
      <c r="CS77" s="742">
        <v>-7.8359855073775305E-214</v>
      </c>
      <c r="CT77" s="742">
        <v>-7.2985591591046495E-100</v>
      </c>
      <c r="CU77" s="742">
        <v>-6.1339183750843204E-214</v>
      </c>
      <c r="CV77" s="742">
        <v>-1.2483208104095901E-213</v>
      </c>
      <c r="CW77" s="742">
        <v>-7.4357956666781103E-100</v>
      </c>
      <c r="CX77" s="742">
        <v>-9.7698611597064496E-214</v>
      </c>
      <c r="CY77" s="742">
        <v>0.54540283182443094</v>
      </c>
      <c r="CZ77" s="742">
        <v>-1.0080790074681899E-213</v>
      </c>
      <c r="DA77" s="742">
        <v>9.3675856602092799E-27</v>
      </c>
      <c r="DB77" s="742">
        <v>-1.56808175492645E-21</v>
      </c>
      <c r="DC77" s="742">
        <v>0.54540350148218797</v>
      </c>
      <c r="DD77" s="742">
        <v>-1.0082378072077E-213</v>
      </c>
      <c r="DE77" s="742">
        <v>1.4572890746313799E-23</v>
      </c>
      <c r="DF77" s="742">
        <v>-2.40766835567118E-18</v>
      </c>
      <c r="DG77" s="742">
        <v>0.54540359363428503</v>
      </c>
      <c r="DH77" s="742">
        <v>-1.0084150035950199E-213</v>
      </c>
      <c r="DI77" s="742">
        <v>1.4574200345610299E-23</v>
      </c>
      <c r="DJ77" s="742">
        <v>-2.4076404665477001E-18</v>
      </c>
      <c r="DK77" s="742">
        <v>2.2621443494265001E-13</v>
      </c>
      <c r="DL77" s="742">
        <v>-1.0556849441516399E-213</v>
      </c>
      <c r="DM77" s="742">
        <v>-1.62208023847251E-93</v>
      </c>
      <c r="DN77" s="742">
        <v>1.36356464341931E-89</v>
      </c>
      <c r="DO77" s="742">
        <v>0.545403021261058</v>
      </c>
      <c r="DP77" s="742">
        <v>-3.84514370004504E-213</v>
      </c>
      <c r="DQ77" s="742">
        <v>-3.2304792772002102E-99</v>
      </c>
      <c r="DR77" s="742">
        <v>-6.5415257249689296E-212</v>
      </c>
      <c r="DS77" s="742">
        <v>-3.3411773386408599E-212</v>
      </c>
      <c r="DT77" s="742">
        <v>-3.4065191713985898E-99</v>
      </c>
      <c r="DU77" s="742">
        <v>7.1426367353542999E-211</v>
      </c>
      <c r="DV77" s="742">
        <v>0.54540434976208296</v>
      </c>
      <c r="DW77" s="742">
        <v>-1.4791995699082099E-212</v>
      </c>
      <c r="DX77" s="742">
        <v>4.2158557699161797E-23</v>
      </c>
      <c r="DY77" s="742">
        <v>-5.6422710228548405E-17</v>
      </c>
      <c r="DZ77" s="742">
        <v>0.54540472534292195</v>
      </c>
      <c r="EA77" s="742">
        <v>-1.4794201694308E-212</v>
      </c>
      <c r="EB77" s="742">
        <v>5.5507572502300499E-20</v>
      </c>
      <c r="EC77" s="742">
        <v>-7.3391184925102704E-14</v>
      </c>
      <c r="ED77" s="742">
        <v>0.54540481758112702</v>
      </c>
      <c r="EE77" s="742">
        <v>-1.4796656316936701E-212</v>
      </c>
      <c r="EF77" s="742">
        <v>5.21194907209069E-13</v>
      </c>
      <c r="EG77" s="742">
        <v>-8.6143237438154598E-8</v>
      </c>
      <c r="EH77" s="742">
        <v>6.5484271491625295E-14</v>
      </c>
      <c r="EI77" s="742">
        <v>-1.9868129273794399E-212</v>
      </c>
      <c r="EJ77" s="742">
        <v>5.0581044005571297E-89</v>
      </c>
      <c r="EK77" s="742">
        <v>1.42492644838471E-89</v>
      </c>
      <c r="EL77" s="742">
        <v>0.54540520510407897</v>
      </c>
      <c r="EM77" s="742">
        <v>-2.7253101372494701E-213</v>
      </c>
      <c r="EN77" s="742">
        <v>-1.91514780956217E-99</v>
      </c>
      <c r="EO77" s="742">
        <v>-1.8314381207885301E-213</v>
      </c>
      <c r="EP77" s="742">
        <v>-3.4085863013363997E-213</v>
      </c>
      <c r="EQ77" s="742">
        <v>-1.9343715010117202E-99</v>
      </c>
      <c r="ER77" s="742">
        <v>-2.29056168539395E-213</v>
      </c>
      <c r="ES77" s="742">
        <v>0.54541105563728198</v>
      </c>
      <c r="ET77" s="742">
        <v>-3.1032728358698201E-213</v>
      </c>
      <c r="EU77" s="742">
        <v>-1.07335527086963E-31</v>
      </c>
      <c r="EV77" s="742">
        <v>-1.4290404440005799E-22</v>
      </c>
      <c r="EW77" s="742">
        <v>0.54541108157362295</v>
      </c>
      <c r="EX77" s="742">
        <v>-3.1037397579210102E-213</v>
      </c>
      <c r="EY77" s="742">
        <v>-1.95011977935056E-28</v>
      </c>
      <c r="EZ77" s="742">
        <v>-2.4014368088737599E-19</v>
      </c>
      <c r="FA77" s="742">
        <v>0.54541117383328797</v>
      </c>
      <c r="FB77" s="742">
        <v>-3.1042621645419499E-213</v>
      </c>
      <c r="FC77" s="742">
        <v>-1.9500834848763701E-28</v>
      </c>
      <c r="FD77" s="742">
        <v>-2.40138147595642E-19</v>
      </c>
      <c r="FE77" s="742">
        <v>1.4701040507347E-11</v>
      </c>
      <c r="FF77" s="742">
        <v>-3.1406022139916099E-213</v>
      </c>
      <c r="FG77" s="742">
        <v>-7.8934479355239396E-94</v>
      </c>
      <c r="FH77" s="742">
        <v>1.3943420909437201E-89</v>
      </c>
    </row>
    <row r="78" spans="1:164" ht="12.75" customHeight="1" x14ac:dyDescent="0.2">
      <c r="A78" s="489"/>
      <c r="B78" s="489"/>
      <c r="C78" s="489"/>
      <c r="D78" s="489"/>
      <c r="E78" s="489"/>
      <c r="F78" s="744"/>
      <c r="G78" s="745"/>
      <c r="H78" s="506"/>
      <c r="I78" s="750">
        <v>4774257.6775835203</v>
      </c>
      <c r="J78" s="742">
        <v>0.51591373615799396</v>
      </c>
      <c r="K78" s="742">
        <v>1.04000784535833E-215</v>
      </c>
      <c r="L78" s="742">
        <v>3.06355880822341E-102</v>
      </c>
      <c r="M78" s="742">
        <v>1.54571794897755E-215</v>
      </c>
      <c r="N78" s="742">
        <v>1.65679668405123E-215</v>
      </c>
      <c r="O78" s="742">
        <v>3.1211636206389401E-102</v>
      </c>
      <c r="P78" s="742">
        <v>2.4624240090086499E-215</v>
      </c>
      <c r="Q78" s="742">
        <v>1.4139597714506801E-16</v>
      </c>
      <c r="R78" s="742">
        <v>1.1816978781036899E-215</v>
      </c>
      <c r="S78" s="742">
        <v>1.1255691556208901E-101</v>
      </c>
      <c r="T78" s="742">
        <v>-2.8575613524535101E-109</v>
      </c>
      <c r="U78" s="742">
        <v>8.0636671850008496E-18</v>
      </c>
      <c r="V78" s="742">
        <v>1.2277040236893699E-218</v>
      </c>
      <c r="W78" s="742">
        <v>-2.2713102269869602E-92</v>
      </c>
      <c r="X78" s="742">
        <v>-4.04083987087479E-93</v>
      </c>
      <c r="Y78" s="742">
        <v>0.44221845748188399</v>
      </c>
      <c r="Z78" s="742">
        <v>8.8306548555901397E-216</v>
      </c>
      <c r="AA78" s="742">
        <v>-2.95564559705858E-34</v>
      </c>
      <c r="AB78" s="742">
        <v>9.0828829485748708E-31</v>
      </c>
      <c r="AC78" s="742">
        <v>6.6756376505346605E-19</v>
      </c>
      <c r="AD78" s="742">
        <v>1.3184412596232099E-215</v>
      </c>
      <c r="AE78" s="742">
        <v>-8.5423254267877598E-90</v>
      </c>
      <c r="AF78" s="742">
        <v>-6.7841189316058197E-90</v>
      </c>
      <c r="AG78" s="742">
        <v>7.7152764830519205E-18</v>
      </c>
      <c r="AH78" s="742">
        <v>1.36977117164089E-218</v>
      </c>
      <c r="AI78" s="742">
        <v>-1.1473581359453901E-89</v>
      </c>
      <c r="AJ78" s="742">
        <v>-4.4806122587149997E-90</v>
      </c>
      <c r="AK78" s="742">
        <v>0.44066262326868599</v>
      </c>
      <c r="AL78" s="742">
        <v>8.8872036709532197E-216</v>
      </c>
      <c r="AM78" s="742">
        <v>-2.9578388221055098E-34</v>
      </c>
      <c r="AN78" s="742">
        <v>9.0767627362208792E-31</v>
      </c>
      <c r="AO78" s="742">
        <v>3.54029872390424E-16</v>
      </c>
      <c r="AP78" s="742">
        <v>1.3056033141822099E-215</v>
      </c>
      <c r="AQ78" s="742">
        <v>4.4854708378202501E-95</v>
      </c>
      <c r="AR78" s="742">
        <v>-2.41066508152597E-90</v>
      </c>
      <c r="AS78" s="742">
        <v>1.00272691240476E-17</v>
      </c>
      <c r="AT78" s="742">
        <v>1.3015040823969901E-217</v>
      </c>
      <c r="AU78" s="742">
        <v>-1.59637800628725E-91</v>
      </c>
      <c r="AV78" s="742">
        <v>-2.2996209398057098E-90</v>
      </c>
      <c r="AW78" s="742">
        <v>3.54029872390424E-16</v>
      </c>
      <c r="AX78" s="742">
        <v>1.3056033163983701E-215</v>
      </c>
      <c r="AY78" s="742">
        <v>4.4854708454169401E-95</v>
      </c>
      <c r="AZ78" s="742">
        <v>-2.4106650823751699E-90</v>
      </c>
      <c r="BA78" s="742">
        <v>0.53408902262418101</v>
      </c>
      <c r="BB78" s="742">
        <v>3.9120409182293499E-215</v>
      </c>
      <c r="BC78" s="742">
        <v>1.50278236558759E-101</v>
      </c>
      <c r="BD78" s="742">
        <v>3.3105693298772801E-215</v>
      </c>
      <c r="BE78" s="742">
        <v>6.2321223733220703E-215</v>
      </c>
      <c r="BF78" s="742">
        <v>1.5310395349476899E-101</v>
      </c>
      <c r="BG78" s="742">
        <v>5.2739408969889098E-215</v>
      </c>
      <c r="BH78" s="742">
        <v>2.1174802111591299E-15</v>
      </c>
      <c r="BI78" s="742">
        <v>4.3568304200825299E-215</v>
      </c>
      <c r="BJ78" s="742">
        <v>8.5027882417697599E-101</v>
      </c>
      <c r="BK78" s="742">
        <v>4.52411993587647E-110</v>
      </c>
      <c r="BL78" s="742">
        <v>4.5749312378750297E-15</v>
      </c>
      <c r="BM78" s="742">
        <v>4.3568051298351902E-215</v>
      </c>
      <c r="BN78" s="742">
        <v>-3.7736909962160599E-91</v>
      </c>
      <c r="BO78" s="742">
        <v>-3.1765245904214503E-92</v>
      </c>
      <c r="BP78" s="742">
        <v>0.53442728114301397</v>
      </c>
      <c r="BQ78" s="742">
        <v>4.3739839964750401E-215</v>
      </c>
      <c r="BR78" s="742">
        <v>-5.1851609756965803E-30</v>
      </c>
      <c r="BS78" s="742">
        <v>3.5970521475165002E-26</v>
      </c>
      <c r="BT78" s="742">
        <v>2.09519214903706E-15</v>
      </c>
      <c r="BU78" s="742">
        <v>4.4076556428590598E-215</v>
      </c>
      <c r="BV78" s="742">
        <v>-1.6576243137646699E-89</v>
      </c>
      <c r="BW78" s="742">
        <v>-7.1190081920108004E-90</v>
      </c>
      <c r="BX78" s="742">
        <v>4.5560440185301997E-15</v>
      </c>
      <c r="BY78" s="742">
        <v>4.4076293936263602E-215</v>
      </c>
      <c r="BZ78" s="742">
        <v>-1.3871383643928601E-88</v>
      </c>
      <c r="CA78" s="742">
        <v>-5.6494827373449197E-90</v>
      </c>
      <c r="CB78" s="742">
        <v>0.53442720974844604</v>
      </c>
      <c r="CC78" s="742">
        <v>4.3747527058597302E-215</v>
      </c>
      <c r="CD78" s="742">
        <v>-8.2582174036129301E-28</v>
      </c>
      <c r="CE78" s="742">
        <v>-3.1810218995960601E-25</v>
      </c>
      <c r="CF78" s="742">
        <v>5.3855422146631003E-15</v>
      </c>
      <c r="CG78" s="742">
        <v>4.9110912867474298E-215</v>
      </c>
      <c r="CH78" s="742">
        <v>1.0106575821800801E-94</v>
      </c>
      <c r="CI78" s="742">
        <v>-2.46941941772051E-90</v>
      </c>
      <c r="CJ78" s="742">
        <v>5.0211160252569901E-15</v>
      </c>
      <c r="CK78" s="742">
        <v>4.9110913494291702E-215</v>
      </c>
      <c r="CL78" s="742">
        <v>-4.4125541409136401E-91</v>
      </c>
      <c r="CM78" s="742">
        <v>-2.46760125137378E-90</v>
      </c>
      <c r="CN78" s="742">
        <v>5.3855422146631003E-15</v>
      </c>
      <c r="CO78" s="742">
        <v>4.91109143656541E-215</v>
      </c>
      <c r="CP78" s="742">
        <v>1.01065758133401E-94</v>
      </c>
      <c r="CQ78" s="742">
        <v>-2.46941941850527E-90</v>
      </c>
      <c r="CR78" s="742">
        <v>0.53450036128860301</v>
      </c>
      <c r="CS78" s="742">
        <v>1.4588688383878E-214</v>
      </c>
      <c r="CT78" s="742">
        <v>1.35880135548933E-100</v>
      </c>
      <c r="CU78" s="742">
        <v>1.1419855695590199E-214</v>
      </c>
      <c r="CV78" s="742">
        <v>2.32406801767006E-214</v>
      </c>
      <c r="CW78" s="742">
        <v>1.3843512138137001E-100</v>
      </c>
      <c r="CX78" s="742">
        <v>1.81890918232594E-214</v>
      </c>
      <c r="CY78" s="742">
        <v>0.53450017608706502</v>
      </c>
      <c r="CZ78" s="742">
        <v>1.8767965424291501E-214</v>
      </c>
      <c r="DA78" s="742">
        <v>-1.75508093938854E-27</v>
      </c>
      <c r="DB78" s="742">
        <v>2.9379139498866702E-22</v>
      </c>
      <c r="DC78" s="742">
        <v>0.53450083235829404</v>
      </c>
      <c r="DD78" s="742">
        <v>1.8770921880473002E-214</v>
      </c>
      <c r="DE78" s="742">
        <v>-2.7303486765865E-24</v>
      </c>
      <c r="DF78" s="742">
        <v>4.5109684224149602E-19</v>
      </c>
      <c r="DG78" s="742">
        <v>0.53450092266826599</v>
      </c>
      <c r="DH78" s="742">
        <v>1.8774220838253101E-214</v>
      </c>
      <c r="DI78" s="742">
        <v>-2.7305586223535399E-24</v>
      </c>
      <c r="DJ78" s="742">
        <v>4.5108610173050697E-19</v>
      </c>
      <c r="DK78" s="742">
        <v>2.21692386352022E-13</v>
      </c>
      <c r="DL78" s="742">
        <v>1.9654271516082E-214</v>
      </c>
      <c r="DM78" s="742">
        <v>3.0198849147915701E-94</v>
      </c>
      <c r="DN78" s="742">
        <v>-2.53859321460364E-90</v>
      </c>
      <c r="DO78" s="742">
        <v>0.53450036173694104</v>
      </c>
      <c r="DP78" s="742">
        <v>7.1587170707550401E-214</v>
      </c>
      <c r="DQ78" s="742">
        <v>6.0143098453748703E-100</v>
      </c>
      <c r="DR78" s="742">
        <v>1.2178720832265699E-212</v>
      </c>
      <c r="DS78" s="742">
        <v>6.2204545259208598E-213</v>
      </c>
      <c r="DT78" s="742">
        <v>6.3420502138442502E-100</v>
      </c>
      <c r="DU78" s="742">
        <v>-1.3297842859490499E-211</v>
      </c>
      <c r="DV78" s="742">
        <v>0.53450166368099705</v>
      </c>
      <c r="DW78" s="742">
        <v>2.75390763054168E-213</v>
      </c>
      <c r="DX78" s="742">
        <v>-7.8987545015977897E-24</v>
      </c>
      <c r="DY78" s="742">
        <v>1.05712784532781E-17</v>
      </c>
      <c r="DZ78" s="742">
        <v>0.53450203175394195</v>
      </c>
      <c r="EA78" s="742">
        <v>2.7543183338009699E-213</v>
      </c>
      <c r="EB78" s="742">
        <v>-1.0399873791539901E-20</v>
      </c>
      <c r="EC78" s="742">
        <v>1.37505558922896E-14</v>
      </c>
      <c r="ED78" s="742">
        <v>0.53450212214827897</v>
      </c>
      <c r="EE78" s="742">
        <v>2.7547753244679801E-213</v>
      </c>
      <c r="EF78" s="742">
        <v>-9.7651614259519302E-14</v>
      </c>
      <c r="EG78" s="742">
        <v>1.61398976937641E-8</v>
      </c>
      <c r="EH78" s="742">
        <v>6.4175220336249802E-14</v>
      </c>
      <c r="EI78" s="742">
        <v>3.6989594651042898E-213</v>
      </c>
      <c r="EJ78" s="742">
        <v>-9.41684527433526E-90</v>
      </c>
      <c r="EK78" s="742">
        <v>-2.65283250826982E-90</v>
      </c>
      <c r="EL78" s="742">
        <v>0.53450250192471904</v>
      </c>
      <c r="EM78" s="742">
        <v>5.0738608807826904E-214</v>
      </c>
      <c r="EN78" s="742">
        <v>3.5655057153694302E-100</v>
      </c>
      <c r="EO78" s="742">
        <v>3.4096898229283601E-214</v>
      </c>
      <c r="EP78" s="742">
        <v>6.3459539731692104E-214</v>
      </c>
      <c r="EQ78" s="742">
        <v>3.6012952149376598E-100</v>
      </c>
      <c r="ER78" s="742">
        <v>4.2644656026688798E-214</v>
      </c>
      <c r="ES78" s="742">
        <v>0.53450823550518101</v>
      </c>
      <c r="ET78" s="742">
        <v>5.77753497943315E-214</v>
      </c>
      <c r="EU78" s="742">
        <v>2.0185961909853099E-32</v>
      </c>
      <c r="EV78" s="742">
        <v>2.67741663052223E-23</v>
      </c>
      <c r="EW78" s="742">
        <v>0.53450826092305503</v>
      </c>
      <c r="EX78" s="742">
        <v>5.7784042720872402E-214</v>
      </c>
      <c r="EY78" s="742">
        <v>3.6674992714631203E-29</v>
      </c>
      <c r="EZ78" s="742">
        <v>4.4993047300658601E-20</v>
      </c>
      <c r="FA78" s="742">
        <v>0.53450835133845198</v>
      </c>
      <c r="FB78" s="742">
        <v>5.7793768662799197E-214</v>
      </c>
      <c r="FC78" s="742">
        <v>3.6673867569878897E-29</v>
      </c>
      <c r="FD78" s="742">
        <v>4.4991463485278098E-20</v>
      </c>
      <c r="FE78" s="742">
        <v>1.44071652755389E-11</v>
      </c>
      <c r="FF78" s="742">
        <v>5.8470331496807902E-214</v>
      </c>
      <c r="FG78" s="742">
        <v>1.4695530436780901E-94</v>
      </c>
      <c r="FH78" s="742">
        <v>-2.5958926025059399E-90</v>
      </c>
    </row>
    <row r="79" spans="1:164" ht="12.75" customHeight="1" x14ac:dyDescent="0.2">
      <c r="A79" s="489"/>
      <c r="B79" s="489"/>
      <c r="C79" s="489"/>
      <c r="D79" s="489"/>
      <c r="E79" s="489"/>
      <c r="F79" s="744"/>
      <c r="G79" s="745"/>
      <c r="H79" s="506"/>
      <c r="I79" s="750">
        <v>4858016.58420779</v>
      </c>
      <c r="J79" s="742">
        <v>0.50560057154051397</v>
      </c>
      <c r="K79" s="742">
        <v>6.3346532473993599E-217</v>
      </c>
      <c r="L79" s="742">
        <v>1.86615089818658E-103</v>
      </c>
      <c r="M79" s="742">
        <v>9.4149166939072105E-217</v>
      </c>
      <c r="N79" s="742">
        <v>1.00914935803119E-216</v>
      </c>
      <c r="O79" s="742">
        <v>1.9012405697607199E-103</v>
      </c>
      <c r="P79" s="742">
        <v>1.49985428617358E-216</v>
      </c>
      <c r="Q79" s="742">
        <v>1.3856945812387299E-16</v>
      </c>
      <c r="R79" s="742">
        <v>7.1976825313225803E-217</v>
      </c>
      <c r="S79" s="742">
        <v>6.8563459108256302E-103</v>
      </c>
      <c r="T79" s="742">
        <v>-1.7406416558717699E-110</v>
      </c>
      <c r="U79" s="742">
        <v>7.9024824069167299E-18</v>
      </c>
      <c r="V79" s="742">
        <v>7.4779044362194795E-220</v>
      </c>
      <c r="W79" s="742">
        <v>-1.38358930429794E-93</v>
      </c>
      <c r="X79" s="742">
        <v>-2.4615313508712401E-94</v>
      </c>
      <c r="Y79" s="742">
        <v>0.43337846848904299</v>
      </c>
      <c r="Z79" s="742">
        <v>5.3787225459203498E-217</v>
      </c>
      <c r="AA79" s="742">
        <v>-1.8010049961448599E-35</v>
      </c>
      <c r="AB79" s="742">
        <v>5.5345984562194198E-32</v>
      </c>
      <c r="AC79" s="742">
        <v>6.54219101476674E-19</v>
      </c>
      <c r="AD79" s="742">
        <v>8.0305819269094593E-217</v>
      </c>
      <c r="AE79" s="742">
        <v>-5.2036694455748004E-91</v>
      </c>
      <c r="AF79" s="742">
        <v>-4.13263492500861E-91</v>
      </c>
      <c r="AG79" s="742">
        <v>7.5610561856392399E-18</v>
      </c>
      <c r="AH79" s="742">
        <v>8.3432307163390904E-220</v>
      </c>
      <c r="AI79" s="742">
        <v>-6.9892838738429505E-91</v>
      </c>
      <c r="AJ79" s="742">
        <v>-2.7294238427306398E-91</v>
      </c>
      <c r="AK79" s="742">
        <v>0.43185373554963102</v>
      </c>
      <c r="AL79" s="742">
        <v>5.4131662415583399E-217</v>
      </c>
      <c r="AM79" s="742">
        <v>-1.8025440464507401E-35</v>
      </c>
      <c r="AN79" s="742">
        <v>5.5314934260274999E-32</v>
      </c>
      <c r="AO79" s="742">
        <v>3.4695278159486099E-16</v>
      </c>
      <c r="AP79" s="742">
        <v>7.9523864275755804E-217</v>
      </c>
      <c r="AQ79" s="742">
        <v>2.7323456616246701E-96</v>
      </c>
      <c r="AR79" s="742">
        <v>-1.46848869416858E-91</v>
      </c>
      <c r="AS79" s="742">
        <v>9.8268404340379997E-18</v>
      </c>
      <c r="AT79" s="742">
        <v>7.9274181429081206E-219</v>
      </c>
      <c r="AU79" s="742">
        <v>-9.7244819693577405E-93</v>
      </c>
      <c r="AV79" s="742">
        <v>-1.40084468071717E-91</v>
      </c>
      <c r="AW79" s="742">
        <v>3.4695278159486099E-16</v>
      </c>
      <c r="AX79" s="742">
        <v>7.9523864410750206E-217</v>
      </c>
      <c r="AY79" s="742">
        <v>2.7323456662525098E-96</v>
      </c>
      <c r="AZ79" s="742">
        <v>-1.4684886946861201E-91</v>
      </c>
      <c r="BA79" s="742">
        <v>0.52341253230288998</v>
      </c>
      <c r="BB79" s="742">
        <v>2.3828111313990201E-216</v>
      </c>
      <c r="BC79" s="742">
        <v>9.1541205404421902E-103</v>
      </c>
      <c r="BD79" s="742">
        <v>2.0164567844235199E-216</v>
      </c>
      <c r="BE79" s="742">
        <v>3.7959650407019498E-216</v>
      </c>
      <c r="BF79" s="742">
        <v>9.3262476164422009E-103</v>
      </c>
      <c r="BG79" s="742">
        <v>3.2123398855916899E-216</v>
      </c>
      <c r="BH79" s="742">
        <v>2.0751515805296001E-15</v>
      </c>
      <c r="BI79" s="742">
        <v>2.6537309398304E-216</v>
      </c>
      <c r="BJ79" s="742">
        <v>5.1794291893050298E-102</v>
      </c>
      <c r="BK79" s="742">
        <v>2.7558038408417399E-111</v>
      </c>
      <c r="BL79" s="742">
        <v>4.4834779375470003E-15</v>
      </c>
      <c r="BM79" s="742">
        <v>2.6537155356253501E-216</v>
      </c>
      <c r="BN79" s="742">
        <v>-2.2987804487173801E-92</v>
      </c>
      <c r="BO79" s="742">
        <v>-1.9350182892938901E-93</v>
      </c>
      <c r="BP79" s="742">
        <v>0.52374402900179495</v>
      </c>
      <c r="BQ79" s="742">
        <v>2.66417912624478E-216</v>
      </c>
      <c r="BR79" s="742">
        <v>-3.15942924964247E-31</v>
      </c>
      <c r="BS79" s="742">
        <v>2.1917606726972199E-27</v>
      </c>
      <c r="BT79" s="742">
        <v>2.0533090590982401E-15</v>
      </c>
      <c r="BU79" s="742">
        <v>2.6846884142333999E-216</v>
      </c>
      <c r="BV79" s="742">
        <v>-1.00976356944923E-90</v>
      </c>
      <c r="BW79" s="742">
        <v>-4.3366371156659998E-91</v>
      </c>
      <c r="BX79" s="742">
        <v>4.4649682758115603E-15</v>
      </c>
      <c r="BY79" s="742">
        <v>2.6846724259139101E-216</v>
      </c>
      <c r="BZ79" s="742">
        <v>-8.4499133477497903E-90</v>
      </c>
      <c r="CA79" s="742">
        <v>-3.4414487227210701E-91</v>
      </c>
      <c r="CB79" s="742">
        <v>0.52374395903441295</v>
      </c>
      <c r="CC79" s="742">
        <v>2.6646473445785502E-216</v>
      </c>
      <c r="CD79" s="742">
        <v>-5.0306093031703397E-29</v>
      </c>
      <c r="CE79" s="742">
        <v>-1.9376780918403599E-26</v>
      </c>
      <c r="CF79" s="742">
        <v>5.2778847139579704E-15</v>
      </c>
      <c r="CG79" s="742">
        <v>2.9913293930163698E-216</v>
      </c>
      <c r="CH79" s="742">
        <v>6.1564682057395904E-96</v>
      </c>
      <c r="CI79" s="742">
        <v>-1.5042796794433899E-91</v>
      </c>
      <c r="CJ79" s="742">
        <v>4.9207434561085899E-15</v>
      </c>
      <c r="CK79" s="742">
        <v>2.9913294311950302E-216</v>
      </c>
      <c r="CL79" s="742">
        <v>-2.6879475295400801E-92</v>
      </c>
      <c r="CM79" s="742">
        <v>-1.5031721216674E-91</v>
      </c>
      <c r="CN79" s="742">
        <v>5.2778847139579704E-15</v>
      </c>
      <c r="CO79" s="742">
        <v>2.9913294842693901E-216</v>
      </c>
      <c r="CP79" s="742">
        <v>6.1564682005844801E-96</v>
      </c>
      <c r="CQ79" s="742">
        <v>-1.50427967992162E-91</v>
      </c>
      <c r="CR79" s="742">
        <v>0.52381564826831495</v>
      </c>
      <c r="CS79" s="742">
        <v>8.88592164556395E-216</v>
      </c>
      <c r="CT79" s="742">
        <v>8.2770677135269102E-102</v>
      </c>
      <c r="CU79" s="742">
        <v>6.9557961876770799E-216</v>
      </c>
      <c r="CV79" s="742">
        <v>1.41558211133014E-215</v>
      </c>
      <c r="CW79" s="742">
        <v>8.4327033453021495E-102</v>
      </c>
      <c r="CX79" s="742">
        <v>1.10789154378214E-215</v>
      </c>
      <c r="CY79" s="742">
        <v>0.52381546676898805</v>
      </c>
      <c r="CZ79" s="742">
        <v>1.1431505411495699E-215</v>
      </c>
      <c r="DA79" s="742">
        <v>-1.06933666793463E-28</v>
      </c>
      <c r="DB79" s="742">
        <v>1.7900136372904201E-23</v>
      </c>
      <c r="DC79" s="742">
        <v>0.52381610992129302</v>
      </c>
      <c r="DD79" s="742">
        <v>1.1433306179131899E-215</v>
      </c>
      <c r="DE79" s="742">
        <v>-1.66345176818771E-25</v>
      </c>
      <c r="DF79" s="742">
        <v>2.7482857897884599E-20</v>
      </c>
      <c r="DG79" s="742">
        <v>0.52381619842595994</v>
      </c>
      <c r="DH79" s="742">
        <v>1.1435315563357199E-215</v>
      </c>
      <c r="DI79" s="742">
        <v>-1.66376558066565E-25</v>
      </c>
      <c r="DJ79" s="742">
        <v>2.7485275336702101E-20</v>
      </c>
      <c r="DK79" s="742">
        <v>2.1726073447952601E-13</v>
      </c>
      <c r="DL79" s="742">
        <v>1.1971351508587101E-215</v>
      </c>
      <c r="DM79" s="742">
        <v>1.8395771021946501E-95</v>
      </c>
      <c r="DN79" s="742">
        <v>-1.5464178177665899E-91</v>
      </c>
      <c r="DO79" s="742">
        <v>0.52381564870769104</v>
      </c>
      <c r="DP79" s="742">
        <v>4.3603507936870999E-215</v>
      </c>
      <c r="DQ79" s="742">
        <v>3.6635855299376497E-101</v>
      </c>
      <c r="DR79" s="742">
        <v>7.4180186852763403E-214</v>
      </c>
      <c r="DS79" s="742">
        <v>3.7888606518656298E-214</v>
      </c>
      <c r="DT79" s="742">
        <v>3.8632268690720701E-101</v>
      </c>
      <c r="DU79" s="742">
        <v>-8.0996702541509805E-213</v>
      </c>
      <c r="DV79" s="742">
        <v>0.523816924625776</v>
      </c>
      <c r="DW79" s="742">
        <v>1.6773969021592999E-214</v>
      </c>
      <c r="DX79" s="742">
        <v>-4.8122333795455399E-25</v>
      </c>
      <c r="DY79" s="742">
        <v>6.4404398945519603E-19</v>
      </c>
      <c r="DZ79" s="742">
        <v>0.52381728534090599</v>
      </c>
      <c r="EA79" s="742">
        <v>1.67764706029922E-214</v>
      </c>
      <c r="EB79" s="742">
        <v>-6.3356416885197199E-22</v>
      </c>
      <c r="EC79" s="742">
        <v>8.3768896745310596E-16</v>
      </c>
      <c r="ED79" s="742">
        <v>0.523817373928255</v>
      </c>
      <c r="EE79" s="742">
        <v>1.6779254119623399E-214</v>
      </c>
      <c r="EF79" s="742">
        <v>-5.9485678218409496E-15</v>
      </c>
      <c r="EG79" s="742">
        <v>9.8318165862374503E-10</v>
      </c>
      <c r="EH79" s="742">
        <v>6.2892353642512096E-14</v>
      </c>
      <c r="EI79" s="742">
        <v>2.2530252581012801E-214</v>
      </c>
      <c r="EJ79" s="742">
        <v>-5.7363651177299101E-91</v>
      </c>
      <c r="EK79" s="742">
        <v>-1.6160082027868199E-91</v>
      </c>
      <c r="EL79" s="742">
        <v>0.52381774611291299</v>
      </c>
      <c r="EM79" s="742">
        <v>3.0904718121862502E-215</v>
      </c>
      <c r="EN79" s="742">
        <v>2.1719092433820899E-101</v>
      </c>
      <c r="EO79" s="742">
        <v>2.0768307482217701E-215</v>
      </c>
      <c r="EP79" s="742">
        <v>3.8652994901373098E-215</v>
      </c>
      <c r="EQ79" s="742">
        <v>2.1937102307137699E-101</v>
      </c>
      <c r="ER79" s="742">
        <v>2.5974718371205002E-215</v>
      </c>
      <c r="ES79" s="742">
        <v>0.52382336507855798</v>
      </c>
      <c r="ET79" s="742">
        <v>3.5190773687724299E-215</v>
      </c>
      <c r="EU79" s="742">
        <v>1.1900517136134901E-33</v>
      </c>
      <c r="EV79" s="742">
        <v>1.63126220498955E-24</v>
      </c>
      <c r="EW79" s="742">
        <v>0.523823389988327</v>
      </c>
      <c r="EX79" s="742">
        <v>3.5196068520428298E-215</v>
      </c>
      <c r="EY79" s="742">
        <v>2.1620215327998698E-30</v>
      </c>
      <c r="EZ79" s="742">
        <v>2.7411159688682502E-21</v>
      </c>
      <c r="FA79" s="742">
        <v>0.52382347859630896</v>
      </c>
      <c r="FB79" s="742">
        <v>3.5201992559362601E-215</v>
      </c>
      <c r="FC79" s="742">
        <v>2.1622018813752898E-30</v>
      </c>
      <c r="FD79" s="742">
        <v>2.7413258651252499E-21</v>
      </c>
      <c r="FE79" s="742">
        <v>1.41191646724451E-11</v>
      </c>
      <c r="FF79" s="742">
        <v>3.5614084734676299E-215</v>
      </c>
      <c r="FG79" s="742">
        <v>8.9517658263077697E-96</v>
      </c>
      <c r="FH79" s="742">
        <v>-1.5813225019390799E-91</v>
      </c>
    </row>
    <row r="80" spans="1:164" ht="12.75" customHeight="1" x14ac:dyDescent="0.2">
      <c r="A80" s="489"/>
      <c r="B80" s="489"/>
      <c r="C80" s="489"/>
      <c r="D80" s="489"/>
      <c r="E80" s="489"/>
      <c r="F80" s="744"/>
      <c r="G80" s="745"/>
      <c r="H80" s="506"/>
      <c r="I80" s="750">
        <v>4941775.4908320596</v>
      </c>
      <c r="J80" s="742">
        <v>0.49549356224230001</v>
      </c>
      <c r="K80" s="742">
        <v>-1.17545554600092E-216</v>
      </c>
      <c r="L80" s="742">
        <v>-3.4626987131968302E-103</v>
      </c>
      <c r="M80" s="742">
        <v>-1.7470279130954502E-216</v>
      </c>
      <c r="N80" s="742">
        <v>-1.8725732306308801E-216</v>
      </c>
      <c r="O80" s="742">
        <v>-3.5278086465491198E-103</v>
      </c>
      <c r="P80" s="742">
        <v>-2.78312319557407E-216</v>
      </c>
      <c r="Q80" s="742">
        <v>1.3579943989102299E-16</v>
      </c>
      <c r="R80" s="742">
        <v>-1.33559889063704E-216</v>
      </c>
      <c r="S80" s="742">
        <v>-1.2722154561945699E-102</v>
      </c>
      <c r="T80" s="742">
        <v>3.2298350486221402E-110</v>
      </c>
      <c r="U80" s="742">
        <v>7.7445126427385198E-18</v>
      </c>
      <c r="V80" s="742">
        <v>-1.38759674740338E-219</v>
      </c>
      <c r="W80" s="742">
        <v>2.5672641656193001E-93</v>
      </c>
      <c r="X80" s="742">
        <v>4.56738257058157E-94</v>
      </c>
      <c r="Y80" s="742">
        <v>0.42471518672629299</v>
      </c>
      <c r="Z80" s="742">
        <v>-9.98073454075462E-217</v>
      </c>
      <c r="AA80" s="742">
        <v>3.3413271011932801E-35</v>
      </c>
      <c r="AB80" s="742">
        <v>-1.02681041471263E-31</v>
      </c>
      <c r="AC80" s="742">
        <v>6.4114119183849098E-19</v>
      </c>
      <c r="AD80" s="742">
        <v>-1.4901513460859799E-216</v>
      </c>
      <c r="AE80" s="742">
        <v>9.6554336441883104E-91</v>
      </c>
      <c r="AF80" s="742">
        <v>7.6681239481912403E-91</v>
      </c>
      <c r="AG80" s="742">
        <v>7.4099115909782997E-18</v>
      </c>
      <c r="AH80" s="742">
        <v>-1.5481663216710601E-219</v>
      </c>
      <c r="AI80" s="742">
        <v>1.2968648560646399E-90</v>
      </c>
      <c r="AJ80" s="742">
        <v>5.0644588922208303E-91</v>
      </c>
      <c r="AK80" s="742">
        <v>0.42322093336080402</v>
      </c>
      <c r="AL80" s="742">
        <v>-1.00446481149981E-216</v>
      </c>
      <c r="AM80" s="742">
        <v>3.34401342264916E-35</v>
      </c>
      <c r="AN80" s="742">
        <v>-1.02618227841234E-31</v>
      </c>
      <c r="AO80" s="742">
        <v>3.4001715852201498E-16</v>
      </c>
      <c r="AP80" s="742">
        <v>-1.4756414226894101E-216</v>
      </c>
      <c r="AQ80" s="742">
        <v>-5.0699118967838702E-96</v>
      </c>
      <c r="AR80" s="742">
        <v>2.7247874251904598E-91</v>
      </c>
      <c r="AS80" s="742">
        <v>9.6304042455271007E-18</v>
      </c>
      <c r="AT80" s="742">
        <v>-1.47100831847028E-218</v>
      </c>
      <c r="AU80" s="742">
        <v>1.8043876179591999E-92</v>
      </c>
      <c r="AV80" s="742">
        <v>2.5992736498708102E-91</v>
      </c>
      <c r="AW80" s="742">
        <v>3.4001715852201498E-16</v>
      </c>
      <c r="AX80" s="742">
        <v>-1.4756414251941899E-216</v>
      </c>
      <c r="AY80" s="742">
        <v>-5.0699119053704603E-96</v>
      </c>
      <c r="AZ80" s="742">
        <v>2.7247874261505699E-91</v>
      </c>
      <c r="BA80" s="742">
        <v>0.51294946001112396</v>
      </c>
      <c r="BB80" s="742">
        <v>-4.4215341394189603E-216</v>
      </c>
      <c r="BC80" s="742">
        <v>-1.6985743996712401E-102</v>
      </c>
      <c r="BD80" s="742">
        <v>-3.7417285807931099E-216</v>
      </c>
      <c r="BE80" s="742">
        <v>-7.0437764866613596E-216</v>
      </c>
      <c r="BF80" s="742">
        <v>-1.73051309257928E-102</v>
      </c>
      <c r="BG80" s="742">
        <v>-5.9608041461583695E-216</v>
      </c>
      <c r="BH80" s="742">
        <v>2.0336690793283298E-15</v>
      </c>
      <c r="BI80" s="742">
        <v>-4.9242517766836398E-216</v>
      </c>
      <c r="BJ80" s="742">
        <v>-9.6105855139202605E-102</v>
      </c>
      <c r="BK80" s="742">
        <v>-5.1135098833234703E-111</v>
      </c>
      <c r="BL80" s="742">
        <v>4.3938527377878097E-15</v>
      </c>
      <c r="BM80" s="742">
        <v>-4.9242231927058999E-216</v>
      </c>
      <c r="BN80" s="742">
        <v>4.26540888339565E-92</v>
      </c>
      <c r="BO80" s="742">
        <v>3.59043846252452E-93</v>
      </c>
      <c r="BP80" s="742">
        <v>0.513274330055699</v>
      </c>
      <c r="BQ80" s="742">
        <v>-4.9436393866859797E-216</v>
      </c>
      <c r="BR80" s="742">
        <v>5.86165130583688E-31</v>
      </c>
      <c r="BS80" s="742">
        <v>-4.0663473437011598E-27</v>
      </c>
      <c r="BT80" s="742">
        <v>2.0122631922687501E-15</v>
      </c>
      <c r="BU80" s="742">
        <v>-4.98169633371927E-216</v>
      </c>
      <c r="BV80" s="742">
        <v>1.87362114997143E-90</v>
      </c>
      <c r="BW80" s="742">
        <v>8.0466509839476598E-91</v>
      </c>
      <c r="BX80" s="742">
        <v>4.3757130862213402E-15</v>
      </c>
      <c r="BY80" s="742">
        <v>-4.9816666658610503E-216</v>
      </c>
      <c r="BZ80" s="742">
        <v>1.56788729069715E-89</v>
      </c>
      <c r="CA80" s="742">
        <v>6.3856310504482498E-91</v>
      </c>
      <c r="CB80" s="742">
        <v>0.51327426148697197</v>
      </c>
      <c r="CC80" s="742">
        <v>-4.9445082106220803E-216</v>
      </c>
      <c r="CD80" s="742">
        <v>9.33431305749636E-29</v>
      </c>
      <c r="CE80" s="742">
        <v>3.5954403294837999E-26</v>
      </c>
      <c r="CF80" s="742">
        <v>5.1723792361529399E-15</v>
      </c>
      <c r="CG80" s="742">
        <v>-5.5506980218365903E-216</v>
      </c>
      <c r="CH80" s="742">
        <v>-1.1423427070999301E-95</v>
      </c>
      <c r="CI80" s="742">
        <v>2.7911977605231199E-91</v>
      </c>
      <c r="CJ80" s="742">
        <v>4.82237727350573E-15</v>
      </c>
      <c r="CK80" s="742">
        <v>-5.5506980926811798E-216</v>
      </c>
      <c r="CL80" s="742">
        <v>4.9875142504351798E-92</v>
      </c>
      <c r="CM80" s="742">
        <v>2.7891426800222198E-91</v>
      </c>
      <c r="CN80" s="742">
        <v>5.1723792361529399E-15</v>
      </c>
      <c r="CO80" s="742">
        <v>-5.5506981911659497E-216</v>
      </c>
      <c r="CP80" s="742">
        <v>-1.14234270614348E-95</v>
      </c>
      <c r="CQ80" s="742">
        <v>2.7911977614103599E-91</v>
      </c>
      <c r="CR80" s="742">
        <v>0.51334451764544597</v>
      </c>
      <c r="CS80" s="742">
        <v>-1.64886781828108E-215</v>
      </c>
      <c r="CT80" s="742">
        <v>-1.5358346288351101E-101</v>
      </c>
      <c r="CU80" s="742">
        <v>-1.2907145634746601E-215</v>
      </c>
      <c r="CV80" s="742">
        <v>-2.6267481085333E-215</v>
      </c>
      <c r="CW80" s="742">
        <v>-1.56471328502535E-101</v>
      </c>
      <c r="CX80" s="742">
        <v>-2.0557988068038899E-215</v>
      </c>
      <c r="CY80" s="742">
        <v>0.51334433977431404</v>
      </c>
      <c r="CZ80" s="742">
        <v>-2.1212252526366101E-215</v>
      </c>
      <c r="DA80" s="742">
        <v>1.98398726436314E-28</v>
      </c>
      <c r="DB80" s="742">
        <v>-3.3210910251173302E-23</v>
      </c>
      <c r="DC80" s="742">
        <v>0.51334497006993596</v>
      </c>
      <c r="DD80" s="742">
        <v>-2.12155940230913E-215</v>
      </c>
      <c r="DE80" s="742">
        <v>3.0863556402843901E-25</v>
      </c>
      <c r="DF80" s="742">
        <v>-5.0991483340072403E-20</v>
      </c>
      <c r="DG80" s="742">
        <v>0.513345056805385</v>
      </c>
      <c r="DH80" s="742">
        <v>-2.1219322627862401E-215</v>
      </c>
      <c r="DI80" s="742">
        <v>3.0867827929327798E-25</v>
      </c>
      <c r="DJ80" s="742">
        <v>-5.0993405952262703E-20</v>
      </c>
      <c r="DK80" s="742">
        <v>2.12917669247557E-13</v>
      </c>
      <c r="DL80" s="742">
        <v>-2.2213988634132799E-215</v>
      </c>
      <c r="DM80" s="742">
        <v>-3.4133652876773702E-95</v>
      </c>
      <c r="DN80" s="742">
        <v>2.8693852670932198E-91</v>
      </c>
      <c r="DO80" s="742">
        <v>0.51334451807603898</v>
      </c>
      <c r="DP80" s="742">
        <v>-8.0910482749033399E-215</v>
      </c>
      <c r="DQ80" s="742">
        <v>-6.7978923422143196E-101</v>
      </c>
      <c r="DR80" s="742">
        <v>-1.3764843504119201E-213</v>
      </c>
      <c r="DS80" s="742">
        <v>-7.0305915633641704E-214</v>
      </c>
      <c r="DT80" s="742">
        <v>-7.1683328080917495E-101</v>
      </c>
      <c r="DU80" s="742">
        <v>1.5029714857259E-212</v>
      </c>
      <c r="DV80" s="742">
        <v>0.51334576848838998</v>
      </c>
      <c r="DW80" s="742">
        <v>-3.11256975520561E-214</v>
      </c>
      <c r="DX80" s="742">
        <v>8.9286181773003397E-25</v>
      </c>
      <c r="DY80" s="742">
        <v>-1.1949593241843099E-18</v>
      </c>
      <c r="DZ80" s="742">
        <v>0.51334612199278695</v>
      </c>
      <c r="EA80" s="742">
        <v>-3.1130339474558E-214</v>
      </c>
      <c r="EB80" s="742">
        <v>1.17554607505336E-21</v>
      </c>
      <c r="EC80" s="742">
        <v>-1.55428924968327E-15</v>
      </c>
      <c r="ED80" s="742">
        <v>0.51334620880926496</v>
      </c>
      <c r="EE80" s="742">
        <v>-3.1135504554728499E-214</v>
      </c>
      <c r="EF80" s="742">
        <v>1.10376025685563E-14</v>
      </c>
      <c r="EG80" s="742">
        <v>-1.82429934822025E-9</v>
      </c>
      <c r="EH80" s="742">
        <v>6.1635129199072397E-14</v>
      </c>
      <c r="EI80" s="742">
        <v>-4.1807029174891898E-214</v>
      </c>
      <c r="EJ80" s="742">
        <v>1.06438776588421E-90</v>
      </c>
      <c r="EK80" s="742">
        <v>2.99851054178576E-91</v>
      </c>
      <c r="EL80" s="742">
        <v>0.513346573553907</v>
      </c>
      <c r="EM80" s="742">
        <v>-5.7346662706192501E-215</v>
      </c>
      <c r="EN80" s="742">
        <v>-4.0300424523802903E-101</v>
      </c>
      <c r="EO80" s="742">
        <v>-3.8537582491281198E-215</v>
      </c>
      <c r="EP80" s="742">
        <v>-7.1724331943495798E-215</v>
      </c>
      <c r="EQ80" s="742">
        <v>-4.0704948353316101E-101</v>
      </c>
      <c r="ER80" s="742">
        <v>-4.8198576257325698E-215</v>
      </c>
      <c r="ES80" s="742">
        <v>0.51335208019583101</v>
      </c>
      <c r="ET80" s="742">
        <v>-6.5299849074244996E-215</v>
      </c>
      <c r="EU80" s="742">
        <v>-2.2411899372376801E-33</v>
      </c>
      <c r="EV80" s="742">
        <v>-3.02658212466701E-24</v>
      </c>
      <c r="EW80" s="742">
        <v>0.51335210460765002</v>
      </c>
      <c r="EX80" s="742">
        <v>-6.5309674143141003E-215</v>
      </c>
      <c r="EY80" s="742">
        <v>-4.0717858375771103E-30</v>
      </c>
      <c r="EZ80" s="742">
        <v>-5.0858987060506301E-21</v>
      </c>
      <c r="FA80" s="742">
        <v>0.51335219144434896</v>
      </c>
      <c r="FB80" s="742">
        <v>-6.5320666764439295E-215</v>
      </c>
      <c r="FC80" s="742">
        <v>-4.0719129121231901E-30</v>
      </c>
      <c r="FD80" s="742">
        <v>-5.0860325369924001E-21</v>
      </c>
      <c r="FE80" s="742">
        <v>1.3836921066207399E-11</v>
      </c>
      <c r="FF80" s="742">
        <v>-6.6085343241618903E-215</v>
      </c>
      <c r="FG80" s="742">
        <v>-1.6610218781429701E-95</v>
      </c>
      <c r="FH80" s="742">
        <v>2.9341510667156303E-91</v>
      </c>
    </row>
    <row r="81" spans="1:164" ht="12.75" customHeight="1" x14ac:dyDescent="0.2">
      <c r="A81" s="489"/>
      <c r="B81" s="489"/>
      <c r="C81" s="489"/>
      <c r="D81" s="489"/>
      <c r="E81" s="489"/>
      <c r="F81" s="744"/>
      <c r="G81" s="745"/>
      <c r="H81" s="506"/>
      <c r="I81" s="750">
        <v>5025534.3974563302</v>
      </c>
      <c r="J81" s="742">
        <v>0.48558857953900197</v>
      </c>
      <c r="K81" s="742">
        <v>5.5953774721990502E-217</v>
      </c>
      <c r="L81" s="742">
        <v>1.64805082839796E-103</v>
      </c>
      <c r="M81" s="742">
        <v>8.3161636026891404E-217</v>
      </c>
      <c r="N81" s="742">
        <v>8.9137816443679992E-217</v>
      </c>
      <c r="O81" s="742">
        <v>1.67903951337664E-103</v>
      </c>
      <c r="P81" s="742">
        <v>1.3248161433107201E-216</v>
      </c>
      <c r="Q81" s="742">
        <v>1.3308479089104199E-16</v>
      </c>
      <c r="R81" s="742">
        <v>6.3576882766780103E-217</v>
      </c>
      <c r="S81" s="742">
        <v>6.0550336894469095E-103</v>
      </c>
      <c r="T81" s="742">
        <v>-1.53726746370025E-110</v>
      </c>
      <c r="U81" s="742">
        <v>7.5896972424387304E-18</v>
      </c>
      <c r="V81" s="742">
        <v>6.6052073235206598E-220</v>
      </c>
      <c r="W81" s="742">
        <v>-1.22181778247988E-93</v>
      </c>
      <c r="X81" s="742">
        <v>-2.17368899049948E-94</v>
      </c>
      <c r="Y81" s="742">
        <v>0.416225073233564</v>
      </c>
      <c r="Z81" s="742">
        <v>4.7510071644415696E-217</v>
      </c>
      <c r="AA81" s="742">
        <v>-1.58926557247418E-35</v>
      </c>
      <c r="AB81" s="742">
        <v>4.8839145907003401E-32</v>
      </c>
      <c r="AC81" s="742">
        <v>6.2832469358729905E-19</v>
      </c>
      <c r="AD81" s="742">
        <v>7.0933854541945802E-217</v>
      </c>
      <c r="AE81" s="742">
        <v>-4.5951752346138899E-91</v>
      </c>
      <c r="AF81" s="742">
        <v>-3.6493827787734701E-91</v>
      </c>
      <c r="AG81" s="742">
        <v>7.2617848895404502E-18</v>
      </c>
      <c r="AH81" s="742">
        <v>7.3695470568558896E-220</v>
      </c>
      <c r="AI81" s="742">
        <v>-6.1719846275284796E-91</v>
      </c>
      <c r="AJ81" s="742">
        <v>-2.4102566320967199E-91</v>
      </c>
      <c r="AK81" s="742">
        <v>0.41476069019307499</v>
      </c>
      <c r="AL81" s="742">
        <v>4.7814311625845298E-217</v>
      </c>
      <c r="AM81" s="742">
        <v>-1.5901926114313299E-35</v>
      </c>
      <c r="AN81" s="742">
        <v>4.8798464726247801E-32</v>
      </c>
      <c r="AO81" s="742">
        <v>3.3322016996227602E-16</v>
      </c>
      <c r="AP81" s="742">
        <v>7.0243156380097803E-217</v>
      </c>
      <c r="AQ81" s="742">
        <v>2.4129173657196799E-96</v>
      </c>
      <c r="AR81" s="742">
        <v>-1.2967690694332999E-91</v>
      </c>
      <c r="AS81" s="742">
        <v>9.4378880677386302E-18</v>
      </c>
      <c r="AT81" s="742">
        <v>7.0022612378562797E-219</v>
      </c>
      <c r="AU81" s="742">
        <v>-8.5874796525658102E-93</v>
      </c>
      <c r="AV81" s="742">
        <v>-1.23703509135354E-91</v>
      </c>
      <c r="AW81" s="742">
        <v>3.3322016996227602E-16</v>
      </c>
      <c r="AX81" s="742">
        <v>7.0243156499337597E-217</v>
      </c>
      <c r="AY81" s="742">
        <v>2.4129173698061799E-96</v>
      </c>
      <c r="AZ81" s="742">
        <v>-1.2967690698900301E-91</v>
      </c>
      <c r="BA81" s="742">
        <v>0.50269553157240898</v>
      </c>
      <c r="BB81" s="742">
        <v>2.1047288942939199E-216</v>
      </c>
      <c r="BC81" s="742">
        <v>8.0842636865987896E-103</v>
      </c>
      <c r="BD81" s="742">
        <v>1.7811293569763801E-216</v>
      </c>
      <c r="BE81" s="742">
        <v>3.3529628922801501E-216</v>
      </c>
      <c r="BF81" s="742">
        <v>8.2362739931990195E-103</v>
      </c>
      <c r="BG81" s="742">
        <v>2.83744879583385E-216</v>
      </c>
      <c r="BH81" s="742">
        <v>1.9930157619233298E-15</v>
      </c>
      <c r="BI81" s="742">
        <v>2.34403143125619E-216</v>
      </c>
      <c r="BJ81" s="742">
        <v>4.5741009338328703E-102</v>
      </c>
      <c r="BK81" s="742">
        <v>2.4338143200121101E-111</v>
      </c>
      <c r="BL81" s="742">
        <v>4.3060190310290902E-15</v>
      </c>
      <c r="BM81" s="742">
        <v>2.34401782477341E-216</v>
      </c>
      <c r="BN81" s="742">
        <v>-2.0299985563644599E-92</v>
      </c>
      <c r="BO81" s="742">
        <v>-1.7087527473746801E-93</v>
      </c>
      <c r="BP81" s="742">
        <v>0.50301390742125796</v>
      </c>
      <c r="BQ81" s="742">
        <v>2.35326027845513E-216</v>
      </c>
      <c r="BR81" s="742">
        <v>-2.7882337091859102E-31</v>
      </c>
      <c r="BS81" s="742">
        <v>1.9342546788749899E-27</v>
      </c>
      <c r="BT81" s="742">
        <v>1.9720377813766999E-15</v>
      </c>
      <c r="BU81" s="742">
        <v>2.3713760621459901E-216</v>
      </c>
      <c r="BV81" s="742">
        <v>-8.9168625505482705E-91</v>
      </c>
      <c r="BW81" s="742">
        <v>-3.8295298287602597E-91</v>
      </c>
      <c r="BX81" s="742">
        <v>4.2882419934744898E-15</v>
      </c>
      <c r="BY81" s="742">
        <v>2.3713619397162599E-216</v>
      </c>
      <c r="BZ81" s="742">
        <v>-7.4618639120987396E-90</v>
      </c>
      <c r="CA81" s="742">
        <v>-3.0390372431095198E-91</v>
      </c>
      <c r="CB81" s="742">
        <v>0.50301384022322904</v>
      </c>
      <c r="CC81" s="742">
        <v>2.3536738541017001E-216</v>
      </c>
      <c r="CD81" s="742">
        <v>-4.4423349997101499E-29</v>
      </c>
      <c r="CE81" s="742">
        <v>-1.7112713084519399E-26</v>
      </c>
      <c r="CF81" s="742">
        <v>5.0689826821449697E-15</v>
      </c>
      <c r="CG81" s="742">
        <v>2.6422309862770401E-216</v>
      </c>
      <c r="CH81" s="742">
        <v>5.4367385698912496E-96</v>
      </c>
      <c r="CI81" s="742">
        <v>-1.3283747895541901E-91</v>
      </c>
      <c r="CJ81" s="742">
        <v>4.7259773025192399E-15</v>
      </c>
      <c r="CK81" s="742">
        <v>2.6422310200011199E-216</v>
      </c>
      <c r="CL81" s="742">
        <v>-2.3736683136260398E-92</v>
      </c>
      <c r="CM81" s="742">
        <v>-1.3273967402969101E-91</v>
      </c>
      <c r="CN81" s="742">
        <v>5.0689826821449697E-15</v>
      </c>
      <c r="CO81" s="742">
        <v>2.6422310668819101E-216</v>
      </c>
      <c r="CP81" s="742">
        <v>5.4367385653402298E-96</v>
      </c>
      <c r="CQ81" s="742">
        <v>-1.32837478997619E-91</v>
      </c>
      <c r="CR81" s="742">
        <v>0.50308269195168598</v>
      </c>
      <c r="CS81" s="742">
        <v>7.8489040920589803E-216</v>
      </c>
      <c r="CT81" s="742">
        <v>7.3097134402377495E-102</v>
      </c>
      <c r="CU81" s="742">
        <v>6.1440308806669204E-216</v>
      </c>
      <c r="CV81" s="742">
        <v>1.25037882050206E-215</v>
      </c>
      <c r="CW81" s="742">
        <v>7.4471596843398297E-102</v>
      </c>
      <c r="CX81" s="742">
        <v>9.7859679517674696E-216</v>
      </c>
      <c r="CY81" s="742">
        <v>0.50308251763621603</v>
      </c>
      <c r="CZ81" s="742">
        <v>1.0097409495779E-215</v>
      </c>
      <c r="DA81" s="742">
        <v>-9.4385461337918399E-29</v>
      </c>
      <c r="DB81" s="742">
        <v>1.5799636039731199E-23</v>
      </c>
      <c r="DC81" s="742">
        <v>0.50308313533214499</v>
      </c>
      <c r="DD81" s="742">
        <v>1.00990001076615E-215</v>
      </c>
      <c r="DE81" s="742">
        <v>-1.4684583046962899E-25</v>
      </c>
      <c r="DF81" s="742">
        <v>2.42612564886988E-20</v>
      </c>
      <c r="DG81" s="742">
        <v>0.50308322033374098</v>
      </c>
      <c r="DH81" s="742">
        <v>1.01007749898575E-215</v>
      </c>
      <c r="DI81" s="742">
        <v>-1.4683397649656199E-25</v>
      </c>
      <c r="DJ81" s="742">
        <v>2.4256854379552599E-20</v>
      </c>
      <c r="DK81" s="742">
        <v>2.08661416509217E-13</v>
      </c>
      <c r="DL81" s="742">
        <v>1.05742537005169E-215</v>
      </c>
      <c r="DM81" s="742">
        <v>1.62451903411963E-95</v>
      </c>
      <c r="DN81" s="742">
        <v>-1.3655854501725101E-91</v>
      </c>
      <c r="DO81" s="742">
        <v>0.50308269237367098</v>
      </c>
      <c r="DP81" s="742">
        <v>3.8514828908560501E-215</v>
      </c>
      <c r="DQ81" s="742">
        <v>3.2354163714132698E-101</v>
      </c>
      <c r="DR81" s="742">
        <v>6.55230986631607E-214</v>
      </c>
      <c r="DS81" s="742">
        <v>3.3466823757595198E-214</v>
      </c>
      <c r="DT81" s="742">
        <v>3.4117253047709699E-101</v>
      </c>
      <c r="DU81" s="742">
        <v>-7.1544144911020498E-213</v>
      </c>
      <c r="DV81" s="742">
        <v>0.50308391779010697</v>
      </c>
      <c r="DW81" s="742">
        <v>1.4816369887828001E-214</v>
      </c>
      <c r="DX81" s="742">
        <v>-4.2482279881216804E-25</v>
      </c>
      <c r="DY81" s="742">
        <v>5.6856062239001996E-19</v>
      </c>
      <c r="DZ81" s="742">
        <v>0.50308426422790398</v>
      </c>
      <c r="EA81" s="742">
        <v>1.4818579522928101E-214</v>
      </c>
      <c r="EB81" s="742">
        <v>-5.5938815571530195E-22</v>
      </c>
      <c r="EC81" s="742">
        <v>7.3961455941706105E-16</v>
      </c>
      <c r="ED81" s="742">
        <v>0.503084349308908</v>
      </c>
      <c r="EE81" s="742">
        <v>1.48210381900874E-214</v>
      </c>
      <c r="EF81" s="742">
        <v>-5.2529865336909997E-15</v>
      </c>
      <c r="EG81" s="742">
        <v>8.6821570618261105E-10</v>
      </c>
      <c r="EH81" s="742">
        <v>6.0403034339327404E-14</v>
      </c>
      <c r="EI81" s="742">
        <v>1.99008664136488E-214</v>
      </c>
      <c r="EJ81" s="742">
        <v>-5.0656427307479098E-91</v>
      </c>
      <c r="EK81" s="742">
        <v>-1.4270381935153199E-91</v>
      </c>
      <c r="EL81" s="742">
        <v>0.50308470676226102</v>
      </c>
      <c r="EM81" s="742">
        <v>2.7298031448601501E-215</v>
      </c>
      <c r="EN81" s="742">
        <v>1.9180747019124301E-101</v>
      </c>
      <c r="EO81" s="742">
        <v>1.8344574705834E-215</v>
      </c>
      <c r="EP81" s="742">
        <v>3.4142057734978399E-215</v>
      </c>
      <c r="EQ81" s="742">
        <v>1.93732777263857E-101</v>
      </c>
      <c r="ER81" s="742">
        <v>2.29433795714708E-215</v>
      </c>
      <c r="ES81" s="742">
        <v>0.50309010332567405</v>
      </c>
      <c r="ET81" s="742">
        <v>3.1083889619695498E-215</v>
      </c>
      <c r="EU81" s="742">
        <v>1.13517010980382E-33</v>
      </c>
      <c r="EV81" s="742">
        <v>1.4399164672210399E-24</v>
      </c>
      <c r="EW81" s="742">
        <v>0.50309012724949798</v>
      </c>
      <c r="EX81" s="742">
        <v>3.10885665272198E-215</v>
      </c>
      <c r="EY81" s="742">
        <v>2.06260458644618E-30</v>
      </c>
      <c r="EZ81" s="742">
        <v>2.4199319848840198E-21</v>
      </c>
      <c r="FA81" s="742">
        <v>0.50309021235032003</v>
      </c>
      <c r="FB81" s="742">
        <v>3.10937992104612E-215</v>
      </c>
      <c r="FC81" s="742">
        <v>2.0622343481380699E-30</v>
      </c>
      <c r="FD81" s="742">
        <v>2.41946534171541E-21</v>
      </c>
      <c r="FE81" s="742">
        <v>1.35603191600041E-11</v>
      </c>
      <c r="FF81" s="742">
        <v>3.1457798814600202E-215</v>
      </c>
      <c r="FG81" s="742">
        <v>7.9054308134763605E-96</v>
      </c>
      <c r="FH81" s="742">
        <v>-1.3964085099574401E-91</v>
      </c>
    </row>
    <row r="82" spans="1:164" ht="12.75" customHeight="1" x14ac:dyDescent="0.2">
      <c r="A82" s="489"/>
      <c r="B82" s="489"/>
      <c r="C82" s="489"/>
      <c r="D82" s="489"/>
      <c r="E82" s="489"/>
      <c r="F82" s="744"/>
      <c r="G82" s="745"/>
      <c r="H82" s="506"/>
      <c r="I82" s="750">
        <v>5109293.3040806102</v>
      </c>
      <c r="J82" s="742">
        <v>0.47588159223265802</v>
      </c>
      <c r="K82" s="742">
        <v>1.3911518922454501E-215</v>
      </c>
      <c r="L82" s="742">
        <v>4.0979723363645904E-102</v>
      </c>
      <c r="M82" s="742">
        <v>2.06760791199328E-215</v>
      </c>
      <c r="N82" s="742">
        <v>2.2161908223776399E-215</v>
      </c>
      <c r="O82" s="742">
        <v>4.17502746815653E-102</v>
      </c>
      <c r="P82" s="742">
        <v>3.2938269022989297E-215</v>
      </c>
      <c r="Q82" s="742">
        <v>1.3042440629741501E-16</v>
      </c>
      <c r="R82" s="742">
        <v>1.58068157516631E-215</v>
      </c>
      <c r="S82" s="742">
        <v>1.50561864522347E-101</v>
      </c>
      <c r="T82" s="742">
        <v>-3.8224112464512302E-109</v>
      </c>
      <c r="U82" s="742">
        <v>7.4379657433517601E-18</v>
      </c>
      <c r="V82" s="742">
        <v>1.6422210498655999E-218</v>
      </c>
      <c r="W82" s="742">
        <v>-3.0382303965675099E-92</v>
      </c>
      <c r="X82" s="742">
        <v>-5.40525656534269E-93</v>
      </c>
      <c r="Y82" s="742">
        <v>0.40790467264607899</v>
      </c>
      <c r="Z82" s="742">
        <v>1.18122014818919E-215</v>
      </c>
      <c r="AA82" s="742">
        <v>-3.9538050483601002E-34</v>
      </c>
      <c r="AB82" s="742">
        <v>1.2150288458406E-30</v>
      </c>
      <c r="AC82" s="742">
        <v>6.15764390977138E-19</v>
      </c>
      <c r="AD82" s="742">
        <v>1.7635944395278899E-215</v>
      </c>
      <c r="AE82" s="742">
        <v>-1.14266983919281E-89</v>
      </c>
      <c r="AF82" s="742">
        <v>-9.0748217860364801E-90</v>
      </c>
      <c r="AG82" s="742">
        <v>7.1166082401962298E-18</v>
      </c>
      <c r="AH82" s="742">
        <v>1.8322551756472199E-218</v>
      </c>
      <c r="AI82" s="742">
        <v>-1.53477128350467E-89</v>
      </c>
      <c r="AJ82" s="742">
        <v>-5.9935208303288501E-90</v>
      </c>
      <c r="AK82" s="742">
        <v>0.406469562838497</v>
      </c>
      <c r="AL82" s="742">
        <v>1.1887843210796201E-215</v>
      </c>
      <c r="AM82" s="742">
        <v>-3.9568019286498797E-34</v>
      </c>
      <c r="AN82" s="742">
        <v>1.21422953989635E-30</v>
      </c>
      <c r="AO82" s="742">
        <v>3.2655904963051101E-16</v>
      </c>
      <c r="AP82" s="742">
        <v>1.74642194205824E-215</v>
      </c>
      <c r="AQ82" s="742">
        <v>6.0000081527052699E-95</v>
      </c>
      <c r="AR82" s="742">
        <v>-3.2246423199746299E-90</v>
      </c>
      <c r="AS82" s="742">
        <v>9.2491986547585907E-18</v>
      </c>
      <c r="AT82" s="742">
        <v>1.7409386622155299E-217</v>
      </c>
      <c r="AU82" s="742">
        <v>-2.1354036649962301E-91</v>
      </c>
      <c r="AV82" s="742">
        <v>-3.0761033794898702E-90</v>
      </c>
      <c r="AW82" s="742">
        <v>3.2655904963051002E-16</v>
      </c>
      <c r="AX82" s="742">
        <v>1.74642194502261E-215</v>
      </c>
      <c r="AY82" s="742">
        <v>6.0000081628670601E-95</v>
      </c>
      <c r="AZ82" s="742">
        <v>-3.2246423211106698E-90</v>
      </c>
      <c r="BA82" s="742">
        <v>0.49264657377245102</v>
      </c>
      <c r="BB82" s="742">
        <v>5.2328866077556395E-215</v>
      </c>
      <c r="BC82" s="742">
        <v>2.0101982521842901E-101</v>
      </c>
      <c r="BD82" s="742">
        <v>4.4283365824823202E-215</v>
      </c>
      <c r="BE82" s="742">
        <v>8.3363109913513598E-215</v>
      </c>
      <c r="BF82" s="742">
        <v>2.04799648149553E-101</v>
      </c>
      <c r="BG82" s="742">
        <v>7.0546129927602495E-215</v>
      </c>
      <c r="BH82" s="742">
        <v>1.9531750829191198E-15</v>
      </c>
      <c r="BI82" s="742">
        <v>5.8278530398986498E-215</v>
      </c>
      <c r="BJ82" s="742">
        <v>1.13737627308494E-100</v>
      </c>
      <c r="BK82" s="742">
        <v>6.0516807689916801E-110</v>
      </c>
      <c r="BL82" s="742">
        <v>4.2199410616072003E-15</v>
      </c>
      <c r="BM82" s="742">
        <v>5.8278192107546199E-215</v>
      </c>
      <c r="BN82" s="742">
        <v>-5.0478988410871797E-91</v>
      </c>
      <c r="BO82" s="742">
        <v>-4.2490982125552298E-92</v>
      </c>
      <c r="BP82" s="742">
        <v>0.49295858524111003</v>
      </c>
      <c r="BQ82" s="742">
        <v>5.8507982805177899E-215</v>
      </c>
      <c r="BR82" s="742">
        <v>-6.9362198249215295E-30</v>
      </c>
      <c r="BS82" s="742">
        <v>4.8117974690248597E-26</v>
      </c>
      <c r="BT82" s="742">
        <v>1.9326164549986902E-15</v>
      </c>
      <c r="BU82" s="742">
        <v>5.8958386855408202E-215</v>
      </c>
      <c r="BV82" s="742">
        <v>-2.2173321830524198E-89</v>
      </c>
      <c r="BW82" s="742">
        <v>-9.5227886346023899E-90</v>
      </c>
      <c r="BX82" s="742">
        <v>4.2025193892295799E-15</v>
      </c>
      <c r="BY82" s="742">
        <v>5.8958035736235798E-215</v>
      </c>
      <c r="BZ82" s="742">
        <v>-1.8555141773968E-88</v>
      </c>
      <c r="CA82" s="742">
        <v>-7.55706574012929E-90</v>
      </c>
      <c r="CB82" s="742">
        <v>0.49295851938637703</v>
      </c>
      <c r="CC82" s="742">
        <v>5.8518265338334097E-215</v>
      </c>
      <c r="CD82" s="742">
        <v>-1.1046661885380999E-27</v>
      </c>
      <c r="CE82" s="742">
        <v>-4.2550892833280202E-25</v>
      </c>
      <c r="CF82" s="742">
        <v>4.9676529708936197E-15</v>
      </c>
      <c r="CG82" s="742">
        <v>6.5692523061642404E-215</v>
      </c>
      <c r="CH82" s="742">
        <v>1.3519101900187699E-94</v>
      </c>
      <c r="CI82" s="742">
        <v>-3.3032354519808401E-90</v>
      </c>
      <c r="CJ82" s="742">
        <v>4.6315042947119203E-15</v>
      </c>
      <c r="CK82" s="742">
        <v>6.5692523900093603E-215</v>
      </c>
      <c r="CL82" s="742">
        <v>-5.9024768866717196E-91</v>
      </c>
      <c r="CM82" s="742">
        <v>-3.3008033703267602E-90</v>
      </c>
      <c r="CN82" s="742">
        <v>4.9676529708936197E-15</v>
      </c>
      <c r="CO82" s="742">
        <v>6.5692525065660098E-215</v>
      </c>
      <c r="CP82" s="742">
        <v>1.35191018888698E-94</v>
      </c>
      <c r="CQ82" s="742">
        <v>-3.3032354530306502E-90</v>
      </c>
      <c r="CR82" s="742">
        <v>0.49302599475866199</v>
      </c>
      <c r="CS82" s="742">
        <v>1.9514354186067999E-214</v>
      </c>
      <c r="CT82" s="742">
        <v>1.8176019178946E-100</v>
      </c>
      <c r="CU82" s="742">
        <v>1.5275609634928801E-214</v>
      </c>
      <c r="CV82" s="742">
        <v>3.1087569530546602E-214</v>
      </c>
      <c r="CW82" s="742">
        <v>1.8517787100390601E-100</v>
      </c>
      <c r="CX82" s="742">
        <v>2.4330383300195001E-214</v>
      </c>
      <c r="CY82" s="742">
        <v>0.49302582392775401</v>
      </c>
      <c r="CZ82" s="742">
        <v>2.5104705440568298E-214</v>
      </c>
      <c r="DA82" s="742">
        <v>-2.3477596673831599E-27</v>
      </c>
      <c r="DB82" s="742">
        <v>3.9300271744186801E-22</v>
      </c>
      <c r="DC82" s="742">
        <v>0.49302642927585</v>
      </c>
      <c r="DD82" s="742">
        <v>2.5108660102667998E-214</v>
      </c>
      <c r="DE82" s="742">
        <v>-3.6523385831197698E-24</v>
      </c>
      <c r="DF82" s="742">
        <v>6.0342417726370299E-19</v>
      </c>
      <c r="DG82" s="742">
        <v>0.49302651257825197</v>
      </c>
      <c r="DH82" s="742">
        <v>2.5113072907222798E-214</v>
      </c>
      <c r="DI82" s="742">
        <v>-3.6526772026960297E-24</v>
      </c>
      <c r="DJ82" s="742">
        <v>6.0341935700320404E-19</v>
      </c>
      <c r="DK82" s="742">
        <v>2.0449024402550699E-13</v>
      </c>
      <c r="DL82" s="742">
        <v>2.6290260340185801E-214</v>
      </c>
      <c r="DM82" s="742">
        <v>4.0395612331911402E-94</v>
      </c>
      <c r="DN82" s="742">
        <v>-3.3957662454834801E-90</v>
      </c>
      <c r="DO82" s="742">
        <v>0.49302599517221102</v>
      </c>
      <c r="DP82" s="742">
        <v>9.5757573786375598E-214</v>
      </c>
      <c r="DQ82" s="742">
        <v>8.0450472510967095E-100</v>
      </c>
      <c r="DR82" s="742">
        <v>1.6290695012181199E-212</v>
      </c>
      <c r="DS82" s="742">
        <v>8.3207044247503406E-213</v>
      </c>
      <c r="DT82" s="742">
        <v>8.4834494648526697E-100</v>
      </c>
      <c r="DU82" s="742">
        <v>-1.7787672274367399E-211</v>
      </c>
      <c r="DV82" s="742">
        <v>0.49302719609236101</v>
      </c>
      <c r="DW82" s="742">
        <v>3.68372615957306E-213</v>
      </c>
      <c r="DX82" s="742">
        <v>-1.05660087016222E-23</v>
      </c>
      <c r="DY82" s="742">
        <v>1.41409912681337E-17</v>
      </c>
      <c r="DZ82" s="742">
        <v>0.49302753560481499</v>
      </c>
      <c r="EA82" s="742">
        <v>3.6842755310676799E-213</v>
      </c>
      <c r="EB82" s="742">
        <v>-1.3911591092092901E-20</v>
      </c>
      <c r="EC82" s="742">
        <v>1.83936954204067E-14</v>
      </c>
      <c r="ED82" s="742">
        <v>0.493027618985033</v>
      </c>
      <c r="EE82" s="742">
        <v>3.68488681826867E-213</v>
      </c>
      <c r="EF82" s="742">
        <v>-1.3062430102741301E-13</v>
      </c>
      <c r="EG82" s="742">
        <v>2.1589636493969001E-8</v>
      </c>
      <c r="EH82" s="742">
        <v>5.9195565843768805E-14</v>
      </c>
      <c r="EI82" s="742">
        <v>4.9478616086410402E-213</v>
      </c>
      <c r="EJ82" s="742">
        <v>-1.25964964756692E-89</v>
      </c>
      <c r="EK82" s="742">
        <v>-3.5485792031120001E-90</v>
      </c>
      <c r="EL82" s="742">
        <v>0.49302796929287401</v>
      </c>
      <c r="EM82" s="742">
        <v>6.7869787682799799E-214</v>
      </c>
      <c r="EN82" s="742">
        <v>4.7694020912907805E-100</v>
      </c>
      <c r="EO82" s="742">
        <v>4.5609237185291298E-214</v>
      </c>
      <c r="EP82" s="742">
        <v>8.4885762326494593E-214</v>
      </c>
      <c r="EQ82" s="742">
        <v>4.8172759492269698E-100</v>
      </c>
      <c r="ER82" s="742">
        <v>5.7043025389812798E-214</v>
      </c>
      <c r="ES82" s="742">
        <v>0.49303325797818598</v>
      </c>
      <c r="ET82" s="742">
        <v>7.7282385464931301E-214</v>
      </c>
      <c r="EU82" s="742">
        <v>2.6878800600019602E-32</v>
      </c>
      <c r="EV82" s="742">
        <v>3.5815506786251698E-23</v>
      </c>
      <c r="EW82" s="742">
        <v>0.49303328142376901</v>
      </c>
      <c r="EX82" s="742">
        <v>7.7294013436072E-214</v>
      </c>
      <c r="EY82" s="742">
        <v>4.88345106213066E-29</v>
      </c>
      <c r="EZ82" s="742">
        <v>6.01861963960408E-20</v>
      </c>
      <c r="FA82" s="742">
        <v>0.49303336482341598</v>
      </c>
      <c r="FB82" s="742">
        <v>7.7307023205740803E-214</v>
      </c>
      <c r="FC82" s="742">
        <v>4.88337788721296E-29</v>
      </c>
      <c r="FD82" s="742">
        <v>6.0185030010429299E-20</v>
      </c>
      <c r="FE82" s="742">
        <v>1.3289246380489699E-11</v>
      </c>
      <c r="FF82" s="742">
        <v>7.8212017981451298E-214</v>
      </c>
      <c r="FG82" s="742">
        <v>1.96575088615588E-94</v>
      </c>
      <c r="FH82" s="742">
        <v>-3.4724131561449601E-90</v>
      </c>
    </row>
    <row r="83" spans="1:164" ht="12.75" customHeight="1" x14ac:dyDescent="0.2">
      <c r="A83" s="489"/>
      <c r="B83" s="489"/>
      <c r="C83" s="489"/>
      <c r="D83" s="489"/>
      <c r="E83" s="489"/>
      <c r="F83" s="744"/>
      <c r="G83" s="745"/>
      <c r="H83" s="506"/>
      <c r="I83" s="750">
        <v>5193052.2107048798</v>
      </c>
      <c r="J83" s="742">
        <v>0.466368651222343</v>
      </c>
      <c r="K83" s="742">
        <v>1.0804330034600499E-215</v>
      </c>
      <c r="L83" s="742">
        <v>3.1826691515118999E-102</v>
      </c>
      <c r="M83" s="742">
        <v>1.60580008465275E-215</v>
      </c>
      <c r="N83" s="742">
        <v>1.7211964558357201E-215</v>
      </c>
      <c r="O83" s="742">
        <v>3.2425136235557499E-102</v>
      </c>
      <c r="P83" s="742">
        <v>2.5581385560882402E-215</v>
      </c>
      <c r="Q83" s="742">
        <v>1.2781720378388299E-16</v>
      </c>
      <c r="R83" s="742">
        <v>1.2276305350196701E-215</v>
      </c>
      <c r="S83" s="742">
        <v>1.16933098195215E-101</v>
      </c>
      <c r="T83" s="742">
        <v>-2.9686571449881302E-109</v>
      </c>
      <c r="U83" s="742">
        <v>7.2892823600603898E-18</v>
      </c>
      <c r="V83" s="742">
        <v>1.27542494183559E-218</v>
      </c>
      <c r="W83" s="742">
        <v>-2.3596246979551202E-92</v>
      </c>
      <c r="X83" s="742">
        <v>-4.1979616846174398E-93</v>
      </c>
      <c r="Y83" s="742">
        <v>0.39975059996907703</v>
      </c>
      <c r="Z83" s="742">
        <v>9.1739028611435205E-216</v>
      </c>
      <c r="AA83" s="742">
        <v>-3.0706784358351499E-34</v>
      </c>
      <c r="AB83" s="742">
        <v>9.4363856156719505E-31</v>
      </c>
      <c r="AC83" s="742">
        <v>6.0345517269663099E-19</v>
      </c>
      <c r="AD83" s="742">
        <v>1.3696891387675499E-215</v>
      </c>
      <c r="AE83" s="742">
        <v>-8.8744802074682404E-90</v>
      </c>
      <c r="AF83" s="742">
        <v>-7.0479086402922002E-90</v>
      </c>
      <c r="AG83" s="742">
        <v>6.9743488746081008E-18</v>
      </c>
      <c r="AH83" s="742">
        <v>1.4230142470887601E-218</v>
      </c>
      <c r="AI83" s="742">
        <v>-1.1919713676415599E-89</v>
      </c>
      <c r="AJ83" s="742">
        <v>-4.65483379985994E-90</v>
      </c>
      <c r="AK83" s="742">
        <v>0.39834417821155998</v>
      </c>
      <c r="AL83" s="742">
        <v>9.2326497318503801E-216</v>
      </c>
      <c r="AM83" s="742">
        <v>-3.0729976926530898E-34</v>
      </c>
      <c r="AN83" s="742">
        <v>9.4301525179845295E-31</v>
      </c>
      <c r="AO83" s="742">
        <v>3.2003108757813302E-16</v>
      </c>
      <c r="AP83" s="742">
        <v>1.3563521817311199E-215</v>
      </c>
      <c r="AQ83" s="742">
        <v>4.6598736823904803E-95</v>
      </c>
      <c r="AR83" s="742">
        <v>-2.5044000673625002E-90</v>
      </c>
      <c r="AS83" s="742">
        <v>9.0643110759208606E-18</v>
      </c>
      <c r="AT83" s="742">
        <v>1.3520936125969399E-217</v>
      </c>
      <c r="AU83" s="742">
        <v>-1.65844935056025E-91</v>
      </c>
      <c r="AV83" s="742">
        <v>-2.3890381462745799E-90</v>
      </c>
      <c r="AW83" s="742">
        <v>3.2003108757813302E-16</v>
      </c>
      <c r="AX83" s="742">
        <v>1.35635218403338E-215</v>
      </c>
      <c r="AY83" s="742">
        <v>4.6598736902825702E-95</v>
      </c>
      <c r="AZ83" s="742">
        <v>-2.5044000682447702E-90</v>
      </c>
      <c r="BA83" s="742">
        <v>0.48279849838621097</v>
      </c>
      <c r="BB83" s="742">
        <v>4.0641021486572101E-215</v>
      </c>
      <c r="BC83" s="742">
        <v>1.56121014016546E-101</v>
      </c>
      <c r="BD83" s="742">
        <v>3.4392513289260601E-215</v>
      </c>
      <c r="BE83" s="742">
        <v>6.4743652884839897E-215</v>
      </c>
      <c r="BF83" s="742">
        <v>1.5905659406776201E-101</v>
      </c>
      <c r="BG83" s="742">
        <v>5.4789392491953396E-215</v>
      </c>
      <c r="BH83" s="742">
        <v>1.91413083400284E-15</v>
      </c>
      <c r="BI83" s="742">
        <v>4.5261806411794798E-215</v>
      </c>
      <c r="BJ83" s="742">
        <v>8.8333743639187201E-101</v>
      </c>
      <c r="BK83" s="742">
        <v>4.7000084025992599E-110</v>
      </c>
      <c r="BL83" s="742">
        <v>4.1355838399304999E-15</v>
      </c>
      <c r="BM83" s="742">
        <v>4.5261543678991099E-215</v>
      </c>
      <c r="BN83" s="742">
        <v>-3.9204224001914899E-91</v>
      </c>
      <c r="BO83" s="742">
        <v>-3.3000380529155003E-92</v>
      </c>
      <c r="BP83" s="742">
        <v>0.483104272701043</v>
      </c>
      <c r="BQ83" s="742">
        <v>4.54400097796323E-215</v>
      </c>
      <c r="BR83" s="742">
        <v>-5.3869422716710302E-30</v>
      </c>
      <c r="BS83" s="742">
        <v>3.7370319619836999E-26</v>
      </c>
      <c r="BT83" s="742">
        <v>1.89398317605463E-15</v>
      </c>
      <c r="BU83" s="742">
        <v>4.5789814429629901E-215</v>
      </c>
      <c r="BV83" s="742">
        <v>-1.7220784075881199E-89</v>
      </c>
      <c r="BW83" s="742">
        <v>-7.3958195407145802E-90</v>
      </c>
      <c r="BX83" s="742">
        <v>4.11851042936256E-15</v>
      </c>
      <c r="BY83" s="742">
        <v>4.5789541734215201E-215</v>
      </c>
      <c r="BZ83" s="742">
        <v>-1.44107460332687E-88</v>
      </c>
      <c r="CA83" s="742">
        <v>-5.8691523674024898E-90</v>
      </c>
      <c r="CB83" s="742">
        <v>0.48310420816275501</v>
      </c>
      <c r="CC83" s="742">
        <v>4.5447995671211101E-215</v>
      </c>
      <c r="CD83" s="742">
        <v>-8.5793266953735691E-28</v>
      </c>
      <c r="CE83" s="742">
        <v>-3.3046942266371602E-25</v>
      </c>
      <c r="CF83" s="742">
        <v>4.8683488783564104E-15</v>
      </c>
      <c r="CG83" s="742">
        <v>5.10198565605911E-215</v>
      </c>
      <c r="CH83" s="742">
        <v>1.04995369257661E-94</v>
      </c>
      <c r="CI83" s="742">
        <v>-2.5654389751109001E-90</v>
      </c>
      <c r="CJ83" s="742">
        <v>4.5389198674623E-15</v>
      </c>
      <c r="CK83" s="742">
        <v>5.1019857211772196E-215</v>
      </c>
      <c r="CL83" s="742">
        <v>-4.5841257650061602E-91</v>
      </c>
      <c r="CM83" s="742">
        <v>-2.5635501126655998E-90</v>
      </c>
      <c r="CN83" s="742">
        <v>4.8683488783564104E-15</v>
      </c>
      <c r="CO83" s="742">
        <v>5.1019858117004298E-215</v>
      </c>
      <c r="CP83" s="742">
        <v>1.04995369169764E-94</v>
      </c>
      <c r="CQ83" s="742">
        <v>-2.5654389759262E-90</v>
      </c>
      <c r="CR83" s="742">
        <v>0.48317033469270598</v>
      </c>
      <c r="CS83" s="742">
        <v>1.51557514469571E-214</v>
      </c>
      <c r="CT83" s="742">
        <v>1.4116311870821201E-100</v>
      </c>
      <c r="CU83" s="742">
        <v>1.1863746071903199E-214</v>
      </c>
      <c r="CV83" s="742">
        <v>2.4144046602952602E-214</v>
      </c>
      <c r="CW83" s="742">
        <v>1.43817441703287E-100</v>
      </c>
      <c r="CX83" s="742">
        <v>1.8896102754907998E-214</v>
      </c>
      <c r="CY83" s="742">
        <v>0.48317016727673501</v>
      </c>
      <c r="CZ83" s="742">
        <v>1.9497477199525302E-214</v>
      </c>
      <c r="DA83" s="742">
        <v>-1.8233657966827001E-27</v>
      </c>
      <c r="DB83" s="742">
        <v>3.0522192052400501E-22</v>
      </c>
      <c r="DC83" s="742">
        <v>0.48317076052383701</v>
      </c>
      <c r="DD83" s="742">
        <v>1.95005485733087E-214</v>
      </c>
      <c r="DE83" s="742">
        <v>-2.8365588515986E-24</v>
      </c>
      <c r="DF83" s="742">
        <v>4.6864444573E-19</v>
      </c>
      <c r="DG83" s="742">
        <v>0.48317084216101203</v>
      </c>
      <c r="DH83" s="742">
        <v>1.9503975761745801E-214</v>
      </c>
      <c r="DI83" s="742">
        <v>-2.8368142802406201E-24</v>
      </c>
      <c r="DJ83" s="742">
        <v>4.6863945334899902E-19</v>
      </c>
      <c r="DK83" s="742">
        <v>2.0040245483518901E-13</v>
      </c>
      <c r="DL83" s="742">
        <v>2.0418234054401999E-214</v>
      </c>
      <c r="DM83" s="742">
        <v>3.1373032502380802E-94</v>
      </c>
      <c r="DN83" s="742">
        <v>-2.6373024881726702E-90</v>
      </c>
      <c r="DO83" s="742">
        <v>0.48317033509798801</v>
      </c>
      <c r="DP83" s="742">
        <v>7.4369767691624197E-214</v>
      </c>
      <c r="DQ83" s="742">
        <v>6.24814459612375E-100</v>
      </c>
      <c r="DR83" s="742">
        <v>1.26521083881469E-212</v>
      </c>
      <c r="DS83" s="742">
        <v>6.4622444058350599E-213</v>
      </c>
      <c r="DT83" s="742">
        <v>6.5886274220555204E-100</v>
      </c>
      <c r="DU83" s="742">
        <v>-1.38147303551964E-211</v>
      </c>
      <c r="DV83" s="742">
        <v>0.48317151201157599</v>
      </c>
      <c r="DW83" s="742">
        <v>2.86095234399544E-213</v>
      </c>
      <c r="DX83" s="742">
        <v>-8.2060059511487204E-24</v>
      </c>
      <c r="DY83" s="742">
        <v>1.0982487528988701E-17</v>
      </c>
      <c r="DZ83" s="742">
        <v>0.48317184473712799</v>
      </c>
      <c r="EA83" s="742">
        <v>2.86137901134126E-213</v>
      </c>
      <c r="EB83" s="742">
        <v>-1.08043408327176E-20</v>
      </c>
      <c r="EC83" s="742">
        <v>1.4285336103351099E-14</v>
      </c>
      <c r="ED83" s="742">
        <v>0.483171926450565</v>
      </c>
      <c r="EE83" s="742">
        <v>2.86185376529223E-213</v>
      </c>
      <c r="EF83" s="742">
        <v>-1.0144862288207801E-13</v>
      </c>
      <c r="EG83" s="742">
        <v>1.67674687910912E-8</v>
      </c>
      <c r="EH83" s="742">
        <v>5.8012238648156403E-14</v>
      </c>
      <c r="EI83" s="742">
        <v>3.8427384765749599E-213</v>
      </c>
      <c r="EJ83" s="742">
        <v>-9.7829984275850003E-90</v>
      </c>
      <c r="EK83" s="742">
        <v>-2.7559838002078601E-90</v>
      </c>
      <c r="EL83" s="742">
        <v>0.48317226975569799</v>
      </c>
      <c r="EM83" s="742">
        <v>5.27108211253336E-214</v>
      </c>
      <c r="EN83" s="742">
        <v>3.7041316195349699E-100</v>
      </c>
      <c r="EO83" s="742">
        <v>3.54222464074075E-214</v>
      </c>
      <c r="EP83" s="742">
        <v>6.5926215284349996E-214</v>
      </c>
      <c r="EQ83" s="742">
        <v>3.74131260522999E-100</v>
      </c>
      <c r="ER83" s="742">
        <v>4.4302255987598302E-214</v>
      </c>
      <c r="ES83" s="742">
        <v>0.48317745271943502</v>
      </c>
      <c r="ET83" s="742">
        <v>6.0021080593616799E-214</v>
      </c>
      <c r="EU83" s="742">
        <v>2.0891367367936501E-32</v>
      </c>
      <c r="EV83" s="742">
        <v>2.78157960554863E-23</v>
      </c>
      <c r="EW83" s="742">
        <v>0.48317747569633701</v>
      </c>
      <c r="EX83" s="742">
        <v>6.0030111414658901E-214</v>
      </c>
      <c r="EY83" s="742">
        <v>3.7956349578766002E-29</v>
      </c>
      <c r="EZ83" s="742">
        <v>4.6743142482710703E-20</v>
      </c>
      <c r="FA83" s="742">
        <v>0.48317755742881302</v>
      </c>
      <c r="FB83" s="742">
        <v>6.0040215404449699E-214</v>
      </c>
      <c r="FC83" s="742">
        <v>3.7955679588897401E-29</v>
      </c>
      <c r="FD83" s="742">
        <v>4.6742112063271498E-20</v>
      </c>
      <c r="FE83" s="742">
        <v>1.3023592446921899E-11</v>
      </c>
      <c r="FF83" s="742">
        <v>6.0743076270391198E-214</v>
      </c>
      <c r="FG83" s="742">
        <v>1.5266900776943099E-94</v>
      </c>
      <c r="FH83" s="742">
        <v>-2.6968298742132402E-90</v>
      </c>
    </row>
    <row r="84" spans="1:164" ht="12.75" customHeight="1" x14ac:dyDescent="0.2">
      <c r="A84" s="489"/>
      <c r="B84" s="489"/>
      <c r="C84" s="489"/>
      <c r="D84" s="489"/>
      <c r="E84" s="489"/>
      <c r="F84" s="744"/>
      <c r="G84" s="745"/>
      <c r="H84" s="506"/>
      <c r="I84" s="750">
        <v>5276811.1173291504</v>
      </c>
      <c r="J84" s="742">
        <v>0.457045879024775</v>
      </c>
      <c r="K84" s="742">
        <v>-8.75848997174339E-216</v>
      </c>
      <c r="L84" s="742">
        <v>-2.58004198711974E-102</v>
      </c>
      <c r="M84" s="742">
        <v>-1.3017358682135901E-215</v>
      </c>
      <c r="N84" s="742">
        <v>-1.3952815074660301E-215</v>
      </c>
      <c r="O84" s="742">
        <v>-2.62855511971996E-102</v>
      </c>
      <c r="P84" s="742">
        <v>-2.0737455092613899E-215</v>
      </c>
      <c r="Q84" s="742">
        <v>1.2526212065236401E-16</v>
      </c>
      <c r="R84" s="742">
        <v>-9.9517412884853096E-216</v>
      </c>
      <c r="S84" s="742">
        <v>-9.4792228995694903E-102</v>
      </c>
      <c r="T84" s="742">
        <v>2.4065481775647601E-109</v>
      </c>
      <c r="U84" s="742">
        <v>7.14358644328192E-18</v>
      </c>
      <c r="V84" s="742">
        <v>-1.0339184870329E-218</v>
      </c>
      <c r="W84" s="742">
        <v>1.9128431821561101E-92</v>
      </c>
      <c r="X84" s="742">
        <v>3.4031041698340698E-93</v>
      </c>
      <c r="Y84" s="742">
        <v>0.39175953159522697</v>
      </c>
      <c r="Z84" s="742">
        <v>-7.4367902455549695E-216</v>
      </c>
      <c r="AA84" s="742">
        <v>2.4893482948557599E-34</v>
      </c>
      <c r="AB84" s="742">
        <v>-7.6499216560836999E-31</v>
      </c>
      <c r="AC84" s="742">
        <v>5.9139202149926704E-19</v>
      </c>
      <c r="AD84" s="742">
        <v>-1.11033340779888E-215</v>
      </c>
      <c r="AE84" s="742">
        <v>7.1941531985746099E-90</v>
      </c>
      <c r="AF84" s="742">
        <v>5.7134314689381699E-90</v>
      </c>
      <c r="AG84" s="742">
        <v>6.8349487613101702E-18</v>
      </c>
      <c r="AH84" s="742">
        <v>-1.1535612085951501E-218</v>
      </c>
      <c r="AI84" s="742">
        <v>9.6627910948381601E-90</v>
      </c>
      <c r="AJ84" s="742">
        <v>3.7734703266911698E-90</v>
      </c>
      <c r="AK84" s="742">
        <v>0.39038122439820699</v>
      </c>
      <c r="AL84" s="742">
        <v>-7.4844131778707801E-216</v>
      </c>
      <c r="AM84" s="742">
        <v>2.4912601383333601E-34</v>
      </c>
      <c r="AN84" s="742">
        <v>-7.6449661327612498E-31</v>
      </c>
      <c r="AO84" s="742">
        <v>3.1363362300196E-16</v>
      </c>
      <c r="AP84" s="742">
        <v>-1.09952185316447E-215</v>
      </c>
      <c r="AQ84" s="742">
        <v>-3.77755001492737E-95</v>
      </c>
      <c r="AR84" s="742">
        <v>2.03020774150735E-90</v>
      </c>
      <c r="AS84" s="742">
        <v>8.8831498793717896E-18</v>
      </c>
      <c r="AT84" s="742">
        <v>-1.0960696599293301E-217</v>
      </c>
      <c r="AU84" s="742">
        <v>1.3444313987250099E-91</v>
      </c>
      <c r="AV84" s="742">
        <v>1.9366888714869599E-90</v>
      </c>
      <c r="AW84" s="742">
        <v>3.1363362300196E-16</v>
      </c>
      <c r="AX84" s="742">
        <v>-1.09952185503079E-215</v>
      </c>
      <c r="AY84" s="742">
        <v>-3.7775500213251503E-95</v>
      </c>
      <c r="AZ84" s="742">
        <v>2.0302077422226201E-90</v>
      </c>
      <c r="BA84" s="742">
        <v>0.47314729132933497</v>
      </c>
      <c r="BB84" s="742">
        <v>-3.2945492963619299E-215</v>
      </c>
      <c r="BC84" s="742">
        <v>-1.26560051346546E-101</v>
      </c>
      <c r="BD84" s="742">
        <v>-2.7880163025602303E-215</v>
      </c>
      <c r="BE84" s="742">
        <v>-5.2484201492358403E-215</v>
      </c>
      <c r="BF84" s="742">
        <v>-1.28939789681926E-101</v>
      </c>
      <c r="BG84" s="742">
        <v>-4.44148173150913E-215</v>
      </c>
      <c r="BH84" s="742">
        <v>1.8758671007034801E-15</v>
      </c>
      <c r="BI84" s="742">
        <v>-3.669131508304E-215</v>
      </c>
      <c r="BJ84" s="742">
        <v>-7.1608061227569495E-101</v>
      </c>
      <c r="BK84" s="742">
        <v>-3.8100721070014601E-110</v>
      </c>
      <c r="BL84" s="742">
        <v>4.0529129818675896E-15</v>
      </c>
      <c r="BM84" s="742">
        <v>-3.6691102099670399E-215</v>
      </c>
      <c r="BN84" s="742">
        <v>3.1781130642850702E-91</v>
      </c>
      <c r="BO84" s="742">
        <v>2.6751960906244499E-92</v>
      </c>
      <c r="BP84" s="742">
        <v>0.47344695317443303</v>
      </c>
      <c r="BQ84" s="742">
        <v>-3.6835774980613898E-215</v>
      </c>
      <c r="BR84" s="742">
        <v>4.3670867527687597E-30</v>
      </c>
      <c r="BS84" s="742">
        <v>-3.0295373470021E-26</v>
      </c>
      <c r="BT84" s="742">
        <v>1.8561221975842601E-15</v>
      </c>
      <c r="BU84" s="742">
        <v>-3.7119342819550701E-215</v>
      </c>
      <c r="BV84" s="742">
        <v>1.39601369295586E-89</v>
      </c>
      <c r="BW84" s="742">
        <v>5.9954676302620903E-90</v>
      </c>
      <c r="BX84" s="742">
        <v>4.0361808716923101E-15</v>
      </c>
      <c r="BY84" s="742">
        <v>-3.71191217600281E-215</v>
      </c>
      <c r="BZ84" s="742">
        <v>1.1682158511371499E-88</v>
      </c>
      <c r="CA84" s="742">
        <v>4.7578640769950203E-90</v>
      </c>
      <c r="CB84" s="742">
        <v>0.47344688992627698</v>
      </c>
      <c r="CC84" s="742">
        <v>-3.68422487139309E-215</v>
      </c>
      <c r="CD84" s="742">
        <v>6.9548863941831401E-28</v>
      </c>
      <c r="CE84" s="742">
        <v>2.67895818474774E-25</v>
      </c>
      <c r="CF84" s="742">
        <v>4.7710299280961999E-15</v>
      </c>
      <c r="CG84" s="742">
        <v>-4.1359057027571398E-215</v>
      </c>
      <c r="CH84" s="742">
        <v>-8.5115023655211094E-95</v>
      </c>
      <c r="CI84" s="742">
        <v>2.07968931781738E-90</v>
      </c>
      <c r="CJ84" s="742">
        <v>4.4481862831831998E-15</v>
      </c>
      <c r="CK84" s="742">
        <v>-4.1359057555447202E-215</v>
      </c>
      <c r="CL84" s="742">
        <v>3.7161476243434703E-91</v>
      </c>
      <c r="CM84" s="742">
        <v>2.0781580999201501E-90</v>
      </c>
      <c r="CN84" s="742">
        <v>4.7710299280961999E-15</v>
      </c>
      <c r="CO84" s="742">
        <v>-4.13590582892709E-215</v>
      </c>
      <c r="CP84" s="742">
        <v>-8.5115023583953804E-95</v>
      </c>
      <c r="CQ84" s="742">
        <v>2.0796893184783601E-90</v>
      </c>
      <c r="CR84" s="742">
        <v>0.47351169457794001</v>
      </c>
      <c r="CS84" s="742">
        <v>-1.22859535609627E-214</v>
      </c>
      <c r="CT84" s="742">
        <v>-1.1443438069173299E-100</v>
      </c>
      <c r="CU84" s="742">
        <v>-9.6173016448298808E-215</v>
      </c>
      <c r="CV84" s="742">
        <v>-1.9572281610435701E-214</v>
      </c>
      <c r="CW84" s="742">
        <v>-1.1658611700130101E-100</v>
      </c>
      <c r="CX84" s="742">
        <v>-1.5318055444255501E-214</v>
      </c>
      <c r="CY84" s="742">
        <v>0.473511530508677</v>
      </c>
      <c r="CZ84" s="742">
        <v>-1.5805557399623E-214</v>
      </c>
      <c r="DA84" s="742">
        <v>1.4781551277775499E-27</v>
      </c>
      <c r="DB84" s="742">
        <v>-2.4743545311305199E-22</v>
      </c>
      <c r="DC84" s="742">
        <v>0.47351211189669001</v>
      </c>
      <c r="DD84" s="742">
        <v>-1.580804719736E-214</v>
      </c>
      <c r="DE84" s="742">
        <v>2.2995092423782702E-24</v>
      </c>
      <c r="DF84" s="742">
        <v>-3.7991534526912599E-19</v>
      </c>
      <c r="DG84" s="742">
        <v>0.47351219190192501</v>
      </c>
      <c r="DH84" s="742">
        <v>-1.58108254349234E-214</v>
      </c>
      <c r="DI84" s="742">
        <v>2.2997453591071401E-24</v>
      </c>
      <c r="DJ84" s="742">
        <v>-3.7991609799066098E-19</v>
      </c>
      <c r="DK84" s="742">
        <v>1.96396382751727E-13</v>
      </c>
      <c r="DL84" s="742">
        <v>-1.6551965520629999E-214</v>
      </c>
      <c r="DM84" s="742">
        <v>-2.5432706437085602E-94</v>
      </c>
      <c r="DN84" s="742">
        <v>2.1379459288322699E-90</v>
      </c>
      <c r="DO84" s="742">
        <v>0.47351169497512102</v>
      </c>
      <c r="DP84" s="742">
        <v>-6.0287575670313804E-214</v>
      </c>
      <c r="DQ84" s="742">
        <v>-5.0650804818768495E-100</v>
      </c>
      <c r="DR84" s="742">
        <v>-1.02563846665136E-212</v>
      </c>
      <c r="DS84" s="742">
        <v>-5.2385947855732401E-213</v>
      </c>
      <c r="DT84" s="742">
        <v>-5.3410940871175099E-100</v>
      </c>
      <c r="DU84" s="742">
        <v>1.11988595375697E-211</v>
      </c>
      <c r="DV84" s="742">
        <v>0.47351284836208801</v>
      </c>
      <c r="DW84" s="742">
        <v>-2.3192205230197601E-213</v>
      </c>
      <c r="DX84" s="742">
        <v>6.6523445108248603E-24</v>
      </c>
      <c r="DY84" s="742">
        <v>-8.9031485209592703E-18</v>
      </c>
      <c r="DZ84" s="742">
        <v>0.473513174436411</v>
      </c>
      <c r="EA84" s="742">
        <v>-2.31956639934055E-213</v>
      </c>
      <c r="EB84" s="742">
        <v>8.7586726538803095E-21</v>
      </c>
      <c r="EC84" s="742">
        <v>-1.15805845681607E-14</v>
      </c>
      <c r="ED84" s="742">
        <v>0.47351325451638998</v>
      </c>
      <c r="EE84" s="742">
        <v>-2.3199512568916399E-213</v>
      </c>
      <c r="EF84" s="742">
        <v>8.2239949633019895E-14</v>
      </c>
      <c r="EG84" s="742">
        <v>-1.3592651626842E-8</v>
      </c>
      <c r="EH84" s="742">
        <v>5.6852570413828198E-14</v>
      </c>
      <c r="EI84" s="742">
        <v>-3.1151018671465002E-213</v>
      </c>
      <c r="EJ84" s="742">
        <v>7.9306445827397994E-90</v>
      </c>
      <c r="EK84" s="742">
        <v>2.2341556844564099E-90</v>
      </c>
      <c r="EL84" s="742">
        <v>0.473513590958764</v>
      </c>
      <c r="EM84" s="742">
        <v>-4.2729831164928897E-214</v>
      </c>
      <c r="EN84" s="742">
        <v>-3.0027673783427398E-100</v>
      </c>
      <c r="EO84" s="742">
        <v>-2.8714912350285202E-214</v>
      </c>
      <c r="EP84" s="742">
        <v>-5.34428413047279E-214</v>
      </c>
      <c r="EQ84" s="742">
        <v>-3.0329082756995301E-100</v>
      </c>
      <c r="ER84" s="742">
        <v>-3.59134591006066E-214</v>
      </c>
      <c r="ES84" s="742">
        <v>0.47351867031436201</v>
      </c>
      <c r="ET84" s="742">
        <v>-4.8655865823143203E-214</v>
      </c>
      <c r="EU84" s="742">
        <v>-1.68738351638264E-32</v>
      </c>
      <c r="EV84" s="742">
        <v>-2.2549485168739701E-23</v>
      </c>
      <c r="EW84" s="742">
        <v>0.47351869283195303</v>
      </c>
      <c r="EX84" s="742">
        <v>-4.8663186624647804E-214</v>
      </c>
      <c r="EY84" s="742">
        <v>-3.0656914996657301E-29</v>
      </c>
      <c r="EZ84" s="742">
        <v>-3.7893099078919999E-20</v>
      </c>
      <c r="FA84" s="742">
        <v>0.47351877293058198</v>
      </c>
      <c r="FB84" s="742">
        <v>-4.8671377386406802E-214</v>
      </c>
      <c r="FC84" s="742">
        <v>-3.0656761217148002E-29</v>
      </c>
      <c r="FD84" s="742">
        <v>-3.7892742504247501E-20</v>
      </c>
      <c r="FE84" s="742">
        <v>1.27632490785191E-11</v>
      </c>
      <c r="FF84" s="742">
        <v>-4.9241148934121201E-214</v>
      </c>
      <c r="FG84" s="742">
        <v>-1.2376176416133099E-94</v>
      </c>
      <c r="FH84" s="742">
        <v>2.1862021805174901E-90</v>
      </c>
    </row>
    <row r="85" spans="1:164" ht="12.75" customHeight="1" x14ac:dyDescent="0.2">
      <c r="A85" s="489"/>
      <c r="B85" s="489"/>
      <c r="C85" s="489"/>
      <c r="D85" s="489"/>
      <c r="E85" s="489"/>
      <c r="F85" s="744"/>
      <c r="G85" s="745"/>
      <c r="H85" s="506"/>
      <c r="I85" s="750">
        <v>5360570.0239534201</v>
      </c>
      <c r="J85" s="742">
        <v>0.447909471815509</v>
      </c>
      <c r="K85" s="742">
        <v>-2.00324517411425E-216</v>
      </c>
      <c r="L85" s="742">
        <v>-5.9010002899892595E-103</v>
      </c>
      <c r="M85" s="742">
        <v>-2.9773352534314097E-216</v>
      </c>
      <c r="N85" s="742">
        <v>-3.1912931970915001E-216</v>
      </c>
      <c r="O85" s="742">
        <v>-6.0119581778733796E-103</v>
      </c>
      <c r="P85" s="742">
        <v>-4.7430786553049997E-216</v>
      </c>
      <c r="Q85" s="742">
        <v>1.22758114392384E-16</v>
      </c>
      <c r="R85" s="742">
        <v>-2.2761660713785801E-216</v>
      </c>
      <c r="S85" s="742">
        <v>-2.1680615028161301E-102</v>
      </c>
      <c r="T85" s="742">
        <v>5.5042050008272503E-110</v>
      </c>
      <c r="U85" s="742">
        <v>7.0007791136614797E-18</v>
      </c>
      <c r="V85" s="742">
        <v>-2.3647823155114601E-219</v>
      </c>
      <c r="W85" s="742">
        <v>4.3749837413738697E-93</v>
      </c>
      <c r="X85" s="742">
        <v>7.7834438284600496E-94</v>
      </c>
      <c r="Y85" s="742">
        <v>0.38392820705422598</v>
      </c>
      <c r="Z85" s="742">
        <v>-1.7009455075442599E-216</v>
      </c>
      <c r="AA85" s="742">
        <v>5.69324340017165E-35</v>
      </c>
      <c r="AB85" s="742">
        <v>-1.74956910888833E-31</v>
      </c>
      <c r="AC85" s="742">
        <v>5.7957001756691401E-19</v>
      </c>
      <c r="AD85" s="742">
        <v>-2.53955881436939E-216</v>
      </c>
      <c r="AE85" s="742">
        <v>1.6454180573416701E-90</v>
      </c>
      <c r="AF85" s="742">
        <v>1.3067532826849299E-90</v>
      </c>
      <c r="AG85" s="742">
        <v>6.69831105718342E-18</v>
      </c>
      <c r="AH85" s="742">
        <v>-2.6384296055816499E-219</v>
      </c>
      <c r="AI85" s="742">
        <v>2.2100350000218502E-90</v>
      </c>
      <c r="AJ85" s="742">
        <v>8.6305308896625995E-91</v>
      </c>
      <c r="AK85" s="742">
        <v>0.38257745239927998</v>
      </c>
      <c r="AL85" s="742">
        <v>-1.7118378428267602E-216</v>
      </c>
      <c r="AM85" s="742">
        <v>5.6975040356164105E-35</v>
      </c>
      <c r="AN85" s="742">
        <v>-1.7484013049492501E-31</v>
      </c>
      <c r="AO85" s="742">
        <v>3.0736404564491902E-16</v>
      </c>
      <c r="AP85" s="742">
        <v>-2.5148305852844399E-216</v>
      </c>
      <c r="AQ85" s="742">
        <v>-8.6398827426634092E-96</v>
      </c>
      <c r="AR85" s="742">
        <v>4.6434099962429401E-91</v>
      </c>
      <c r="AS85" s="742">
        <v>8.7055623630249703E-18</v>
      </c>
      <c r="AT85" s="742">
        <v>-2.5069347157216802E-218</v>
      </c>
      <c r="AU85" s="742">
        <v>3.0749334633262401E-92</v>
      </c>
      <c r="AV85" s="742">
        <v>4.4295173735517199E-91</v>
      </c>
      <c r="AW85" s="742">
        <v>3.0736404564491902E-16</v>
      </c>
      <c r="AX85" s="742">
        <v>-2.5148305895530501E-216</v>
      </c>
      <c r="AY85" s="742">
        <v>-8.6398827572960296E-96</v>
      </c>
      <c r="AZ85" s="742">
        <v>4.6434099978785199E-91</v>
      </c>
      <c r="BA85" s="742">
        <v>0.46368901477125801</v>
      </c>
      <c r="BB85" s="742">
        <v>-7.5353057434678798E-216</v>
      </c>
      <c r="BC85" s="742">
        <v>-2.8946463019800199E-102</v>
      </c>
      <c r="BD85" s="742">
        <v>-6.3767615439106605E-216</v>
      </c>
      <c r="BE85" s="742">
        <v>-1.20042066264852E-215</v>
      </c>
      <c r="BF85" s="742">
        <v>-2.94907501545558E-102</v>
      </c>
      <c r="BG85" s="742">
        <v>-1.0158573993079701E-215</v>
      </c>
      <c r="BH85" s="742">
        <v>1.83836827071764E-15</v>
      </c>
      <c r="BI85" s="742">
        <v>-8.39205161039655E-216</v>
      </c>
      <c r="BJ85" s="742">
        <v>-1.6377996644204098E-101</v>
      </c>
      <c r="BK85" s="742">
        <v>-8.71431326725183E-111</v>
      </c>
      <c r="BL85" s="742">
        <v>3.9718947115753898E-15</v>
      </c>
      <c r="BM85" s="742">
        <v>-8.3920028967587102E-216</v>
      </c>
      <c r="BN85" s="742">
        <v>7.2688607007477193E-92</v>
      </c>
      <c r="BO85" s="742">
        <v>6.1186037318394302E-93</v>
      </c>
      <c r="BP85" s="742">
        <v>0.46398268633666501</v>
      </c>
      <c r="BQ85" s="742">
        <v>-8.42509253338612E-216</v>
      </c>
      <c r="BR85" s="742">
        <v>9.9877745111048299E-31</v>
      </c>
      <c r="BS85" s="742">
        <v>-6.9287233217457193E-27</v>
      </c>
      <c r="BT85" s="742">
        <v>1.8190180706602699E-15</v>
      </c>
      <c r="BU85" s="742">
        <v>-8.4899502778963004E-216</v>
      </c>
      <c r="BV85" s="742">
        <v>3.1929068985937298E-90</v>
      </c>
      <c r="BW85" s="742">
        <v>1.3712594692697901E-90</v>
      </c>
      <c r="BX85" s="742">
        <v>3.9554970782721298E-15</v>
      </c>
      <c r="BY85" s="742">
        <v>-8.4898997170773294E-216</v>
      </c>
      <c r="BZ85" s="742">
        <v>2.67189795455951E-89</v>
      </c>
      <c r="CA85" s="742">
        <v>1.0882001421361399E-90</v>
      </c>
      <c r="CB85" s="742">
        <v>0.46398262435284698</v>
      </c>
      <c r="CC85" s="742">
        <v>-8.4265732081448595E-216</v>
      </c>
      <c r="CD85" s="742">
        <v>1.59069346690685E-28</v>
      </c>
      <c r="CE85" s="742">
        <v>6.1272522505031998E-26</v>
      </c>
      <c r="CF85" s="742">
        <v>4.67565641258899E-15</v>
      </c>
      <c r="CG85" s="742">
        <v>-9.4596593321095803E-216</v>
      </c>
      <c r="CH85" s="742">
        <v>-1.9467216082195801E-95</v>
      </c>
      <c r="CI85" s="742">
        <v>4.7565822797338902E-91</v>
      </c>
      <c r="CJ85" s="742">
        <v>4.3592664423832003E-15</v>
      </c>
      <c r="CK85" s="742">
        <v>-9.4596594528466106E-216</v>
      </c>
      <c r="CL85" s="742">
        <v>8.4994345532186895E-92</v>
      </c>
      <c r="CM85" s="742">
        <v>4.7530801380168599E-91</v>
      </c>
      <c r="CN85" s="742">
        <v>4.67565641258899E-15</v>
      </c>
      <c r="CO85" s="742">
        <v>-9.4596596206862405E-216</v>
      </c>
      <c r="CP85" s="742">
        <v>-1.9467216065900599E-95</v>
      </c>
      <c r="CQ85" s="742">
        <v>4.7565822812453201E-91</v>
      </c>
      <c r="CR85" s="742">
        <v>0.46404613355101598</v>
      </c>
      <c r="CS85" s="742">
        <v>-2.8100479945502702E-215</v>
      </c>
      <c r="CT85" s="742">
        <v>-2.6173113345358801E-101</v>
      </c>
      <c r="CU85" s="742">
        <v>-2.1996729077576301E-215</v>
      </c>
      <c r="CV85" s="742">
        <v>-4.4765797310941098E-215</v>
      </c>
      <c r="CW85" s="742">
        <v>-2.66652524907769E-101</v>
      </c>
      <c r="CX85" s="742">
        <v>-3.5035514954735502E-215</v>
      </c>
      <c r="CY85" s="742">
        <v>0.464045972761507</v>
      </c>
      <c r="CZ85" s="742">
        <v>-3.61505312983437E-215</v>
      </c>
      <c r="DA85" s="742">
        <v>3.3806639396048299E-28</v>
      </c>
      <c r="DB85" s="742">
        <v>-5.6590550739153004E-23</v>
      </c>
      <c r="DC85" s="742">
        <v>0.464046542527495</v>
      </c>
      <c r="DD85" s="742">
        <v>-3.6156225973250401E-215</v>
      </c>
      <c r="DE85" s="742">
        <v>5.25922253008482E-25</v>
      </c>
      <c r="DF85" s="742">
        <v>-8.6890685338715799E-20</v>
      </c>
      <c r="DG85" s="742">
        <v>0.46404662093341598</v>
      </c>
      <c r="DH85" s="742">
        <v>-3.6162580368828797E-215</v>
      </c>
      <c r="DI85" s="742">
        <v>5.2596599448033998E-25</v>
      </c>
      <c r="DJ85" s="742">
        <v>-8.6889162022097404E-20</v>
      </c>
      <c r="DK85" s="742">
        <v>1.9247039324040099E-13</v>
      </c>
      <c r="DL85" s="742">
        <v>-3.78577188057156E-215</v>
      </c>
      <c r="DM85" s="742">
        <v>-5.8168813271935603E-95</v>
      </c>
      <c r="DN85" s="742">
        <v>4.8898244718518302E-91</v>
      </c>
      <c r="DO85" s="742">
        <v>0.46404613394025701</v>
      </c>
      <c r="DP85" s="742">
        <v>-1.3788997351165301E-214</v>
      </c>
      <c r="DQ85" s="742">
        <v>-1.1584711233998601E-100</v>
      </c>
      <c r="DR85" s="742">
        <v>-2.3458442061923099E-213</v>
      </c>
      <c r="DS85" s="742">
        <v>-1.1981732656200001E-213</v>
      </c>
      <c r="DT85" s="742">
        <v>-1.2216001876824301E-100</v>
      </c>
      <c r="DU85" s="742">
        <v>2.5614075264201802E-212</v>
      </c>
      <c r="DV85" s="742">
        <v>0.46404726427085302</v>
      </c>
      <c r="DW85" s="742">
        <v>-5.3045295411884004E-214</v>
      </c>
      <c r="DX85" s="742">
        <v>1.5214645040220401E-24</v>
      </c>
      <c r="DY85" s="742">
        <v>-2.0362482248524701E-18</v>
      </c>
      <c r="DZ85" s="742">
        <v>0.46404758382690697</v>
      </c>
      <c r="EA85" s="742">
        <v>-5.3053206307489299E-214</v>
      </c>
      <c r="EB85" s="742">
        <v>2.0032255187700399E-21</v>
      </c>
      <c r="EC85" s="742">
        <v>-2.6486344946996E-15</v>
      </c>
      <c r="ED85" s="742">
        <v>0.46404766230607503</v>
      </c>
      <c r="EE85" s="742">
        <v>-5.3062008783196397E-214</v>
      </c>
      <c r="EF85" s="742">
        <v>1.88095992397911E-14</v>
      </c>
      <c r="EG85" s="742">
        <v>-3.10885805313256E-9</v>
      </c>
      <c r="EH85" s="742">
        <v>5.5716078605390502E-14</v>
      </c>
      <c r="EI85" s="742">
        <v>-7.1248721599446704E-214</v>
      </c>
      <c r="EJ85" s="742">
        <v>1.81386706834124E-90</v>
      </c>
      <c r="EK85" s="742">
        <v>5.1098715792822996E-91</v>
      </c>
      <c r="EL85" s="742">
        <v>0.46404799202293801</v>
      </c>
      <c r="EM85" s="742">
        <v>-9.7731833167574895E-215</v>
      </c>
      <c r="EN85" s="742">
        <v>-6.8678460501154802E-101</v>
      </c>
      <c r="EO85" s="742">
        <v>-6.5676857281543305E-215</v>
      </c>
      <c r="EP85" s="742">
        <v>-1.22234670907883E-214</v>
      </c>
      <c r="EQ85" s="742">
        <v>-6.9367834724238805E-101</v>
      </c>
      <c r="ER85" s="742">
        <v>-8.2141400923095203E-215</v>
      </c>
      <c r="ES85" s="742">
        <v>0.46405296984154798</v>
      </c>
      <c r="ET85" s="742">
        <v>-1.1128588228903899E-214</v>
      </c>
      <c r="EU85" s="742">
        <v>-3.8811760336829897E-33</v>
      </c>
      <c r="EV85" s="742">
        <v>-5.1572748240096998E-24</v>
      </c>
      <c r="EW85" s="742">
        <v>0.46405299190901</v>
      </c>
      <c r="EX85" s="742">
        <v>-1.1130262645419999E-214</v>
      </c>
      <c r="EY85" s="742">
        <v>-7.0515162548123094E-30</v>
      </c>
      <c r="EZ85" s="742">
        <v>-8.6665904995340093E-21</v>
      </c>
      <c r="FA85" s="742">
        <v>0.46405307040645699</v>
      </c>
      <c r="FB85" s="742">
        <v>-1.11321360395794E-214</v>
      </c>
      <c r="FC85" s="742">
        <v>-7.0513430783105296E-30</v>
      </c>
      <c r="FD85" s="742">
        <v>-8.6663398356523903E-21</v>
      </c>
      <c r="FE85" s="742">
        <v>1.2508110051462501E-11</v>
      </c>
      <c r="FF85" s="742">
        <v>-1.12624544057606E-214</v>
      </c>
      <c r="FG85" s="742">
        <v>-2.83064133562853E-95</v>
      </c>
      <c r="FH85" s="742">
        <v>5.0001942418395302E-91</v>
      </c>
    </row>
    <row r="86" spans="1:164" ht="12.75" customHeight="1" x14ac:dyDescent="0.2">
      <c r="A86" s="489"/>
      <c r="B86" s="489"/>
      <c r="C86" s="489"/>
      <c r="D86" s="489"/>
      <c r="E86" s="489"/>
      <c r="F86" s="744"/>
      <c r="G86" s="745"/>
      <c r="H86" s="506"/>
      <c r="I86" s="750">
        <v>5444328.9305777</v>
      </c>
      <c r="J86" s="742">
        <v>0.43895570228032699</v>
      </c>
      <c r="K86" s="742">
        <v>1.3993670079784301E-215</v>
      </c>
      <c r="L86" s="742">
        <v>4.1221865597406601E-102</v>
      </c>
      <c r="M86" s="742">
        <v>2.0798176774273501E-215</v>
      </c>
      <c r="N86" s="742">
        <v>2.2292780087544099E-215</v>
      </c>
      <c r="O86" s="742">
        <v>4.1996969972350902E-102</v>
      </c>
      <c r="P86" s="742">
        <v>3.3132778115473502E-215</v>
      </c>
      <c r="Q86" s="742">
        <v>1.2030416346255101E-16</v>
      </c>
      <c r="R86" s="742">
        <v>1.59001591324208E-215</v>
      </c>
      <c r="S86" s="742">
        <v>1.51451509039251E-101</v>
      </c>
      <c r="T86" s="742">
        <v>-3.8449945507250298E-109</v>
      </c>
      <c r="U86" s="742">
        <v>6.8608179151388699E-18</v>
      </c>
      <c r="V86" s="742">
        <v>1.65191879463308E-218</v>
      </c>
      <c r="W86" s="742">
        <v>-3.0561860096321402E-92</v>
      </c>
      <c r="X86" s="742">
        <v>-5.4372027291111999E-93</v>
      </c>
      <c r="Y86" s="742">
        <v>0.37625343145705498</v>
      </c>
      <c r="Z86" s="742">
        <v>1.1881955620728999E-215</v>
      </c>
      <c r="AA86" s="742">
        <v>-3.9772256434845799E-34</v>
      </c>
      <c r="AB86" s="742">
        <v>1.2222261200155701E-30</v>
      </c>
      <c r="AC86" s="742">
        <v>5.6798433711294503E-19</v>
      </c>
      <c r="AD86" s="742">
        <v>1.7740089259024599E-215</v>
      </c>
      <c r="AE86" s="742">
        <v>-1.14942323306156E-89</v>
      </c>
      <c r="AF86" s="742">
        <v>-9.12845569121855E-90</v>
      </c>
      <c r="AG86" s="742">
        <v>6.5643960365764903E-18</v>
      </c>
      <c r="AH86" s="742">
        <v>1.8430751216245099E-218</v>
      </c>
      <c r="AI86" s="742">
        <v>-1.54384208535993E-89</v>
      </c>
      <c r="AJ86" s="742">
        <v>-6.0289436851758599E-90</v>
      </c>
      <c r="AK86" s="742">
        <v>0.37492967856617199</v>
      </c>
      <c r="AL86" s="742">
        <v>1.1958044033824199E-215</v>
      </c>
      <c r="AM86" s="742">
        <v>-3.9802603255674502E-34</v>
      </c>
      <c r="AN86" s="742">
        <v>1.22142825664722E-30</v>
      </c>
      <c r="AO86" s="742">
        <v>3.0121979775270698E-16</v>
      </c>
      <c r="AP86" s="742">
        <v>1.75673502034437E-215</v>
      </c>
      <c r="AQ86" s="742">
        <v>6.0354655936470103E-95</v>
      </c>
      <c r="AR86" s="742">
        <v>-3.2437006105791598E-90</v>
      </c>
      <c r="AS86" s="742">
        <v>8.5315076533736096E-18</v>
      </c>
      <c r="AT86" s="742">
        <v>1.7512193603002199E-217</v>
      </c>
      <c r="AU86" s="742">
        <v>-2.14802366970757E-91</v>
      </c>
      <c r="AV86" s="742">
        <v>-3.0942837750328002E-90</v>
      </c>
      <c r="AW86" s="742">
        <v>3.0121979775270698E-16</v>
      </c>
      <c r="AX86" s="742">
        <v>1.75673502332623E-215</v>
      </c>
      <c r="AY86" s="742">
        <v>6.0354656038688497E-95</v>
      </c>
      <c r="AZ86" s="742">
        <v>-3.2437006117219301E-90</v>
      </c>
      <c r="BA86" s="742">
        <v>0.45441981008704202</v>
      </c>
      <c r="BB86" s="742">
        <v>5.2637881716610096E-215</v>
      </c>
      <c r="BC86" s="742">
        <v>2.02207617265649E-101</v>
      </c>
      <c r="BD86" s="742">
        <v>4.4544870680853798E-215</v>
      </c>
      <c r="BE86" s="742">
        <v>8.3855390878388305E-215</v>
      </c>
      <c r="BF86" s="742">
        <v>2.0600977452928101E-101</v>
      </c>
      <c r="BG86" s="742">
        <v>7.09627232738089E-215</v>
      </c>
      <c r="BH86" s="742">
        <v>1.8016190459790301E-15</v>
      </c>
      <c r="BI86" s="742">
        <v>5.8622680361793197E-215</v>
      </c>
      <c r="BJ86" s="742">
        <v>1.1440968365437701E-100</v>
      </c>
      <c r="BK86" s="742">
        <v>6.08743512916677E-110</v>
      </c>
      <c r="BL86" s="742">
        <v>3.89249599462899E-15</v>
      </c>
      <c r="BM86" s="742">
        <v>5.8622340072654403E-215</v>
      </c>
      <c r="BN86" s="742">
        <v>-5.0777315975959005E-91</v>
      </c>
      <c r="BO86" s="742">
        <v>-4.2742108574761101E-92</v>
      </c>
      <c r="BP86" s="742">
        <v>0.45470761111901697</v>
      </c>
      <c r="BQ86" s="742">
        <v>5.8853487744449797E-215</v>
      </c>
      <c r="BR86" s="742">
        <v>-6.9772952886420498E-30</v>
      </c>
      <c r="BS86" s="742">
        <v>4.8402923603783702E-26</v>
      </c>
      <c r="BT86" s="742">
        <v>1.7826556586225302E-15</v>
      </c>
      <c r="BU86" s="742">
        <v>5.9306551548384103E-215</v>
      </c>
      <c r="BV86" s="742">
        <v>-2.2304370339283501E-89</v>
      </c>
      <c r="BW86" s="742">
        <v>-9.5790701092200291E-90</v>
      </c>
      <c r="BX86" s="742">
        <v>3.8764261516759102E-15</v>
      </c>
      <c r="BY86" s="742">
        <v>5.9306198355762502E-215</v>
      </c>
      <c r="BZ86" s="742">
        <v>-1.86648039994405E-88</v>
      </c>
      <c r="CA86" s="742">
        <v>-7.6017286573890201E-90</v>
      </c>
      <c r="CB86" s="742">
        <v>0.45470755037426203</v>
      </c>
      <c r="CC86" s="742">
        <v>5.8863830998653705E-215</v>
      </c>
      <c r="CD86" s="742">
        <v>-1.11119505260057E-27</v>
      </c>
      <c r="CE86" s="742">
        <v>-4.28022944665336E-25</v>
      </c>
      <c r="CF86" s="742">
        <v>4.5821894229888296E-15</v>
      </c>
      <c r="CG86" s="742">
        <v>6.6080454590005796E-215</v>
      </c>
      <c r="CH86" s="742">
        <v>1.3598993917838599E-94</v>
      </c>
      <c r="CI86" s="742">
        <v>-3.32275824394729E-90</v>
      </c>
      <c r="CJ86" s="742">
        <v>4.2721241006932901E-15</v>
      </c>
      <c r="CK86" s="742">
        <v>6.6080455433408002E-215</v>
      </c>
      <c r="CL86" s="742">
        <v>-5.9373598867056201E-91</v>
      </c>
      <c r="CM86" s="742">
        <v>-3.3203117884385101E-90</v>
      </c>
      <c r="CN86" s="742">
        <v>4.5821894229888296E-15</v>
      </c>
      <c r="CO86" s="742">
        <v>6.6080456605857004E-215</v>
      </c>
      <c r="CP86" s="742">
        <v>1.35989939064539E-94</v>
      </c>
      <c r="CQ86" s="742">
        <v>-3.3227582450033198E-90</v>
      </c>
      <c r="CR86" s="742">
        <v>0.45476979001520201</v>
      </c>
      <c r="CS86" s="742">
        <v>1.9629591550863901E-214</v>
      </c>
      <c r="CT86" s="742">
        <v>1.82834181929854E-100</v>
      </c>
      <c r="CU86" s="742">
        <v>1.53658161055263E-214</v>
      </c>
      <c r="CV86" s="742">
        <v>3.12711497585397E-214</v>
      </c>
      <c r="CW86" s="742">
        <v>1.8627205563101799E-100</v>
      </c>
      <c r="CX86" s="742">
        <v>2.4474060577797501E-214</v>
      </c>
      <c r="CY86" s="742">
        <v>0.45476963243986201</v>
      </c>
      <c r="CZ86" s="742">
        <v>2.52529552914916E-214</v>
      </c>
      <c r="DA86" s="742">
        <v>-2.36165573357127E-27</v>
      </c>
      <c r="DB86" s="742">
        <v>3.95328844728559E-22</v>
      </c>
      <c r="DC86" s="742">
        <v>0.454770190816154</v>
      </c>
      <c r="DD86" s="742">
        <v>2.5256933306904502E-214</v>
      </c>
      <c r="DE86" s="742">
        <v>-3.6739467178849202E-24</v>
      </c>
      <c r="DF86" s="742">
        <v>6.0699418359472297E-19</v>
      </c>
      <c r="DG86" s="742">
        <v>0.454770267654731</v>
      </c>
      <c r="DH86" s="742">
        <v>2.5261372170224002E-214</v>
      </c>
      <c r="DI86" s="742">
        <v>-3.67430573646409E-24</v>
      </c>
      <c r="DJ86" s="742">
        <v>6.0699237443174098E-19</v>
      </c>
      <c r="DK86" s="742">
        <v>1.8862288464355499E-13</v>
      </c>
      <c r="DL86" s="742">
        <v>2.64455112028341E-214</v>
      </c>
      <c r="DM86" s="742">
        <v>4.06343328473643E-94</v>
      </c>
      <c r="DN86" s="742">
        <v>-3.41583591322016E-90</v>
      </c>
      <c r="DO86" s="742">
        <v>0.45476979039666199</v>
      </c>
      <c r="DP86" s="742">
        <v>9.6323047301777694E-214</v>
      </c>
      <c r="DQ86" s="742">
        <v>8.0925840705818604E-100</v>
      </c>
      <c r="DR86" s="742">
        <v>1.6386895853491801E-212</v>
      </c>
      <c r="DS86" s="742">
        <v>8.36984060428602E-213</v>
      </c>
      <c r="DT86" s="742">
        <v>8.5335767286505099E-100</v>
      </c>
      <c r="DU86" s="742">
        <v>-1.7892712965282499E-211</v>
      </c>
      <c r="DV86" s="742">
        <v>0.45477089813176502</v>
      </c>
      <c r="DW86" s="742">
        <v>3.7054796162023002E-213</v>
      </c>
      <c r="DX86" s="742">
        <v>-1.06285153866977E-23</v>
      </c>
      <c r="DY86" s="742">
        <v>1.4224646865398399E-17</v>
      </c>
      <c r="DZ86" s="742">
        <v>0.45477121129985199</v>
      </c>
      <c r="EA86" s="742">
        <v>3.7060322318939702E-213</v>
      </c>
      <c r="EB86" s="742">
        <v>-1.3993852815772499E-20</v>
      </c>
      <c r="EC86" s="742">
        <v>1.8502460629910701E-14</v>
      </c>
      <c r="ED86" s="742">
        <v>0.45477128821020701</v>
      </c>
      <c r="EE86" s="742">
        <v>3.7066471289221997E-213</v>
      </c>
      <c r="EF86" s="742">
        <v>-1.3139630535663801E-13</v>
      </c>
      <c r="EG86" s="742">
        <v>2.1717233676975201E-8</v>
      </c>
      <c r="EH86" s="742">
        <v>5.4602303337218597E-14</v>
      </c>
      <c r="EI86" s="742">
        <v>4.9770801575624402E-213</v>
      </c>
      <c r="EJ86" s="742">
        <v>-1.26709412093888E-89</v>
      </c>
      <c r="EK86" s="742">
        <v>-3.5695520264441198E-90</v>
      </c>
      <c r="EL86" s="742">
        <v>0.45477161133602201</v>
      </c>
      <c r="EM86" s="742">
        <v>6.82705765281425E-214</v>
      </c>
      <c r="EN86" s="742">
        <v>4.7975836791906801E-100</v>
      </c>
      <c r="EO86" s="742">
        <v>4.5878571659097996E-214</v>
      </c>
      <c r="EP86" s="742">
        <v>8.5387034952068601E-214</v>
      </c>
      <c r="EQ86" s="742">
        <v>4.8457404156324197E-100</v>
      </c>
      <c r="ER86" s="742">
        <v>5.7379879373261397E-214</v>
      </c>
      <c r="ES86" s="742">
        <v>0.45477648964737699</v>
      </c>
      <c r="ET86" s="742">
        <v>7.7738758161728202E-214</v>
      </c>
      <c r="EU86" s="742">
        <v>2.6998470611037401E-32</v>
      </c>
      <c r="EV86" s="742">
        <v>3.6027458559256602E-23</v>
      </c>
      <c r="EW86" s="742">
        <v>0.454776511273707</v>
      </c>
      <c r="EX86" s="742">
        <v>7.7750454799080901E-214</v>
      </c>
      <c r="EY86" s="742">
        <v>4.9051801456369901E-29</v>
      </c>
      <c r="EZ86" s="742">
        <v>6.0542209681386401E-20</v>
      </c>
      <c r="FA86" s="742">
        <v>0.45477658820198402</v>
      </c>
      <c r="FB86" s="742">
        <v>7.7763541394843197E-214</v>
      </c>
      <c r="FC86" s="742">
        <v>4.90513114512838E-29</v>
      </c>
      <c r="FD86" s="742">
        <v>6.0541339574303105E-20</v>
      </c>
      <c r="FE86" s="742">
        <v>1.22580712785214E-11</v>
      </c>
      <c r="FF86" s="742">
        <v>7.8673880401373798E-214</v>
      </c>
      <c r="FG86" s="742">
        <v>1.97736676969327E-94</v>
      </c>
      <c r="FH86" s="742">
        <v>-3.4929358226803899E-90</v>
      </c>
    </row>
    <row r="87" spans="1:164" ht="12.75" customHeight="1" x14ac:dyDescent="0.2">
      <c r="A87" s="489"/>
      <c r="B87" s="489"/>
      <c r="C87" s="489"/>
      <c r="D87" s="489"/>
      <c r="E87" s="489"/>
      <c r="F87" s="744"/>
      <c r="G87" s="745"/>
      <c r="H87" s="506"/>
      <c r="I87" s="750">
        <v>5528087.8372019697</v>
      </c>
      <c r="J87" s="742">
        <v>0.43018091916620599</v>
      </c>
      <c r="K87" s="742">
        <v>-4.5233067695828302E-216</v>
      </c>
      <c r="L87" s="742">
        <v>-1.33245912596043E-102</v>
      </c>
      <c r="M87" s="742">
        <v>-6.7227920382350097E-216</v>
      </c>
      <c r="N87" s="742">
        <v>-7.2059068498753903E-216</v>
      </c>
      <c r="O87" s="742">
        <v>-1.35751366638448E-102</v>
      </c>
      <c r="P87" s="742">
        <v>-1.07098222760969E-215</v>
      </c>
      <c r="Q87" s="742">
        <v>1.1789926716749001E-16</v>
      </c>
      <c r="R87" s="742">
        <v>-5.1395593172532102E-216</v>
      </c>
      <c r="S87" s="742">
        <v>-4.8955315931289497E-102</v>
      </c>
      <c r="T87" s="742">
        <v>1.2428583096449901E-109</v>
      </c>
      <c r="U87" s="742">
        <v>6.7236860737941503E-18</v>
      </c>
      <c r="V87" s="742">
        <v>-5.3396538749038097E-219</v>
      </c>
      <c r="W87" s="742">
        <v>9.87885437442908E-93</v>
      </c>
      <c r="X87" s="742">
        <v>1.75752894772654E-93</v>
      </c>
      <c r="Y87" s="742">
        <v>0.368732075111038</v>
      </c>
      <c r="Z87" s="742">
        <v>-3.8407172663565901E-216</v>
      </c>
      <c r="AA87" s="742">
        <v>1.2856241910776699E-34</v>
      </c>
      <c r="AB87" s="742">
        <v>-3.9508028379972898E-31</v>
      </c>
      <c r="AC87" s="742">
        <v>5.5663025345146103E-19</v>
      </c>
      <c r="AD87" s="742">
        <v>-5.7342973916668699E-216</v>
      </c>
      <c r="AE87" s="742">
        <v>3.7154115277465602E-90</v>
      </c>
      <c r="AF87" s="742">
        <v>2.9506946205827699E-90</v>
      </c>
      <c r="AG87" s="742">
        <v>6.4331899353940299E-18</v>
      </c>
      <c r="AH87" s="742">
        <v>-5.9575466099755804E-219</v>
      </c>
      <c r="AI87" s="742">
        <v>4.9903365278593203E-90</v>
      </c>
      <c r="AJ87" s="742">
        <v>1.94880408759762E-90</v>
      </c>
      <c r="AK87" s="742">
        <v>0.36743478421723902</v>
      </c>
      <c r="AL87" s="742">
        <v>-3.86531204614452E-216</v>
      </c>
      <c r="AM87" s="742">
        <v>1.2866128472275001E-34</v>
      </c>
      <c r="AN87" s="742">
        <v>-3.9482475143116097E-31</v>
      </c>
      <c r="AO87" s="742">
        <v>2.9519837376566199E-16</v>
      </c>
      <c r="AP87" s="742">
        <v>-5.6784613075640003E-216</v>
      </c>
      <c r="AQ87" s="742">
        <v>-1.9509107882199501E-95</v>
      </c>
      <c r="AR87" s="742">
        <v>1.0484982820023601E-90</v>
      </c>
      <c r="AS87" s="742">
        <v>8.3609952915801604E-18</v>
      </c>
      <c r="AT87" s="742">
        <v>-5.6606325162074496E-218</v>
      </c>
      <c r="AU87" s="742">
        <v>6.9432989218873204E-92</v>
      </c>
      <c r="AV87" s="742">
        <v>1.00020057703545E-90</v>
      </c>
      <c r="AW87" s="742">
        <v>2.9519837376566199E-16</v>
      </c>
      <c r="AX87" s="742">
        <v>-5.6784613172026603E-216</v>
      </c>
      <c r="AY87" s="742">
        <v>-1.95091079152408E-95</v>
      </c>
      <c r="AZ87" s="742">
        <v>1.04849828237179E-90</v>
      </c>
      <c r="BA87" s="742">
        <v>0.44533589739252599</v>
      </c>
      <c r="BB87" s="742">
        <v>-1.7014642002258301E-215</v>
      </c>
      <c r="BC87" s="742">
        <v>-6.53617639715206E-102</v>
      </c>
      <c r="BD87" s="742">
        <v>-1.4398661248416999E-215</v>
      </c>
      <c r="BE87" s="742">
        <v>-2.7105373719949299E-215</v>
      </c>
      <c r="BF87" s="742">
        <v>-6.6590776552790098E-102</v>
      </c>
      <c r="BG87" s="742">
        <v>-2.2937954428137699E-215</v>
      </c>
      <c r="BH87" s="742">
        <v>1.7656044406965199E-15</v>
      </c>
      <c r="BI87" s="742">
        <v>-1.8949165259701999E-215</v>
      </c>
      <c r="BJ87" s="742">
        <v>-3.6981884462089502E-101</v>
      </c>
      <c r="BK87" s="742">
        <v>-1.9677062197017701E-110</v>
      </c>
      <c r="BL87" s="742">
        <v>3.8146844990058403E-15</v>
      </c>
      <c r="BM87" s="742">
        <v>-1.89490552648146E-215</v>
      </c>
      <c r="BN87" s="742">
        <v>1.64133247932613E-91</v>
      </c>
      <c r="BO87" s="742">
        <v>1.3816016929703E-92</v>
      </c>
      <c r="BP87" s="742">
        <v>0.44561794524346598</v>
      </c>
      <c r="BQ87" s="742">
        <v>-1.9023771320192101E-215</v>
      </c>
      <c r="BR87" s="742">
        <v>2.255381671217E-30</v>
      </c>
      <c r="BS87" s="742">
        <v>-1.56460436713739E-26</v>
      </c>
      <c r="BT87" s="742">
        <v>1.74702013439282E-15</v>
      </c>
      <c r="BU87" s="742">
        <v>-1.9170219432781999E-215</v>
      </c>
      <c r="BV87" s="742">
        <v>7.2096954633128304E-90</v>
      </c>
      <c r="BW87" s="742">
        <v>3.0963518475821902E-90</v>
      </c>
      <c r="BX87" s="742">
        <v>3.7989358949395E-15</v>
      </c>
      <c r="BY87" s="742">
        <v>-1.91701052669798E-215</v>
      </c>
      <c r="BZ87" s="742">
        <v>6.0332361814448701E-89</v>
      </c>
      <c r="CA87" s="742">
        <v>2.4571929713311701E-90</v>
      </c>
      <c r="CB87" s="742">
        <v>0.44561788571300998</v>
      </c>
      <c r="CC87" s="742">
        <v>-1.9027114668398299E-215</v>
      </c>
      <c r="CD87" s="742">
        <v>3.5918425323757598E-28</v>
      </c>
      <c r="CE87" s="742">
        <v>1.3835441213306301E-25</v>
      </c>
      <c r="CF87" s="742">
        <v>4.49059084444048E-15</v>
      </c>
      <c r="CG87" s="742">
        <v>-2.13598123923115E-215</v>
      </c>
      <c r="CH87" s="742">
        <v>-4.39575431780899E-95</v>
      </c>
      <c r="CI87" s="742">
        <v>1.07405298100738E-90</v>
      </c>
      <c r="CJ87" s="742">
        <v>4.1867238030095198E-15</v>
      </c>
      <c r="CK87" s="742">
        <v>-2.13598126649312E-215</v>
      </c>
      <c r="CL87" s="742">
        <v>1.91919973143639E-91</v>
      </c>
      <c r="CM87" s="742">
        <v>1.07326218543052E-90</v>
      </c>
      <c r="CN87" s="742">
        <v>4.49059084444048E-15</v>
      </c>
      <c r="CO87" s="742">
        <v>-2.1359813043914099E-215</v>
      </c>
      <c r="CP87" s="742">
        <v>-4.3957543141287002E-95</v>
      </c>
      <c r="CQ87" s="742">
        <v>1.07405298134878E-90</v>
      </c>
      <c r="CR87" s="742">
        <v>0.44567888117517601</v>
      </c>
      <c r="CS87" s="742">
        <v>-6.3450591474530403E-215</v>
      </c>
      <c r="CT87" s="742">
        <v>-5.9099478085063506E-101</v>
      </c>
      <c r="CU87" s="742">
        <v>-4.9668385504852699E-215</v>
      </c>
      <c r="CV87" s="742">
        <v>-1.0108070476793901E-214</v>
      </c>
      <c r="CW87" s="742">
        <v>-6.0210739334551297E-101</v>
      </c>
      <c r="CX87" s="742">
        <v>-7.9109828420439199E-215</v>
      </c>
      <c r="CY87" s="742">
        <v>0.445678726749826</v>
      </c>
      <c r="CZ87" s="742">
        <v>-8.1627523709454497E-215</v>
      </c>
      <c r="DA87" s="742">
        <v>7.6339266620467604E-28</v>
      </c>
      <c r="DB87" s="742">
        <v>-1.2778794766049599E-22</v>
      </c>
      <c r="DC87" s="742">
        <v>0.44567927396410101</v>
      </c>
      <c r="DD87" s="742">
        <v>-8.1640382226151701E-215</v>
      </c>
      <c r="DE87" s="742">
        <v>1.18758008110189E-24</v>
      </c>
      <c r="DF87" s="742">
        <v>-1.9620703768553699E-19</v>
      </c>
      <c r="DG87" s="742">
        <v>0.44567934926666303</v>
      </c>
      <c r="DH87" s="742">
        <v>-8.1654730385271103E-215</v>
      </c>
      <c r="DI87" s="742">
        <v>1.1877032021159399E-24</v>
      </c>
      <c r="DJ87" s="742">
        <v>-1.96207621185336E-19</v>
      </c>
      <c r="DK87" s="742">
        <v>1.8485228798765E-13</v>
      </c>
      <c r="DL87" s="742">
        <v>-8.5482335346528603E-215</v>
      </c>
      <c r="DM87" s="742">
        <v>-1.3134688135349601E-94</v>
      </c>
      <c r="DN87" s="742">
        <v>1.10413953585377E-90</v>
      </c>
      <c r="DO87" s="742">
        <v>0.44567888154900998</v>
      </c>
      <c r="DP87" s="742">
        <v>-3.1135412614625398E-214</v>
      </c>
      <c r="DQ87" s="742">
        <v>-2.6158538293151001E-100</v>
      </c>
      <c r="DR87" s="742">
        <v>-5.2968918567990897E-213</v>
      </c>
      <c r="DS87" s="742">
        <v>-2.70546309637978E-213</v>
      </c>
      <c r="DT87" s="742">
        <v>-2.7584006750750501E-100</v>
      </c>
      <c r="DU87" s="742">
        <v>5.7836313365633296E-212</v>
      </c>
      <c r="DV87" s="742">
        <v>0.44567996714038099</v>
      </c>
      <c r="DW87" s="742">
        <v>-1.1977573735088499E-213</v>
      </c>
      <c r="DX87" s="742">
        <v>3.4355987947491398E-24</v>
      </c>
      <c r="DY87" s="742">
        <v>-4.5980249893703303E-18</v>
      </c>
      <c r="DZ87" s="742">
        <v>0.44568027404819499</v>
      </c>
      <c r="EA87" s="742">
        <v>-1.1979360007285E-213</v>
      </c>
      <c r="EB87" s="742">
        <v>4.5234081690389497E-21</v>
      </c>
      <c r="EC87" s="742">
        <v>-5.9807818956941903E-15</v>
      </c>
      <c r="ED87" s="742">
        <v>0.44568034942110701</v>
      </c>
      <c r="EE87" s="742">
        <v>-1.19813475973614E-213</v>
      </c>
      <c r="EF87" s="742">
        <v>4.24727181695845E-14</v>
      </c>
      <c r="EG87" s="742">
        <v>-7.0199077735112504E-9</v>
      </c>
      <c r="EH87" s="742">
        <v>5.35108000016151E-14</v>
      </c>
      <c r="EI87" s="742">
        <v>-1.6087888992221201E-213</v>
      </c>
      <c r="EJ87" s="742">
        <v>4.09577139817001E-90</v>
      </c>
      <c r="EK87" s="742">
        <v>1.1538269453840199E-90</v>
      </c>
      <c r="EL87" s="742">
        <v>0.44568066608755202</v>
      </c>
      <c r="EM87" s="742">
        <v>-2.2067746289033498E-214</v>
      </c>
      <c r="EN87" s="742">
        <v>-1.5507750712520699E-100</v>
      </c>
      <c r="EO87" s="742">
        <v>-1.4829766071715199E-214</v>
      </c>
      <c r="EP87" s="742">
        <v>-2.7600461568072499E-214</v>
      </c>
      <c r="EQ87" s="742">
        <v>-1.5663412961230001E-100</v>
      </c>
      <c r="ER87" s="742">
        <v>-1.8547442903228399E-214</v>
      </c>
      <c r="ES87" s="742">
        <v>0.44568544688081502</v>
      </c>
      <c r="ET87" s="742">
        <v>-2.5128236484578002E-214</v>
      </c>
      <c r="EU87" s="742">
        <v>-8.7119597546388606E-33</v>
      </c>
      <c r="EV87" s="742">
        <v>-1.16456709703262E-23</v>
      </c>
      <c r="EW87" s="742">
        <v>0.445685468074831</v>
      </c>
      <c r="EX87" s="742">
        <v>-2.5132017299664398E-214</v>
      </c>
      <c r="EY87" s="742">
        <v>-1.58281539798187E-29</v>
      </c>
      <c r="EZ87" s="742">
        <v>-1.9569862798773001E-20</v>
      </c>
      <c r="FA87" s="742">
        <v>0.44568554346529798</v>
      </c>
      <c r="FB87" s="742">
        <v>-2.5136247404195899E-214</v>
      </c>
      <c r="FC87" s="742">
        <v>-1.5828091090844099E-29</v>
      </c>
      <c r="FD87" s="742">
        <v>-1.9569698072283E-20</v>
      </c>
      <c r="FE87" s="742">
        <v>1.20130307965144E-11</v>
      </c>
      <c r="FF87" s="742">
        <v>-2.54305049197251E-214</v>
      </c>
      <c r="FG87" s="742">
        <v>-6.3916596364783996E-95</v>
      </c>
      <c r="FH87" s="742">
        <v>1.1290614174687999E-90</v>
      </c>
    </row>
    <row r="88" spans="1:164" ht="12.75" customHeight="1" x14ac:dyDescent="0.2">
      <c r="A88" s="489"/>
      <c r="B88" s="489"/>
      <c r="C88" s="489"/>
      <c r="D88" s="489"/>
      <c r="E88" s="489"/>
      <c r="F88" s="744"/>
      <c r="G88" s="745"/>
      <c r="H88" s="506"/>
      <c r="I88" s="750">
        <v>5611846.7438262403</v>
      </c>
      <c r="J88" s="742">
        <v>0.421581544918048</v>
      </c>
      <c r="K88" s="742">
        <v>-1.5358669124645099E-215</v>
      </c>
      <c r="L88" s="742">
        <v>-4.52427594401685E-102</v>
      </c>
      <c r="M88" s="742">
        <v>-2.2826914858697499E-215</v>
      </c>
      <c r="N88" s="742">
        <v>-2.4467307809956599E-215</v>
      </c>
      <c r="O88" s="742">
        <v>-4.6093469621971599E-102</v>
      </c>
      <c r="P88" s="742">
        <v>-3.6364682985556901E-215</v>
      </c>
      <c r="Q88" s="742">
        <v>1.15542445010147E-16</v>
      </c>
      <c r="R88" s="742">
        <v>-1.7451124812270799E-215</v>
      </c>
      <c r="S88" s="742">
        <v>-1.6622450466541799E-101</v>
      </c>
      <c r="T88" s="742">
        <v>4.2200468403779502E-109</v>
      </c>
      <c r="U88" s="742">
        <v>6.5892887382138701E-18</v>
      </c>
      <c r="V88" s="742">
        <v>-1.81305361945072E-218</v>
      </c>
      <c r="W88" s="742">
        <v>3.3542936017450598E-92</v>
      </c>
      <c r="X88" s="742">
        <v>5.9675596956960298E-93</v>
      </c>
      <c r="Y88" s="742">
        <v>0.36136107149396102</v>
      </c>
      <c r="Z88" s="742">
        <v>-1.30409695163619E-215</v>
      </c>
      <c r="AA88" s="742">
        <v>4.3651539330267299E-34</v>
      </c>
      <c r="AB88" s="742">
        <v>-1.3414388979331099E-30</v>
      </c>
      <c r="AC88" s="742">
        <v>5.4550313951733099E-19</v>
      </c>
      <c r="AD88" s="742">
        <v>-1.94705291476492E-215</v>
      </c>
      <c r="AE88" s="742">
        <v>1.2615405630587999E-89</v>
      </c>
      <c r="AF88" s="742">
        <v>1.0018865811406899E-89</v>
      </c>
      <c r="AG88" s="742">
        <v>6.3045997922973097E-18</v>
      </c>
      <c r="AH88" s="742">
        <v>-2.0228561059038701E-218</v>
      </c>
      <c r="AI88" s="742">
        <v>1.6944319128873E-89</v>
      </c>
      <c r="AJ88" s="742">
        <v>6.6170204192643598E-90</v>
      </c>
      <c r="AK88" s="742">
        <v>0.36008971361905501</v>
      </c>
      <c r="AL88" s="742">
        <v>-1.31244799002918E-215</v>
      </c>
      <c r="AM88" s="742">
        <v>4.3684773082755898E-34</v>
      </c>
      <c r="AN88" s="742">
        <v>-1.34056096332107E-30</v>
      </c>
      <c r="AO88" s="742">
        <v>2.8929731869706499E-16</v>
      </c>
      <c r="AP88" s="742">
        <v>-1.92809404275747E-215</v>
      </c>
      <c r="AQ88" s="742">
        <v>-6.6241798568751899E-95</v>
      </c>
      <c r="AR88" s="742">
        <v>3.5600984538263098E-90</v>
      </c>
      <c r="AS88" s="742">
        <v>8.1938779550668703E-18</v>
      </c>
      <c r="AT88" s="742">
        <v>-1.9220403629766E-217</v>
      </c>
      <c r="AU88" s="742">
        <v>2.35754696507298E-91</v>
      </c>
      <c r="AV88" s="742">
        <v>3.39610716445295E-90</v>
      </c>
      <c r="AW88" s="742">
        <v>2.8929731869706499E-16</v>
      </c>
      <c r="AX88" s="742">
        <v>-1.9280940460301999E-215</v>
      </c>
      <c r="AY88" s="742">
        <v>-6.6241798680940904E-95</v>
      </c>
      <c r="AZ88" s="742">
        <v>3.5600984550805299E-90</v>
      </c>
      <c r="BA88" s="742">
        <v>0.436433573097807</v>
      </c>
      <c r="BB88" s="742">
        <v>-5.7772393096184799E-215</v>
      </c>
      <c r="BC88" s="742">
        <v>-2.2193150291322301E-101</v>
      </c>
      <c r="BD88" s="742">
        <v>-4.8889957108225999E-215</v>
      </c>
      <c r="BE88" s="742">
        <v>-9.2034984066081303E-215</v>
      </c>
      <c r="BF88" s="742">
        <v>-2.2610453302574301E-101</v>
      </c>
      <c r="BG88" s="742">
        <v>-7.7884713640680404E-215</v>
      </c>
      <c r="BH88" s="742">
        <v>1.7303097712527E-15</v>
      </c>
      <c r="BI88" s="742">
        <v>-6.4340973150232696E-215</v>
      </c>
      <c r="BJ88" s="742">
        <v>-1.25569518026047E-100</v>
      </c>
      <c r="BK88" s="742">
        <v>-6.6812217044338004E-110</v>
      </c>
      <c r="BL88" s="742">
        <v>3.73842845589545E-15</v>
      </c>
      <c r="BM88" s="742">
        <v>-6.4340599667918103E-215</v>
      </c>
      <c r="BN88" s="742">
        <v>5.57302543443208E-91</v>
      </c>
      <c r="BO88" s="742">
        <v>4.69112712611201E-92</v>
      </c>
      <c r="BP88" s="742">
        <v>0.43670998277441198</v>
      </c>
      <c r="BQ88" s="742">
        <v>-6.4594294416314297E-215</v>
      </c>
      <c r="BR88" s="742">
        <v>7.6578468412420101E-30</v>
      </c>
      <c r="BS88" s="742">
        <v>-5.3124048822122599E-26</v>
      </c>
      <c r="BT88" s="742">
        <v>1.71209696796672E-15</v>
      </c>
      <c r="BU88" s="742">
        <v>-6.50915518918233E-215</v>
      </c>
      <c r="BV88" s="742">
        <v>2.4479988838006E-89</v>
      </c>
      <c r="BW88" s="742">
        <v>1.0513434173892799E-89</v>
      </c>
      <c r="BX88" s="742">
        <v>3.7229946688821803E-15</v>
      </c>
      <c r="BY88" s="742">
        <v>-6.5091164247368202E-215</v>
      </c>
      <c r="BZ88" s="742">
        <v>2.0485411789009599E-88</v>
      </c>
      <c r="CA88" s="742">
        <v>8.3432186635850804E-90</v>
      </c>
      <c r="CB88" s="742">
        <v>0.43670992443397899</v>
      </c>
      <c r="CC88" s="742">
        <v>-6.4605646593269098E-215</v>
      </c>
      <c r="CD88" s="742">
        <v>1.2195834910622501E-27</v>
      </c>
      <c r="CE88" s="742">
        <v>4.6977356557051197E-25</v>
      </c>
      <c r="CF88" s="742">
        <v>4.4008233314100098E-15</v>
      </c>
      <c r="CG88" s="742">
        <v>-7.2526208769219898E-215</v>
      </c>
      <c r="CH88" s="742">
        <v>-1.49254734678837E-94</v>
      </c>
      <c r="CI88" s="742">
        <v>3.6468675463248799E-90</v>
      </c>
      <c r="CJ88" s="742">
        <v>4.1030306529836201E-15</v>
      </c>
      <c r="CK88" s="742">
        <v>-7.25262096948916E-215</v>
      </c>
      <c r="CL88" s="742">
        <v>6.5165039747232799E-91</v>
      </c>
      <c r="CM88" s="742">
        <v>3.6441824579628498E-90</v>
      </c>
      <c r="CN88" s="742">
        <v>4.4008233314100098E-15</v>
      </c>
      <c r="CO88" s="742">
        <v>-7.25262109817056E-215</v>
      </c>
      <c r="CP88" s="742">
        <v>-1.49254734553886E-94</v>
      </c>
      <c r="CQ88" s="742">
        <v>3.6468675474839E-90</v>
      </c>
      <c r="CR88" s="742">
        <v>0.436769700588655</v>
      </c>
      <c r="CS88" s="742">
        <v>-2.1544341117286901E-214</v>
      </c>
      <c r="CT88" s="742">
        <v>-2.00668329553061E-100</v>
      </c>
      <c r="CU88" s="742">
        <v>-1.6864659810107499E-214</v>
      </c>
      <c r="CV88" s="742">
        <v>-3.43214638869082E-214</v>
      </c>
      <c r="CW88" s="742">
        <v>-2.0444154288519401E-100</v>
      </c>
      <c r="CX88" s="742">
        <v>-2.6861359200308E-214</v>
      </c>
      <c r="CY88" s="742">
        <v>0.43676954925031097</v>
      </c>
      <c r="CZ88" s="742">
        <v>-2.7716230447777298E-214</v>
      </c>
      <c r="DA88" s="742">
        <v>2.5920095333041502E-27</v>
      </c>
      <c r="DB88" s="742">
        <v>-4.3388886923983702E-22</v>
      </c>
      <c r="DC88" s="742">
        <v>0.43677008552570001</v>
      </c>
      <c r="DD88" s="742">
        <v>-2.7720596494865499E-214</v>
      </c>
      <c r="DE88" s="742">
        <v>4.0323036927930698E-24</v>
      </c>
      <c r="DF88" s="742">
        <v>-6.66200431203835E-19</v>
      </c>
      <c r="DG88" s="742">
        <v>0.43677015932295299</v>
      </c>
      <c r="DH88" s="742">
        <v>-2.7725468342824399E-214</v>
      </c>
      <c r="DI88" s="742">
        <v>4.0326910303259998E-24</v>
      </c>
      <c r="DJ88" s="742">
        <v>-6.6619733853959603E-19</v>
      </c>
      <c r="DK88" s="742">
        <v>1.8115706596776999E-13</v>
      </c>
      <c r="DL88" s="742">
        <v>-2.90251130747448E-214</v>
      </c>
      <c r="DM88" s="742">
        <v>-4.4597906320312402E-94</v>
      </c>
      <c r="DN88" s="742">
        <v>3.7490242205207998E-90</v>
      </c>
      <c r="DO88" s="742">
        <v>0.43676970095501699</v>
      </c>
      <c r="DP88" s="742">
        <v>-1.0571878600473001E-213</v>
      </c>
      <c r="DQ88" s="742">
        <v>-8.8819569189442095E-100</v>
      </c>
      <c r="DR88" s="742">
        <v>-1.7985339787301399E-212</v>
      </c>
      <c r="DS88" s="742">
        <v>-9.1862685408006695E-213</v>
      </c>
      <c r="DT88" s="742">
        <v>-9.3659652105324399E-100</v>
      </c>
      <c r="DU88" s="742">
        <v>1.9638040446381701E-211</v>
      </c>
      <c r="DV88" s="742">
        <v>0.43677076484529198</v>
      </c>
      <c r="DW88" s="742">
        <v>-4.06692701690834E-213</v>
      </c>
      <c r="DX88" s="742">
        <v>1.16652230026364E-23</v>
      </c>
      <c r="DY88" s="742">
        <v>-1.56121219234225E-17</v>
      </c>
      <c r="DZ88" s="742">
        <v>0.43677106561797802</v>
      </c>
      <c r="EA88" s="742">
        <v>-4.0675335369590201E-213</v>
      </c>
      <c r="EB88" s="742">
        <v>1.5358829570136099E-20</v>
      </c>
      <c r="EC88" s="742">
        <v>-2.0307212257642399E-14</v>
      </c>
      <c r="ED88" s="742">
        <v>0.43677113948417801</v>
      </c>
      <c r="EE88" s="742">
        <v>-4.0682084135185799E-213</v>
      </c>
      <c r="EF88" s="742">
        <v>1.4421300037548301E-13</v>
      </c>
      <c r="EG88" s="742">
        <v>-2.3835582133835102E-8</v>
      </c>
      <c r="EH88" s="742">
        <v>5.2441114323412697E-14</v>
      </c>
      <c r="EI88" s="742">
        <v>-5.4625645908062902E-213</v>
      </c>
      <c r="EJ88" s="742">
        <v>1.3906894410348201E-89</v>
      </c>
      <c r="EK88" s="742">
        <v>3.9177341486911402E-90</v>
      </c>
      <c r="EL88" s="742">
        <v>0.43677144982039501</v>
      </c>
      <c r="EM88" s="742">
        <v>-7.4929964038471394E-214</v>
      </c>
      <c r="EN88" s="742">
        <v>-5.26555315112568E-100</v>
      </c>
      <c r="EO88" s="742">
        <v>-5.0353752661211203E-214</v>
      </c>
      <c r="EP88" s="742">
        <v>-9.3716030882978907E-214</v>
      </c>
      <c r="EQ88" s="742">
        <v>-5.3184072277347499E-100</v>
      </c>
      <c r="ER88" s="742">
        <v>-6.2976944338202703E-214</v>
      </c>
      <c r="ES88" s="742">
        <v>0.43677613504496199</v>
      </c>
      <c r="ET88" s="742">
        <v>-8.5321710313264E-214</v>
      </c>
      <c r="EU88" s="742">
        <v>-2.9646235087801103E-32</v>
      </c>
      <c r="EV88" s="742">
        <v>-3.9541557672994699E-23</v>
      </c>
      <c r="EW88" s="742">
        <v>0.43677615581530799</v>
      </c>
      <c r="EX88" s="742">
        <v>-8.5334547887819308E-214</v>
      </c>
      <c r="EY88" s="742">
        <v>-5.38624039437599E-29</v>
      </c>
      <c r="EZ88" s="742">
        <v>-6.6447523282677895E-20</v>
      </c>
      <c r="FA88" s="742">
        <v>0.436776229698706</v>
      </c>
      <c r="FB88" s="742">
        <v>-8.5348911002937005E-214</v>
      </c>
      <c r="FC88" s="742">
        <v>-5.3861776053446299E-29</v>
      </c>
      <c r="FD88" s="742">
        <v>-6.6446457886292701E-20</v>
      </c>
      <c r="FE88" s="742">
        <v>1.17728887003142E-11</v>
      </c>
      <c r="FF88" s="742">
        <v>-8.6348048149437192E-214</v>
      </c>
      <c r="FG88" s="742">
        <v>-2.1702443316827599E-94</v>
      </c>
      <c r="FH88" s="742">
        <v>3.8336446283242799E-90</v>
      </c>
    </row>
    <row r="89" spans="1:164" ht="12.75" customHeight="1" x14ac:dyDescent="0.2">
      <c r="A89" s="489"/>
      <c r="B89" s="489"/>
      <c r="C89" s="489"/>
      <c r="D89" s="489"/>
      <c r="E89" s="489"/>
      <c r="F89" s="744"/>
      <c r="G89" s="745"/>
      <c r="H89" s="506"/>
      <c r="I89" s="750">
        <v>5695605.65045051</v>
      </c>
      <c r="J89" s="742">
        <v>0.41315407339561799</v>
      </c>
      <c r="K89" s="742">
        <v>1.3156098373608299E-215</v>
      </c>
      <c r="L89" s="742">
        <v>3.87546020263015E-102</v>
      </c>
      <c r="M89" s="742">
        <v>1.9553330761265501E-215</v>
      </c>
      <c r="N89" s="742">
        <v>2.0958476667006799E-215</v>
      </c>
      <c r="O89" s="742">
        <v>3.9483313867564901E-102</v>
      </c>
      <c r="P89" s="742">
        <v>3.1149661653652599E-215</v>
      </c>
      <c r="Q89" s="742">
        <v>1.1323273606607101E-16</v>
      </c>
      <c r="R89" s="742">
        <v>1.4948477169284401E-215</v>
      </c>
      <c r="S89" s="742">
        <v>1.42386640537398E-101</v>
      </c>
      <c r="T89" s="742">
        <v>-3.6148587865290701E-109</v>
      </c>
      <c r="U89" s="742">
        <v>6.4575419766327197E-18</v>
      </c>
      <c r="V89" s="742">
        <v>1.55304548724503E-218</v>
      </c>
      <c r="W89" s="742">
        <v>-2.8732635829980299E-92</v>
      </c>
      <c r="X89" s="742">
        <v>-5.1117690604020801E-93</v>
      </c>
      <c r="Y89" s="742">
        <v>0.35413741529728898</v>
      </c>
      <c r="Z89" s="742">
        <v>1.11707776534607E-215</v>
      </c>
      <c r="AA89" s="742">
        <v>-3.7391809407609701E-34</v>
      </c>
      <c r="AB89" s="742">
        <v>1.1490735038417499E-30</v>
      </c>
      <c r="AC89" s="742">
        <v>5.3459846012658103E-19</v>
      </c>
      <c r="AD89" s="742">
        <v>1.6678280831094299E-215</v>
      </c>
      <c r="AE89" s="742">
        <v>-1.08062663910388E-89</v>
      </c>
      <c r="AF89" s="742">
        <v>-8.5820889208368195E-90</v>
      </c>
      <c r="AG89" s="742">
        <v>6.1785436497643002E-18</v>
      </c>
      <c r="AH89" s="742">
        <v>1.73276041751697E-218</v>
      </c>
      <c r="AI89" s="742">
        <v>-1.4514382845520999E-89</v>
      </c>
      <c r="AJ89" s="742">
        <v>-5.6680924540986004E-90</v>
      </c>
      <c r="AK89" s="742">
        <v>0.352891472036508</v>
      </c>
      <c r="AL89" s="742">
        <v>1.12423119001639E-215</v>
      </c>
      <c r="AM89" s="742">
        <v>-3.7420358260560398E-34</v>
      </c>
      <c r="AN89" s="742">
        <v>1.1483239594073499E-30</v>
      </c>
      <c r="AO89" s="742">
        <v>2.83514226566439E-16</v>
      </c>
      <c r="AP89" s="742">
        <v>1.65158808320066E-215</v>
      </c>
      <c r="AQ89" s="742">
        <v>5.67422364648187E-95</v>
      </c>
      <c r="AR89" s="742">
        <v>-3.04955493630409E-90</v>
      </c>
      <c r="AS89" s="742">
        <v>8.0300292960327297E-18</v>
      </c>
      <c r="AT89" s="742">
        <v>1.64640255533538E-217</v>
      </c>
      <c r="AU89" s="742">
        <v>-2.0194576397295399E-91</v>
      </c>
      <c r="AV89" s="742">
        <v>-2.9090811679015802E-90</v>
      </c>
      <c r="AW89" s="742">
        <v>2.83514226566439E-16</v>
      </c>
      <c r="AX89" s="742">
        <v>1.65158808600406E-215</v>
      </c>
      <c r="AY89" s="742">
        <v>5.6742236560919297E-95</v>
      </c>
      <c r="AZ89" s="742">
        <v>-3.04955493737849E-90</v>
      </c>
      <c r="BA89" s="742">
        <v>0.42770920754373998</v>
      </c>
      <c r="BB89" s="742">
        <v>4.9487314342396996E-215</v>
      </c>
      <c r="BC89" s="742">
        <v>1.9010482956671701E-101</v>
      </c>
      <c r="BD89" s="742">
        <v>4.18786992530001E-215</v>
      </c>
      <c r="BE89" s="742">
        <v>7.8836342808108699E-215</v>
      </c>
      <c r="BF89" s="742">
        <v>1.9367941527403401E-101</v>
      </c>
      <c r="BG89" s="742">
        <v>6.6715347934213303E-215</v>
      </c>
      <c r="BH89" s="742">
        <v>1.69572064717825E-15</v>
      </c>
      <c r="BI89" s="742">
        <v>5.5113901168678996E-215</v>
      </c>
      <c r="BJ89" s="742">
        <v>1.07561889636049E-100</v>
      </c>
      <c r="BK89" s="742">
        <v>5.7230818307770001E-110</v>
      </c>
      <c r="BL89" s="742">
        <v>3.6636967409427603E-15</v>
      </c>
      <c r="BM89" s="742">
        <v>5.5113581247074702E-215</v>
      </c>
      <c r="BN89" s="742">
        <v>-4.7738132764346801E-91</v>
      </c>
      <c r="BO89" s="742">
        <v>-4.0183858696114097E-92</v>
      </c>
      <c r="BP89" s="742">
        <v>0.42798009175385499</v>
      </c>
      <c r="BQ89" s="742">
        <v>5.5330893895696701E-215</v>
      </c>
      <c r="BR89" s="742">
        <v>-6.5596895079474701E-30</v>
      </c>
      <c r="BS89" s="742">
        <v>4.55059069436875E-26</v>
      </c>
      <c r="BT89" s="742">
        <v>1.67787191963948E-15</v>
      </c>
      <c r="BU89" s="742">
        <v>5.5756840194280101E-215</v>
      </c>
      <c r="BV89" s="742">
        <v>-2.09693836561241E-89</v>
      </c>
      <c r="BW89" s="742">
        <v>-9.0057326494156704E-90</v>
      </c>
      <c r="BX89" s="742">
        <v>3.6485714765020998E-15</v>
      </c>
      <c r="BY89" s="742">
        <v>5.5756508141513203E-215</v>
      </c>
      <c r="BZ89" s="742">
        <v>-1.75476565969687E-88</v>
      </c>
      <c r="CA89" s="742">
        <v>-7.14674122646881E-90</v>
      </c>
      <c r="CB89" s="742">
        <v>0.427980034579651</v>
      </c>
      <c r="CC89" s="742">
        <v>5.5340618068771598E-215</v>
      </c>
      <c r="CD89" s="742">
        <v>-1.0446865425497199E-27</v>
      </c>
      <c r="CE89" s="742">
        <v>-4.0240435142055202E-25</v>
      </c>
      <c r="CF89" s="742">
        <v>4.31285028385198E-15</v>
      </c>
      <c r="CG89" s="742">
        <v>6.2125300668249201E-215</v>
      </c>
      <c r="CH89" s="742">
        <v>1.27850505747543E-94</v>
      </c>
      <c r="CI89" s="742">
        <v>-3.1238807218910999E-90</v>
      </c>
      <c r="CJ89" s="742">
        <v>4.0210104689233904E-15</v>
      </c>
      <c r="CK89" s="742">
        <v>6.2125301461169496E-215</v>
      </c>
      <c r="CL89" s="742">
        <v>-5.5819900646921104E-91</v>
      </c>
      <c r="CM89" s="742">
        <v>-3.1215806944551501E-90</v>
      </c>
      <c r="CN89" s="742">
        <v>4.31285028385198E-15</v>
      </c>
      <c r="CO89" s="742">
        <v>6.2125302563444203E-215</v>
      </c>
      <c r="CP89" s="742">
        <v>1.27850505640508E-94</v>
      </c>
      <c r="CQ89" s="742">
        <v>-3.1238807228839699E-90</v>
      </c>
      <c r="CR89" s="742">
        <v>0.42803861580105301</v>
      </c>
      <c r="CS89" s="742">
        <v>1.84546895849715E-214</v>
      </c>
      <c r="CT89" s="742">
        <v>1.7189095774310599E-100</v>
      </c>
      <c r="CU89" s="742">
        <v>1.44461165029395E-214</v>
      </c>
      <c r="CV89" s="742">
        <v>2.9399458478983099E-214</v>
      </c>
      <c r="CW89" s="742">
        <v>1.7512306345142999E-100</v>
      </c>
      <c r="CX89" s="742">
        <v>2.3009199640215098E-214</v>
      </c>
      <c r="CY89" s="742">
        <v>0.42803846748792401</v>
      </c>
      <c r="CZ89" s="742">
        <v>2.3741474691414699E-214</v>
      </c>
      <c r="DA89" s="742">
        <v>-2.2203050280668099E-27</v>
      </c>
      <c r="DB89" s="742">
        <v>3.71667474153428E-22</v>
      </c>
      <c r="DC89" s="742">
        <v>0.42803899304309501</v>
      </c>
      <c r="DD89" s="742">
        <v>2.3745214608233999E-214</v>
      </c>
      <c r="DE89" s="742">
        <v>-3.45405140518086E-24</v>
      </c>
      <c r="DF89" s="742">
        <v>5.7066399538204401E-19</v>
      </c>
      <c r="DG89" s="742">
        <v>0.42803906536513397</v>
      </c>
      <c r="DH89" s="742">
        <v>2.3749387789548102E-214</v>
      </c>
      <c r="DI89" s="742">
        <v>-3.4543906193367196E-24</v>
      </c>
      <c r="DJ89" s="742">
        <v>5.7066257271728904E-19</v>
      </c>
      <c r="DK89" s="742">
        <v>1.77535711966554E-13</v>
      </c>
      <c r="DL89" s="742">
        <v>2.4862651823375702E-214</v>
      </c>
      <c r="DM89" s="742">
        <v>3.8202237876107302E-94</v>
      </c>
      <c r="DN89" s="742">
        <v>-3.2113874001785799E-90</v>
      </c>
      <c r="DO89" s="742">
        <v>0.42803861616009098</v>
      </c>
      <c r="DP89" s="742">
        <v>9.0557764955359802E-214</v>
      </c>
      <c r="DQ89" s="742">
        <v>7.6082164277280801E-100</v>
      </c>
      <c r="DR89" s="742">
        <v>1.54060809418542E-212</v>
      </c>
      <c r="DS89" s="742">
        <v>7.8688754315569698E-213</v>
      </c>
      <c r="DT89" s="742">
        <v>8.02281423188584E-100</v>
      </c>
      <c r="DU89" s="742">
        <v>-1.6821769441326799E-211</v>
      </c>
      <c r="DV89" s="742">
        <v>0.42803965878299599</v>
      </c>
      <c r="DW89" s="742">
        <v>3.4836932838330603E-213</v>
      </c>
      <c r="DX89" s="742">
        <v>-9.9923705587446695E-24</v>
      </c>
      <c r="DY89" s="742">
        <v>1.3373264026779099E-17</v>
      </c>
      <c r="DZ89" s="742">
        <v>0.42803995354319702</v>
      </c>
      <c r="EA89" s="742">
        <v>3.4842128234806898E-213</v>
      </c>
      <c r="EB89" s="742">
        <v>-1.31562802458537E-20</v>
      </c>
      <c r="EC89" s="742">
        <v>1.7395034840735699E-14</v>
      </c>
      <c r="ED89" s="742">
        <v>0.428040025932794</v>
      </c>
      <c r="EE89" s="742">
        <v>3.4847909167019699E-213</v>
      </c>
      <c r="EF89" s="742">
        <v>-1.2353181973398301E-13</v>
      </c>
      <c r="EG89" s="742">
        <v>2.0417388361239099E-8</v>
      </c>
      <c r="EH89" s="742">
        <v>5.1392803247477602E-14</v>
      </c>
      <c r="EI89" s="742">
        <v>4.6791839431651298E-213</v>
      </c>
      <c r="EJ89" s="742">
        <v>-1.1912545263611301E-89</v>
      </c>
      <c r="EK89" s="742">
        <v>-3.3559031210014801E-90</v>
      </c>
      <c r="EL89" s="742">
        <v>0.42804033006541298</v>
      </c>
      <c r="EM89" s="742">
        <v>6.4184335896611897E-214</v>
      </c>
      <c r="EN89" s="742">
        <v>4.5104325939728698E-100</v>
      </c>
      <c r="EO89" s="742">
        <v>4.3132573409787197E-214</v>
      </c>
      <c r="EP89" s="742">
        <v>8.0276312450945805E-214</v>
      </c>
      <c r="EQ89" s="742">
        <v>4.5557069921264501E-100</v>
      </c>
      <c r="ER89" s="742">
        <v>5.3945486308991596E-214</v>
      </c>
      <c r="ES89" s="742">
        <v>0.42804492163170799</v>
      </c>
      <c r="ET89" s="742">
        <v>7.3085812655780497E-214</v>
      </c>
      <c r="EU89" s="742">
        <v>2.5378939366842999E-32</v>
      </c>
      <c r="EV89" s="742">
        <v>3.3871126354233898E-23</v>
      </c>
      <c r="EW89" s="742">
        <v>0.428044941986852</v>
      </c>
      <c r="EX89" s="742">
        <v>7.3096809207136104E-214</v>
      </c>
      <c r="EY89" s="742">
        <v>4.61093657981468E-29</v>
      </c>
      <c r="EZ89" s="742">
        <v>5.6918594431535797E-20</v>
      </c>
      <c r="FA89" s="742">
        <v>0.42804501439331699</v>
      </c>
      <c r="FB89" s="742">
        <v>7.3109112522867999E-214</v>
      </c>
      <c r="FC89" s="742">
        <v>4.6108928649362103E-29</v>
      </c>
      <c r="FD89" s="742">
        <v>5.6917804153428297E-20</v>
      </c>
      <c r="FE89" s="742">
        <v>1.15375470790915E-11</v>
      </c>
      <c r="FF89" s="742">
        <v>7.3964964451269899E-214</v>
      </c>
      <c r="FG89" s="742">
        <v>1.8590149537448101E-94</v>
      </c>
      <c r="FH89" s="742">
        <v>-3.28387263778529E-90</v>
      </c>
    </row>
    <row r="90" spans="1:164" ht="12.75" customHeight="1" x14ac:dyDescent="0.2">
      <c r="A90" s="489"/>
      <c r="B90" s="489"/>
      <c r="C90" s="489"/>
      <c r="D90" s="489"/>
      <c r="E90" s="489"/>
      <c r="F90" s="744"/>
      <c r="G90" s="745"/>
      <c r="H90" s="506"/>
      <c r="I90" s="750">
        <v>5779364.5570747796</v>
      </c>
      <c r="J90" s="742">
        <v>0.40489506827237198</v>
      </c>
      <c r="K90" s="742">
        <v>1.2259503151086699E-215</v>
      </c>
      <c r="L90" s="742">
        <v>3.61133693682776E-102</v>
      </c>
      <c r="M90" s="742">
        <v>1.8220760690177801E-215</v>
      </c>
      <c r="N90" s="742">
        <v>1.95301451421623E-215</v>
      </c>
      <c r="O90" s="742">
        <v>3.6792417494452102E-102</v>
      </c>
      <c r="P90" s="742">
        <v>2.90267953578297E-215</v>
      </c>
      <c r="Q90" s="742">
        <v>1.10969198544577E-16</v>
      </c>
      <c r="R90" s="742">
        <v>1.39297303620364E-215</v>
      </c>
      <c r="S90" s="742">
        <v>1.3268259958767201E-101</v>
      </c>
      <c r="T90" s="742">
        <v>-3.36849778870556E-109</v>
      </c>
      <c r="U90" s="742">
        <v>6.3284554514984504E-18</v>
      </c>
      <c r="V90" s="742">
        <v>1.44720459698419E-218</v>
      </c>
      <c r="W90" s="742">
        <v>-2.6774408850393499E-92</v>
      </c>
      <c r="X90" s="742">
        <v>-4.7633836070427602E-93</v>
      </c>
      <c r="Y90" s="742">
        <v>0.347058161053866</v>
      </c>
      <c r="Z90" s="742">
        <v>1.04094831122132E-215</v>
      </c>
      <c r="AA90" s="742">
        <v>-3.4843118438964002E-34</v>
      </c>
      <c r="AB90" s="742">
        <v>1.0707506607140099E-30</v>
      </c>
      <c r="AC90" s="742">
        <v>5.2391176545588902E-19</v>
      </c>
      <c r="AD90" s="742">
        <v>1.55416469683497E-215</v>
      </c>
      <c r="AE90" s="742">
        <v>-1.0069780554852699E-89</v>
      </c>
      <c r="AF90" s="742">
        <v>-7.9971887613955395E-90</v>
      </c>
      <c r="AG90" s="742">
        <v>6.0550343465831099E-18</v>
      </c>
      <c r="AH90" s="742">
        <v>1.6146718575198501E-218</v>
      </c>
      <c r="AI90" s="742">
        <v>-1.3525175479632201E-89</v>
      </c>
      <c r="AJ90" s="742">
        <v>-5.2817916008818303E-90</v>
      </c>
      <c r="AK90" s="742">
        <v>0.34583712436532199</v>
      </c>
      <c r="AL90" s="742">
        <v>1.04761422612991E-215</v>
      </c>
      <c r="AM90" s="742">
        <v>-3.48696052507836E-34</v>
      </c>
      <c r="AN90" s="742">
        <v>1.070048629518E-30</v>
      </c>
      <c r="AO90" s="742">
        <v>2.7784673930077801E-16</v>
      </c>
      <c r="AP90" s="742">
        <v>1.5390314617069799E-215</v>
      </c>
      <c r="AQ90" s="742">
        <v>5.28750712727528E-95</v>
      </c>
      <c r="AR90" s="742">
        <v>-2.8417167953803199E-90</v>
      </c>
      <c r="AS90" s="742">
        <v>7.8695091397549306E-18</v>
      </c>
      <c r="AT90" s="742">
        <v>1.5341993303714501E-217</v>
      </c>
      <c r="AU90" s="742">
        <v>-1.88182472440958E-91</v>
      </c>
      <c r="AV90" s="742">
        <v>-2.71081681957437E-90</v>
      </c>
      <c r="AW90" s="742">
        <v>2.7784673930077801E-16</v>
      </c>
      <c r="AX90" s="742">
        <v>1.5390314643193099E-215</v>
      </c>
      <c r="AY90" s="742">
        <v>5.2875071362303597E-95</v>
      </c>
      <c r="AZ90" s="742">
        <v>-2.8417167963814101E-90</v>
      </c>
      <c r="BA90" s="742">
        <v>0.41915924334435301</v>
      </c>
      <c r="BB90" s="742">
        <v>4.61147270938984E-215</v>
      </c>
      <c r="BC90" s="742">
        <v>1.77148662865295E-101</v>
      </c>
      <c r="BD90" s="742">
        <v>3.9024643239628301E-215</v>
      </c>
      <c r="BE90" s="742">
        <v>7.3463603389815697E-215</v>
      </c>
      <c r="BF90" s="742">
        <v>1.80479630730721E-101</v>
      </c>
      <c r="BG90" s="742">
        <v>6.2168660874868702E-215</v>
      </c>
      <c r="BH90" s="742">
        <v>1.6618229649006099E-15</v>
      </c>
      <c r="BI90" s="742">
        <v>5.13578589835982E-215</v>
      </c>
      <c r="BJ90" s="742">
        <v>1.0023125118768E-100</v>
      </c>
      <c r="BK90" s="742">
        <v>5.3330404092838399E-110</v>
      </c>
      <c r="BL90" s="742">
        <v>3.5904589543189604E-15</v>
      </c>
      <c r="BM90" s="742">
        <v>5.1357560864823696E-215</v>
      </c>
      <c r="BN90" s="742">
        <v>-4.4484615157644798E-91</v>
      </c>
      <c r="BO90" s="742">
        <v>-3.7445186417604001E-92</v>
      </c>
      <c r="BP90" s="742">
        <v>0.41942471254292002</v>
      </c>
      <c r="BQ90" s="742">
        <v>5.1560063538859704E-215</v>
      </c>
      <c r="BR90" s="742">
        <v>-6.1125763664599202E-30</v>
      </c>
      <c r="BS90" s="742">
        <v>4.2404191676618199E-26</v>
      </c>
      <c r="BT90" s="742">
        <v>1.6443310358243601E-15</v>
      </c>
      <c r="BU90" s="742">
        <v>5.1956981366727905E-215</v>
      </c>
      <c r="BV90" s="742">
        <v>-1.9540244903428799E-89</v>
      </c>
      <c r="BW90" s="742">
        <v>-8.3919596488949403E-90</v>
      </c>
      <c r="BX90" s="742">
        <v>3.5756360459558902E-15</v>
      </c>
      <c r="BY90" s="742">
        <v>5.1956671943535996E-215</v>
      </c>
      <c r="BZ90" s="742">
        <v>-1.6351722085692101E-88</v>
      </c>
      <c r="CA90" s="742">
        <v>-6.6596656104985199E-90</v>
      </c>
      <c r="CB90" s="742">
        <v>0.41942465651163602</v>
      </c>
      <c r="CC90" s="742">
        <v>5.1569125004278502E-215</v>
      </c>
      <c r="CD90" s="742">
        <v>-9.7348735992351394E-28</v>
      </c>
      <c r="CE90" s="742">
        <v>-3.7497952539708902E-25</v>
      </c>
      <c r="CF90" s="742">
        <v>4.2266358304947203E-15</v>
      </c>
      <c r="CG90" s="742">
        <v>5.7891427813616401E-215</v>
      </c>
      <c r="CH90" s="742">
        <v>1.1913708420443399E-94</v>
      </c>
      <c r="CI90" s="742">
        <v>-2.91097701126228E-90</v>
      </c>
      <c r="CJ90" s="742">
        <v>3.9406299336591703E-15</v>
      </c>
      <c r="CK90" s="742">
        <v>5.7891428552501404E-215</v>
      </c>
      <c r="CL90" s="742">
        <v>-5.2015584325668604E-91</v>
      </c>
      <c r="CM90" s="742">
        <v>-2.9088337388301399E-90</v>
      </c>
      <c r="CN90" s="742">
        <v>4.2266358304947203E-15</v>
      </c>
      <c r="CO90" s="742">
        <v>5.7891429579653405E-215</v>
      </c>
      <c r="CP90" s="742">
        <v>1.19137084104699E-94</v>
      </c>
      <c r="CQ90" s="742">
        <v>-2.9109770121873802E-90</v>
      </c>
      <c r="CR90" s="742">
        <v>0.41948206668659499</v>
      </c>
      <c r="CS90" s="742">
        <v>1.71969925044897E-214</v>
      </c>
      <c r="CT90" s="742">
        <v>1.6017611647336699E-100</v>
      </c>
      <c r="CU90" s="742">
        <v>1.34616058464E-214</v>
      </c>
      <c r="CV90" s="742">
        <v>2.7395869476494402E-214</v>
      </c>
      <c r="CW90" s="742">
        <v>1.63187945293158E-100</v>
      </c>
      <c r="CX90" s="742">
        <v>2.1441110234333901E-214</v>
      </c>
      <c r="CY90" s="742">
        <v>0.41948192133826701</v>
      </c>
      <c r="CZ90" s="742">
        <v>2.21234803454114E-214</v>
      </c>
      <c r="DA90" s="742">
        <v>-2.0689715482736501E-27</v>
      </c>
      <c r="DB90" s="742">
        <v>3.4633504041039199E-22</v>
      </c>
      <c r="DC90" s="742">
        <v>0.41948243638752097</v>
      </c>
      <c r="DD90" s="742">
        <v>2.2126965384877099E-214</v>
      </c>
      <c r="DE90" s="742">
        <v>-3.21863270071527E-24</v>
      </c>
      <c r="DF90" s="742">
        <v>5.31769096841222E-19</v>
      </c>
      <c r="DG90" s="742">
        <v>0.41948250726383102</v>
      </c>
      <c r="DH90" s="742">
        <v>2.2130854161627499E-214</v>
      </c>
      <c r="DI90" s="742">
        <v>-3.2189381418501501E-24</v>
      </c>
      <c r="DJ90" s="742">
        <v>5.3176601087506E-19</v>
      </c>
      <c r="DK90" s="742">
        <v>1.73986749366137E-13</v>
      </c>
      <c r="DL90" s="742">
        <v>2.3168248649193198E-214</v>
      </c>
      <c r="DM90" s="742">
        <v>3.5598632981768699E-94</v>
      </c>
      <c r="DN90" s="742">
        <v>-2.9925197945835299E-90</v>
      </c>
      <c r="DO90" s="742">
        <v>0.41948206703845597</v>
      </c>
      <c r="DP90" s="742">
        <v>8.4386204275623606E-214</v>
      </c>
      <c r="DQ90" s="742">
        <v>7.0896955644614402E-100</v>
      </c>
      <c r="DR90" s="742">
        <v>1.43561481741257E-212</v>
      </c>
      <c r="DS90" s="742">
        <v>7.33260717059244E-213</v>
      </c>
      <c r="DT90" s="742">
        <v>7.4760373886057002E-100</v>
      </c>
      <c r="DU90" s="742">
        <v>-1.56753568490628E-211</v>
      </c>
      <c r="DV90" s="742">
        <v>0.41948308881919399</v>
      </c>
      <c r="DW90" s="742">
        <v>3.2462776487894499E-213</v>
      </c>
      <c r="DX90" s="742">
        <v>-9.3113204515842906E-24</v>
      </c>
      <c r="DY90" s="742">
        <v>1.24617823668881E-17</v>
      </c>
      <c r="DZ90" s="742">
        <v>0.41948337768709798</v>
      </c>
      <c r="EA90" s="742">
        <v>3.24676178152031E-213</v>
      </c>
      <c r="EB90" s="742">
        <v>-1.22596088535172E-20</v>
      </c>
      <c r="EC90" s="742">
        <v>1.6209469480808701E-14</v>
      </c>
      <c r="ED90" s="742">
        <v>0.41948344862961801</v>
      </c>
      <c r="EE90" s="742">
        <v>3.2473004773662999E-213</v>
      </c>
      <c r="EF90" s="742">
        <v>-1.1511269251238199E-13</v>
      </c>
      <c r="EG90" s="742">
        <v>1.9025871661256099E-8</v>
      </c>
      <c r="EH90" s="742">
        <v>5.03654543887448E-14</v>
      </c>
      <c r="EI90" s="742">
        <v>4.3602949483470498E-213</v>
      </c>
      <c r="EJ90" s="742">
        <v>-1.11006642671573E-89</v>
      </c>
      <c r="EK90" s="742">
        <v>-3.1271862490782899E-90</v>
      </c>
      <c r="EL90" s="742">
        <v>0.41948374668258098</v>
      </c>
      <c r="EM90" s="742">
        <v>5.98101386770803E-214</v>
      </c>
      <c r="EN90" s="742">
        <v>4.2030342142674798E-100</v>
      </c>
      <c r="EO90" s="742">
        <v>4.01930651938134E-214</v>
      </c>
      <c r="EP90" s="742">
        <v>7.4805438322358998E-214</v>
      </c>
      <c r="EQ90" s="742">
        <v>4.2452230377348502E-100</v>
      </c>
      <c r="ER90" s="742">
        <v>5.02690722283022E-214</v>
      </c>
      <c r="ES90" s="742">
        <v>0.41948824646285199</v>
      </c>
      <c r="ET90" s="742">
        <v>6.8104974978792503E-214</v>
      </c>
      <c r="EU90" s="742">
        <v>2.3671969783080699E-32</v>
      </c>
      <c r="EV90" s="742">
        <v>3.1562529120806198E-23</v>
      </c>
      <c r="EW90" s="742">
        <v>0.41948826641109399</v>
      </c>
      <c r="EX90" s="742">
        <v>6.8115222109218503E-214</v>
      </c>
      <c r="EY90" s="742">
        <v>4.30081591611052E-29</v>
      </c>
      <c r="EZ90" s="742">
        <v>5.3039215119506801E-20</v>
      </c>
      <c r="FA90" s="742">
        <v>0.41948833737014402</v>
      </c>
      <c r="FB90" s="742">
        <v>6.8126686947324401E-214</v>
      </c>
      <c r="FC90" s="742">
        <v>4.3007607256269401E-29</v>
      </c>
      <c r="FD90" s="742">
        <v>5.3038303129228597E-20</v>
      </c>
      <c r="FE90" s="742">
        <v>1.13069099716009E-11</v>
      </c>
      <c r="FF90" s="742">
        <v>6.8924212103736699E-214</v>
      </c>
      <c r="FG90" s="742">
        <v>1.73231762644003E-94</v>
      </c>
      <c r="FH90" s="742">
        <v>-3.06006490245232E-90</v>
      </c>
    </row>
    <row r="91" spans="1:164" ht="12.75" customHeight="1" x14ac:dyDescent="0.2">
      <c r="A91" s="489"/>
      <c r="B91" s="489"/>
      <c r="C91" s="489"/>
      <c r="D91" s="489"/>
      <c r="E91" s="489"/>
      <c r="F91" s="744"/>
      <c r="G91" s="745"/>
      <c r="H91" s="506"/>
      <c r="I91" s="750">
        <v>5863123.4636990502</v>
      </c>
      <c r="J91" s="742">
        <v>0.39680116180150199</v>
      </c>
      <c r="K91" s="742">
        <v>-2.2468794188020699E-215</v>
      </c>
      <c r="L91" s="742">
        <v>-6.6187406897489899E-102</v>
      </c>
      <c r="M91" s="742">
        <v>-3.3394381228289899E-215</v>
      </c>
      <c r="N91" s="742">
        <v>-3.5794175853083799E-215</v>
      </c>
      <c r="O91" s="742">
        <v>-6.7431944181500604E-102</v>
      </c>
      <c r="P91" s="742">
        <v>-5.3199308552329103E-215</v>
      </c>
      <c r="Q91" s="742">
        <v>1.08750909450567E-16</v>
      </c>
      <c r="R91" s="742">
        <v>-2.5529928965471798E-215</v>
      </c>
      <c r="S91" s="742">
        <v>-2.4317634606645E-101</v>
      </c>
      <c r="T91" s="742">
        <v>6.1736717274787695E-109</v>
      </c>
      <c r="U91" s="742">
        <v>6.2019805454978101E-18</v>
      </c>
      <c r="V91" s="742">
        <v>-2.6523866291197898E-218</v>
      </c>
      <c r="W91" s="742">
        <v>4.9071279761178801E-92</v>
      </c>
      <c r="X91" s="742">
        <v>8.7301778533232004E-93</v>
      </c>
      <c r="Y91" s="742">
        <v>0.34012042207995302</v>
      </c>
      <c r="Z91" s="742">
        <v>-1.9078141321841699E-215</v>
      </c>
      <c r="AA91" s="742">
        <v>6.3859604071776098E-34</v>
      </c>
      <c r="AB91" s="742">
        <v>-1.9624452684636598E-30</v>
      </c>
      <c r="AC91" s="742">
        <v>5.1343869761076001E-19</v>
      </c>
      <c r="AD91" s="742">
        <v>-2.8484194079576799E-215</v>
      </c>
      <c r="AE91" s="742">
        <v>1.8455573192180499E-89</v>
      </c>
      <c r="AF91" s="742">
        <v>1.4656992941766801E-89</v>
      </c>
      <c r="AG91" s="742">
        <v>5.9340255939333204E-18</v>
      </c>
      <c r="AH91" s="742">
        <v>-2.9593148434067198E-218</v>
      </c>
      <c r="AI91" s="742">
        <v>2.4788511065176701E-89</v>
      </c>
      <c r="AJ91" s="742">
        <v>9.68029948952195E-90</v>
      </c>
      <c r="AK91" s="742">
        <v>0.33892379407782802</v>
      </c>
      <c r="AL91" s="742">
        <v>-1.92003119092703E-215</v>
      </c>
      <c r="AM91" s="742">
        <v>6.3908242497600903E-34</v>
      </c>
      <c r="AN91" s="742">
        <v>-1.9611615007326599E-30</v>
      </c>
      <c r="AO91" s="742">
        <v>2.7229254588781598E-16</v>
      </c>
      <c r="AP91" s="742">
        <v>-2.8206837370010701E-215</v>
      </c>
      <c r="AQ91" s="742">
        <v>-9.69077292402681E-95</v>
      </c>
      <c r="AR91" s="742">
        <v>5.2082080887300896E-90</v>
      </c>
      <c r="AS91" s="742">
        <v>7.7122600629481001E-18</v>
      </c>
      <c r="AT91" s="742">
        <v>-2.8118275734902399E-217</v>
      </c>
      <c r="AU91" s="742">
        <v>3.4489481365912601E-91</v>
      </c>
      <c r="AV91" s="742">
        <v>4.9682987798190002E-90</v>
      </c>
      <c r="AW91" s="742">
        <v>2.7229254588781598E-16</v>
      </c>
      <c r="AX91" s="742">
        <v>-2.8206837417888801E-215</v>
      </c>
      <c r="AY91" s="742">
        <v>-9.6907729404393996E-95</v>
      </c>
      <c r="AZ91" s="742">
        <v>5.2082080905649797E-90</v>
      </c>
      <c r="BA91" s="742">
        <v>0.41078019410943301</v>
      </c>
      <c r="BB91" s="742">
        <v>-8.4517479977784503E-215</v>
      </c>
      <c r="BC91" s="742">
        <v>-3.2467229825171999E-101</v>
      </c>
      <c r="BD91" s="742">
        <v>-7.1523019033155304E-215</v>
      </c>
      <c r="BE91" s="742">
        <v>-1.3464155639373001E-214</v>
      </c>
      <c r="BF91" s="742">
        <v>-3.3077718764110497E-101</v>
      </c>
      <c r="BG91" s="742">
        <v>-1.13940575643846E-214</v>
      </c>
      <c r="BH91" s="742">
        <v>1.6286029020912E-15</v>
      </c>
      <c r="BI91" s="742">
        <v>-9.4126911116911906E-215</v>
      </c>
      <c r="BJ91" s="742">
        <v>-1.8370057190040601E-100</v>
      </c>
      <c r="BK91" s="742">
        <v>-9.7742208100928005E-110</v>
      </c>
      <c r="BL91" s="742">
        <v>3.5186852366798099E-15</v>
      </c>
      <c r="BM91" s="742">
        <v>-9.4126364735113707E-215</v>
      </c>
      <c r="BN91" s="742">
        <v>8.1529980211391196E-91</v>
      </c>
      <c r="BO91" s="742">
        <v>6.8628343899767204E-92</v>
      </c>
      <c r="BP91" s="742">
        <v>0.41104035654334198</v>
      </c>
      <c r="BQ91" s="742">
        <v>-9.44975046458737E-215</v>
      </c>
      <c r="BR91" s="742">
        <v>1.12029730359155E-29</v>
      </c>
      <c r="BS91" s="742">
        <v>-7.7717313867977203E-26</v>
      </c>
      <c r="BT91" s="742">
        <v>1.6114606397807001E-15</v>
      </c>
      <c r="BU91" s="742">
        <v>-9.522496193953599E-215</v>
      </c>
      <c r="BV91" s="742">
        <v>3.5812738724092299E-89</v>
      </c>
      <c r="BW91" s="742">
        <v>1.5380516455874001E-89</v>
      </c>
      <c r="BX91" s="742">
        <v>3.50415864132859E-15</v>
      </c>
      <c r="BY91" s="742">
        <v>-9.5224394839391791E-215</v>
      </c>
      <c r="BZ91" s="742">
        <v>2.9968914587613998E-88</v>
      </c>
      <c r="CA91" s="742">
        <v>1.22056227295563E-89</v>
      </c>
      <c r="CB91" s="742">
        <v>0.41104030163213501</v>
      </c>
      <c r="CC91" s="742">
        <v>-9.4514112186898997E-215</v>
      </c>
      <c r="CD91" s="742">
        <v>1.7841766754827101E-27</v>
      </c>
      <c r="CE91" s="742">
        <v>6.8725015176110204E-25</v>
      </c>
      <c r="CF91" s="742">
        <v>4.1421448159598503E-15</v>
      </c>
      <c r="CG91" s="742">
        <v>-1.0610141053551101E-214</v>
      </c>
      <c r="CH91" s="742">
        <v>-2.18350614394523E-94</v>
      </c>
      <c r="CI91" s="742">
        <v>5.3351460077972499E-90</v>
      </c>
      <c r="CJ91" s="742">
        <v>3.8618562787319801E-15</v>
      </c>
      <c r="CK91" s="742">
        <v>-1.0610141188971101E-214</v>
      </c>
      <c r="CL91" s="742">
        <v>9.5332498455721199E-91</v>
      </c>
      <c r="CM91" s="742">
        <v>5.3312178864212103E-90</v>
      </c>
      <c r="CN91" s="742">
        <v>4.1421448159598503E-15</v>
      </c>
      <c r="CO91" s="742">
        <v>-1.06101413772242E-214</v>
      </c>
      <c r="CP91" s="742">
        <v>-2.1835061421172399E-94</v>
      </c>
      <c r="CQ91" s="742">
        <v>5.3351460094928803E-90</v>
      </c>
      <c r="CR91" s="742">
        <v>0.41109656416995699</v>
      </c>
      <c r="CS91" s="742">
        <v>-3.1518054237139401E-214</v>
      </c>
      <c r="CT91" s="742">
        <v>-2.9356556814648902E-100</v>
      </c>
      <c r="CU91" s="742">
        <v>-2.4671966512883301E-214</v>
      </c>
      <c r="CV91" s="742">
        <v>-5.0210203895148999E-214</v>
      </c>
      <c r="CW91" s="742">
        <v>-2.99085549889753E-100</v>
      </c>
      <c r="CX91" s="742">
        <v>-3.9296526709858102E-214</v>
      </c>
      <c r="CY91" s="742">
        <v>0.41109642172723398</v>
      </c>
      <c r="CZ91" s="742">
        <v>-4.0547151093944197E-214</v>
      </c>
      <c r="DA91" s="742">
        <v>3.7919546126231499E-27</v>
      </c>
      <c r="DB91" s="742">
        <v>-6.3475341332623601E-22</v>
      </c>
      <c r="DC91" s="742">
        <v>0.41109692648058499</v>
      </c>
      <c r="DD91" s="742">
        <v>-4.0553538353974903E-214</v>
      </c>
      <c r="DE91" s="742">
        <v>5.8990177277218302E-24</v>
      </c>
      <c r="DF91" s="742">
        <v>-9.7461115366362206E-19</v>
      </c>
      <c r="DG91" s="742">
        <v>0.41109699594006599</v>
      </c>
      <c r="DH91" s="742">
        <v>-4.0560665569764699E-214</v>
      </c>
      <c r="DI91" s="742">
        <v>5.8995861617887398E-24</v>
      </c>
      <c r="DJ91" s="742">
        <v>-9.7460692381634804E-19</v>
      </c>
      <c r="DK91" s="742">
        <v>1.70508731017946E-13</v>
      </c>
      <c r="DL91" s="742">
        <v>-4.2461966376632604E-214</v>
      </c>
      <c r="DM91" s="742">
        <v>-6.52440290534444E-94</v>
      </c>
      <c r="DN91" s="742">
        <v>5.4845950255044103E-90</v>
      </c>
      <c r="DO91" s="742">
        <v>0.41109656451478399</v>
      </c>
      <c r="DP91" s="742">
        <v>-1.5466012225865098E-213</v>
      </c>
      <c r="DQ91" s="742">
        <v>-1.2993763066498499E-99</v>
      </c>
      <c r="DR91" s="742">
        <v>-2.6311452824837599E-212</v>
      </c>
      <c r="DS91" s="742">
        <v>-1.3438949424046699E-212</v>
      </c>
      <c r="DT91" s="742">
        <v>-1.3701837775767099E-99</v>
      </c>
      <c r="DU91" s="742">
        <v>2.8729252853980299E-211</v>
      </c>
      <c r="DV91" s="742">
        <v>0.41109756587006302</v>
      </c>
      <c r="DW91" s="742">
        <v>-5.9496656593440699E-213</v>
      </c>
      <c r="DX91" s="742">
        <v>1.70655190689431E-23</v>
      </c>
      <c r="DY91" s="742">
        <v>-2.28395946011251E-17</v>
      </c>
      <c r="DZ91" s="742">
        <v>0.41109784896345902</v>
      </c>
      <c r="EA91" s="742">
        <v>-5.9505529611084701E-213</v>
      </c>
      <c r="EB91" s="742">
        <v>2.2469039570275899E-20</v>
      </c>
      <c r="EC91" s="742">
        <v>-2.9708224425332001E-14</v>
      </c>
      <c r="ED91" s="742">
        <v>0.411097918487837</v>
      </c>
      <c r="EE91" s="742">
        <v>-5.9515402642673901E-213</v>
      </c>
      <c r="EF91" s="742">
        <v>2.1097486634154499E-13</v>
      </c>
      <c r="EG91" s="742">
        <v>-3.4870009928053502E-8</v>
      </c>
      <c r="EH91" s="742">
        <v>4.9358649780939398E-14</v>
      </c>
      <c r="EI91" s="742">
        <v>-7.9913981311510706E-213</v>
      </c>
      <c r="EJ91" s="742">
        <v>2.0344942632523601E-89</v>
      </c>
      <c r="EK91" s="742">
        <v>5.7314074167744596E-90</v>
      </c>
      <c r="EL91" s="742">
        <v>0.41109821058260299</v>
      </c>
      <c r="EM91" s="742">
        <v>-1.0961795757385901E-213</v>
      </c>
      <c r="EN91" s="742">
        <v>-7.7031841838649198E-100</v>
      </c>
      <c r="EO91" s="742">
        <v>-7.36644624582008E-214</v>
      </c>
      <c r="EP91" s="742">
        <v>-1.3710082513914599E-213</v>
      </c>
      <c r="EQ91" s="742">
        <v>-7.7805064851129397E-100</v>
      </c>
      <c r="ER91" s="742">
        <v>-9.2131420336173805E-214</v>
      </c>
      <c r="ES91" s="742">
        <v>0.411102620411673</v>
      </c>
      <c r="ET91" s="742">
        <v>-1.24820447217172E-213</v>
      </c>
      <c r="EU91" s="742">
        <v>-4.3366844806677799E-32</v>
      </c>
      <c r="EV91" s="742">
        <v>-5.7846925797796202E-23</v>
      </c>
      <c r="EW91" s="742">
        <v>0.41110263996114599</v>
      </c>
      <c r="EX91" s="742">
        <v>-1.2483922780410099E-213</v>
      </c>
      <c r="EY91" s="742">
        <v>-7.8790514455295297E-29</v>
      </c>
      <c r="EZ91" s="742">
        <v>-9.7208723103268004E-20</v>
      </c>
      <c r="FA91" s="742">
        <v>0.41110270950170902</v>
      </c>
      <c r="FB91" s="742">
        <v>-1.24860240163628E-213</v>
      </c>
      <c r="FC91" s="742">
        <v>-7.8789621192248697E-29</v>
      </c>
      <c r="FD91" s="742">
        <v>-9.7207193871381695E-20</v>
      </c>
      <c r="FE91" s="742">
        <v>1.1080883331723E-11</v>
      </c>
      <c r="FF91" s="742">
        <v>-1.26321916740424E-213</v>
      </c>
      <c r="FG91" s="742">
        <v>-3.1749355965515502E-94</v>
      </c>
      <c r="FH91" s="742">
        <v>5.6083895491979197E-90</v>
      </c>
    </row>
    <row r="92" spans="1:164" ht="12.75" customHeight="1" x14ac:dyDescent="0.2">
      <c r="A92" s="489"/>
      <c r="B92" s="489"/>
      <c r="C92" s="489"/>
      <c r="D92" s="489"/>
      <c r="E92" s="489"/>
      <c r="F92" s="744"/>
      <c r="G92" s="745"/>
      <c r="H92" s="506"/>
      <c r="I92" s="750">
        <v>5946882.3703233302</v>
      </c>
      <c r="J92" s="742">
        <v>0.38886905358489698</v>
      </c>
      <c r="K92" s="742">
        <v>-3.7329587625629602E-216</v>
      </c>
      <c r="L92" s="742">
        <v>-1.09963303027962E-102</v>
      </c>
      <c r="M92" s="742">
        <v>-5.5481325336517598E-216</v>
      </c>
      <c r="N92" s="742">
        <v>-5.9468336966080998E-216</v>
      </c>
      <c r="O92" s="742">
        <v>-1.12030968720068E-102</v>
      </c>
      <c r="P92" s="742">
        <v>-8.8385172502287406E-216</v>
      </c>
      <c r="Q92" s="742">
        <v>1.06576964247131E-16</v>
      </c>
      <c r="R92" s="742">
        <v>-4.2415347811623303E-216</v>
      </c>
      <c r="S92" s="742">
        <v>-4.0401151042456501E-102</v>
      </c>
      <c r="T92" s="742">
        <v>1.02569004936815E-109</v>
      </c>
      <c r="U92" s="742">
        <v>6.0779852728639102E-18</v>
      </c>
      <c r="V92" s="742">
        <v>-4.4066672319058202E-219</v>
      </c>
      <c r="W92" s="742">
        <v>8.1526630280145998E-93</v>
      </c>
      <c r="X92" s="742">
        <v>1.45042444460178E-93</v>
      </c>
      <c r="Y92" s="742">
        <v>0.33332136941997798</v>
      </c>
      <c r="Z92" s="742">
        <v>-3.1696367070181601E-216</v>
      </c>
      <c r="AA92" s="742">
        <v>1.0609494205281499E-34</v>
      </c>
      <c r="AB92" s="742">
        <v>-3.2603634533480602E-31</v>
      </c>
      <c r="AC92" s="742">
        <v>5.0317499038272199E-19</v>
      </c>
      <c r="AD92" s="742">
        <v>-4.7323555057786801E-216</v>
      </c>
      <c r="AE92" s="742">
        <v>3.06619351932055E-90</v>
      </c>
      <c r="AF92" s="742">
        <v>2.4351005684189499E-90</v>
      </c>
      <c r="AG92" s="742">
        <v>5.8153865489650296E-18</v>
      </c>
      <c r="AH92" s="742">
        <v>-4.9165968513648102E-219</v>
      </c>
      <c r="AI92" s="742">
        <v>4.1183425036509004E-90</v>
      </c>
      <c r="AJ92" s="742">
        <v>1.6082768706800601E-90</v>
      </c>
      <c r="AK92" s="742">
        <v>0.33214866217142403</v>
      </c>
      <c r="AL92" s="742">
        <v>-3.1899340919629002E-216</v>
      </c>
      <c r="AM92" s="742">
        <v>1.0617541246871201E-34</v>
      </c>
      <c r="AN92" s="742">
        <v>-3.2582202666820601E-31</v>
      </c>
      <c r="AO92" s="742">
        <v>2.6684938153126599E-16</v>
      </c>
      <c r="AP92" s="742">
        <v>-4.6862755448042599E-216</v>
      </c>
      <c r="AQ92" s="742">
        <v>-1.6100175789146999E-95</v>
      </c>
      <c r="AR92" s="742">
        <v>8.6528733454634304E-91</v>
      </c>
      <c r="AS92" s="742">
        <v>7.5580572823958206E-18</v>
      </c>
      <c r="AT92" s="742">
        <v>-4.6715619411709704E-218</v>
      </c>
      <c r="AU92" s="742">
        <v>5.7300547480408401E-92</v>
      </c>
      <c r="AV92" s="742">
        <v>8.2542900263833395E-91</v>
      </c>
      <c r="AW92" s="742">
        <v>2.6684938153126599E-16</v>
      </c>
      <c r="AX92" s="742">
        <v>-4.6862755527586E-216</v>
      </c>
      <c r="AY92" s="742">
        <v>-1.6100175816414501E-95</v>
      </c>
      <c r="AZ92" s="742">
        <v>8.6528733485112696E-91</v>
      </c>
      <c r="BA92" s="742">
        <v>0.40256864317011398</v>
      </c>
      <c r="BB92" s="742">
        <v>-1.40417089067029E-215</v>
      </c>
      <c r="BC92" s="742">
        <v>-5.3940832540438499E-102</v>
      </c>
      <c r="BD92" s="742">
        <v>-1.18828130424133E-215</v>
      </c>
      <c r="BE92" s="742">
        <v>-2.23693080073285E-215</v>
      </c>
      <c r="BF92" s="742">
        <v>-5.4955094668757601E-102</v>
      </c>
      <c r="BG92" s="742">
        <v>-1.8930053241924601E-215</v>
      </c>
      <c r="BH92" s="742">
        <v>1.59604691251566E-15</v>
      </c>
      <c r="BI92" s="742">
        <v>-1.56382169290699E-215</v>
      </c>
      <c r="BJ92" s="742">
        <v>-3.0519886789919997E-101</v>
      </c>
      <c r="BK92" s="742">
        <v>-1.6238830320580599E-110</v>
      </c>
      <c r="BL92" s="742">
        <v>3.4483462296724299E-15</v>
      </c>
      <c r="BM92" s="742">
        <v>-1.5638126153360601E-215</v>
      </c>
      <c r="BN92" s="742">
        <v>1.35453250774054E-91</v>
      </c>
      <c r="BO92" s="742">
        <v>1.14018563217486E-92</v>
      </c>
      <c r="BP92" s="742">
        <v>0.40282360492219099</v>
      </c>
      <c r="BQ92" s="742">
        <v>-1.5699787227399E-215</v>
      </c>
      <c r="BR92" s="742">
        <v>1.8612392601185101E-30</v>
      </c>
      <c r="BS92" s="742">
        <v>-1.29117971883874E-26</v>
      </c>
      <c r="BT92" s="742">
        <v>1.57924732591048E-15</v>
      </c>
      <c r="BU92" s="742">
        <v>-1.5820646765122301E-215</v>
      </c>
      <c r="BV92" s="742">
        <v>5.9498985067404896E-90</v>
      </c>
      <c r="BW92" s="742">
        <v>2.5553061607138198E-90</v>
      </c>
      <c r="BX92" s="742">
        <v>3.4341100223214399E-15</v>
      </c>
      <c r="BY92" s="742">
        <v>-1.58205525472729E-215</v>
      </c>
      <c r="BZ92" s="742">
        <v>4.9790108240364E-89</v>
      </c>
      <c r="CA92" s="742">
        <v>2.0278321026975201E-90</v>
      </c>
      <c r="CB92" s="742">
        <v>0.40282355110866502</v>
      </c>
      <c r="CC92" s="742">
        <v>-1.5702546399310299E-215</v>
      </c>
      <c r="CD92" s="742">
        <v>2.9642160997886802E-28</v>
      </c>
      <c r="CE92" s="742">
        <v>1.14179302707129E-25</v>
      </c>
      <c r="CF92" s="742">
        <v>4.0593427879117098E-15</v>
      </c>
      <c r="CG92" s="742">
        <v>-1.76276566897371E-215</v>
      </c>
      <c r="CH92" s="742">
        <v>-3.6276603558657703E-95</v>
      </c>
      <c r="CI92" s="742">
        <v>8.8637669422072703E-91</v>
      </c>
      <c r="CJ92" s="742">
        <v>3.7846572222582098E-15</v>
      </c>
      <c r="CK92" s="742">
        <v>-1.7627656914725901E-215</v>
      </c>
      <c r="CL92" s="742">
        <v>1.5838464766210301E-91</v>
      </c>
      <c r="CM92" s="742">
        <v>8.8572407937922205E-91</v>
      </c>
      <c r="CN92" s="742">
        <v>4.0593427879117098E-15</v>
      </c>
      <c r="CO92" s="742">
        <v>-1.76276572274871E-215</v>
      </c>
      <c r="CP92" s="742">
        <v>-3.62766035282929E-95</v>
      </c>
      <c r="CQ92" s="742">
        <v>8.8637669450235898E-91</v>
      </c>
      <c r="CR92" s="742">
        <v>0.40287868895088103</v>
      </c>
      <c r="CS92" s="742">
        <v>-5.2364001271672702E-215</v>
      </c>
      <c r="CT92" s="742">
        <v>-4.8772781775036801E-101</v>
      </c>
      <c r="CU92" s="742">
        <v>-4.0989931551172299E-215</v>
      </c>
      <c r="CV92" s="742">
        <v>-8.3419082943196702E-215</v>
      </c>
      <c r="CW92" s="742">
        <v>-4.9689867748941102E-101</v>
      </c>
      <c r="CX92" s="742">
        <v>-6.5287132227342196E-215</v>
      </c>
      <c r="CY92" s="742">
        <v>0.40287854935556899</v>
      </c>
      <c r="CZ92" s="742">
        <v>-6.73649158501681E-215</v>
      </c>
      <c r="DA92" s="742">
        <v>6.29988851714877E-28</v>
      </c>
      <c r="DB92" s="742">
        <v>-1.05456846386295E-22</v>
      </c>
      <c r="DC92" s="742">
        <v>0.40287904401883101</v>
      </c>
      <c r="DD92" s="742">
        <v>-6.7375527624936602E-215</v>
      </c>
      <c r="DE92" s="742">
        <v>9.8005431616096394E-25</v>
      </c>
      <c r="DF92" s="742">
        <v>-1.6192049449927499E-19</v>
      </c>
      <c r="DG92" s="742">
        <v>0.40287911208980998</v>
      </c>
      <c r="DH92" s="742">
        <v>-6.7387368759990803E-215</v>
      </c>
      <c r="DI92" s="742">
        <v>9.80145667969978E-25</v>
      </c>
      <c r="DJ92" s="742">
        <v>-1.61919281684096E-19</v>
      </c>
      <c r="DK92" s="742">
        <v>1.67100238713719E-13</v>
      </c>
      <c r="DL92" s="742">
        <v>-7.05461842477315E-215</v>
      </c>
      <c r="DM92" s="742">
        <v>-1.0839592932234001E-94</v>
      </c>
      <c r="DN92" s="742">
        <v>9.1120602898979999E-91</v>
      </c>
      <c r="DO92" s="742">
        <v>0.40287868928881498</v>
      </c>
      <c r="DP92" s="742">
        <v>-2.5695186567340098E-214</v>
      </c>
      <c r="DQ92" s="742">
        <v>-2.15877486750281E-100</v>
      </c>
      <c r="DR92" s="742">
        <v>-4.37137691723197E-213</v>
      </c>
      <c r="DS92" s="742">
        <v>-2.23274300472125E-213</v>
      </c>
      <c r="DT92" s="742">
        <v>-2.2764139131635099E-100</v>
      </c>
      <c r="DU92" s="742">
        <v>4.7730695265867803E-212</v>
      </c>
      <c r="DV92" s="742">
        <v>0.402879670626826</v>
      </c>
      <c r="DW92" s="742">
        <v>-9.8847566159964599E-214</v>
      </c>
      <c r="DX92" s="742">
        <v>2.83524152222902E-24</v>
      </c>
      <c r="DY92" s="742">
        <v>-3.7945383847312199E-18</v>
      </c>
      <c r="DZ92" s="742">
        <v>0.40287994806114702</v>
      </c>
      <c r="EA92" s="742">
        <v>-9.8862307764741803E-214</v>
      </c>
      <c r="EB92" s="742">
        <v>3.7329810623260902E-21</v>
      </c>
      <c r="EC92" s="742">
        <v>-4.9356911239585499E-15</v>
      </c>
      <c r="ED92" s="742">
        <v>0.402880016195719</v>
      </c>
      <c r="EE92" s="742">
        <v>-9.8878710789692203E-214</v>
      </c>
      <c r="EF92" s="742">
        <v>3.5051195167089202E-14</v>
      </c>
      <c r="EG92" s="742">
        <v>-5.7932754961821002E-9</v>
      </c>
      <c r="EH92" s="742">
        <v>4.8371959773837397E-14</v>
      </c>
      <c r="EI92" s="742">
        <v>-1.32768847792239E-213</v>
      </c>
      <c r="EJ92" s="742">
        <v>3.3800922962063698E-90</v>
      </c>
      <c r="EK92" s="742">
        <v>9.52211233186132E-91</v>
      </c>
      <c r="EL92" s="742">
        <v>0.40288030245151701</v>
      </c>
      <c r="EM92" s="742">
        <v>-1.8211894765479599E-214</v>
      </c>
      <c r="EN92" s="742">
        <v>-1.2798017272417299E-100</v>
      </c>
      <c r="EO92" s="742">
        <v>-1.2238591814008601E-214</v>
      </c>
      <c r="EP92" s="742">
        <v>-2.2777890182929501E-214</v>
      </c>
      <c r="EQ92" s="742">
        <v>-1.2926480012406E-100</v>
      </c>
      <c r="ER92" s="742">
        <v>-1.5306686685985301E-214</v>
      </c>
      <c r="ES92" s="742">
        <v>0.40288462412751203</v>
      </c>
      <c r="ET92" s="742">
        <v>-2.07376318589712E-214</v>
      </c>
      <c r="EU92" s="742">
        <v>-7.2115094705850996E-33</v>
      </c>
      <c r="EV92" s="742">
        <v>-9.6105952061047904E-24</v>
      </c>
      <c r="EW92" s="742">
        <v>0.402884643286188</v>
      </c>
      <c r="EX92" s="742">
        <v>-2.07407520600762E-214</v>
      </c>
      <c r="EY92" s="742">
        <v>-1.3102164567826699E-29</v>
      </c>
      <c r="EZ92" s="742">
        <v>-1.6150127957640101E-20</v>
      </c>
      <c r="FA92" s="742">
        <v>0.40288471143662902</v>
      </c>
      <c r="FB92" s="742">
        <v>-2.0744243047216898E-214</v>
      </c>
      <c r="FC92" s="742">
        <v>-1.31019729212738E-29</v>
      </c>
      <c r="FD92" s="742">
        <v>-1.61498230153687E-20</v>
      </c>
      <c r="FE92" s="742">
        <v>1.08593749940868E-11</v>
      </c>
      <c r="FF92" s="742">
        <v>-2.0987085557582E-214</v>
      </c>
      <c r="FG92" s="742">
        <v>-5.2748151375373597E-95</v>
      </c>
      <c r="FH92" s="742">
        <v>9.3177314758679697E-91</v>
      </c>
    </row>
    <row r="93" spans="1:164" ht="12.75" customHeight="1" x14ac:dyDescent="0.2">
      <c r="A93" s="489"/>
      <c r="B93" s="489"/>
      <c r="C93" s="489"/>
      <c r="D93" s="489"/>
      <c r="E93" s="489"/>
      <c r="F93" s="744"/>
      <c r="G93" s="745"/>
      <c r="H93" s="506"/>
      <c r="I93" s="750">
        <v>6030641.2769475998</v>
      </c>
      <c r="J93" s="742">
        <v>0.38109550925017799</v>
      </c>
      <c r="K93" s="742">
        <v>2.9697482274558298E-215</v>
      </c>
      <c r="L93" s="742">
        <v>8.7481243620279507E-102</v>
      </c>
      <c r="M93" s="742">
        <v>4.4138062607992999E-215</v>
      </c>
      <c r="N93" s="742">
        <v>4.7309922109487803E-215</v>
      </c>
      <c r="O93" s="742">
        <v>8.9126173893884099E-102</v>
      </c>
      <c r="P93" s="742">
        <v>7.0314655496459502E-215</v>
      </c>
      <c r="Q93" s="742">
        <v>1.0444647649297E-16</v>
      </c>
      <c r="R93" s="742">
        <v>3.3743449095592898E-215</v>
      </c>
      <c r="S93" s="742">
        <v>3.2141112894597E-101</v>
      </c>
      <c r="T93" s="742">
        <v>-8.1598686967505302E-109</v>
      </c>
      <c r="U93" s="742">
        <v>5.9564548196874701E-18</v>
      </c>
      <c r="V93" s="742">
        <v>3.50571571595761E-218</v>
      </c>
      <c r="W93" s="742">
        <v>-6.48584971996469E-92</v>
      </c>
      <c r="X93" s="742">
        <v>-1.15388509599621E-92</v>
      </c>
      <c r="Y93" s="742">
        <v>0.32665823071292299</v>
      </c>
      <c r="Z93" s="742">
        <v>2.5215984400221299E-215</v>
      </c>
      <c r="AA93" s="742">
        <v>-8.4404312726663108E-34</v>
      </c>
      <c r="AB93" s="742">
        <v>2.59379692465035E-30</v>
      </c>
      <c r="AC93" s="742">
        <v>4.93116456751793E-19</v>
      </c>
      <c r="AD93" s="742">
        <v>3.7648164013817102E-215</v>
      </c>
      <c r="AE93" s="742">
        <v>-2.4393100873719299E-89</v>
      </c>
      <c r="AF93" s="742">
        <v>-1.9372441246386899E-89</v>
      </c>
      <c r="AG93" s="742">
        <v>5.69910506455353E-18</v>
      </c>
      <c r="AH93" s="742">
        <v>3.9113892526446401E-218</v>
      </c>
      <c r="AI93" s="742">
        <v>-3.2763471693329798E-89</v>
      </c>
      <c r="AJ93" s="742">
        <v>-1.27946457877017E-89</v>
      </c>
      <c r="AK93" s="742">
        <v>0.32550896603894403</v>
      </c>
      <c r="AL93" s="742">
        <v>2.5377459859219101E-215</v>
      </c>
      <c r="AM93" s="742">
        <v>-8.4468520891767598E-34</v>
      </c>
      <c r="AN93" s="742">
        <v>2.59209774222244E-30</v>
      </c>
      <c r="AO93" s="742">
        <v>2.6151502674293799E-16</v>
      </c>
      <c r="AP93" s="742">
        <v>3.7281575762701299E-215</v>
      </c>
      <c r="AQ93" s="742">
        <v>1.28084902042396E-94</v>
      </c>
      <c r="AR93" s="742">
        <v>-6.8837929667411204E-90</v>
      </c>
      <c r="AS93" s="742">
        <v>7.40690933951673E-18</v>
      </c>
      <c r="AT93" s="742">
        <v>3.7164521969479299E-217</v>
      </c>
      <c r="AU93" s="742">
        <v>-4.5585441045694098E-91</v>
      </c>
      <c r="AV93" s="742">
        <v>-6.5667000269698098E-90</v>
      </c>
      <c r="AW93" s="742">
        <v>2.6151502674293799E-16</v>
      </c>
      <c r="AX93" s="742">
        <v>3.7281575825982798E-215</v>
      </c>
      <c r="AY93" s="742">
        <v>1.28084902259325E-94</v>
      </c>
      <c r="AZ93" s="742">
        <v>-6.8837929691663E-90</v>
      </c>
      <c r="BA93" s="742">
        <v>0.39452124220930102</v>
      </c>
      <c r="BB93" s="742">
        <v>1.11708547531615E-214</v>
      </c>
      <c r="BC93" s="742">
        <v>4.2912598863563799E-101</v>
      </c>
      <c r="BD93" s="742">
        <v>9.4533492638088903E-215</v>
      </c>
      <c r="BE93" s="742">
        <v>1.7795860342846401E-214</v>
      </c>
      <c r="BF93" s="742">
        <v>4.3719494526925898E-101</v>
      </c>
      <c r="BG93" s="742">
        <v>1.50597677704489E-214</v>
      </c>
      <c r="BH93" s="742">
        <v>1.56414172138095E-15</v>
      </c>
      <c r="BI93" s="742">
        <v>1.2440953666947401E-214</v>
      </c>
      <c r="BJ93" s="742">
        <v>2.4280078699100198E-100</v>
      </c>
      <c r="BK93" s="742">
        <v>1.2918788261324E-109</v>
      </c>
      <c r="BL93" s="742">
        <v>3.37941329282373E-15</v>
      </c>
      <c r="BM93" s="742">
        <v>1.24408814505052E-214</v>
      </c>
      <c r="BN93" s="742">
        <v>-1.0775981341220201E-90</v>
      </c>
      <c r="BO93" s="742">
        <v>-9.0707458478600895E-92</v>
      </c>
      <c r="BP93" s="742">
        <v>0.39477110724183101</v>
      </c>
      <c r="BQ93" s="742">
        <v>1.24899358004135E-214</v>
      </c>
      <c r="BR93" s="742">
        <v>-1.48071624109884E-29</v>
      </c>
      <c r="BS93" s="742">
        <v>1.0272031225938501E-25</v>
      </c>
      <c r="BT93" s="742">
        <v>1.54767796001355E-15</v>
      </c>
      <c r="BU93" s="742">
        <v>1.2586085375256E-214</v>
      </c>
      <c r="BV93" s="742">
        <v>-4.7334414333651403E-89</v>
      </c>
      <c r="BW93" s="742">
        <v>-2.0328736771480799E-89</v>
      </c>
      <c r="BX93" s="742">
        <v>3.36546166810107E-15</v>
      </c>
      <c r="BY93" s="742">
        <v>1.2586010420426E-214</v>
      </c>
      <c r="BZ93" s="742">
        <v>-3.9610515726303102E-88</v>
      </c>
      <c r="CA93" s="742">
        <v>-1.6132416418670102E-89</v>
      </c>
      <c r="CB93" s="742">
        <v>0.39477105450403899</v>
      </c>
      <c r="CC93" s="742">
        <v>1.2492130854367401E-214</v>
      </c>
      <c r="CD93" s="742">
        <v>-2.3581820300005301E-27</v>
      </c>
      <c r="CE93" s="742">
        <v>-9.0835261525911602E-25</v>
      </c>
      <c r="CF93" s="742">
        <v>3.9781959832464803E-15</v>
      </c>
      <c r="CG93" s="742">
        <v>1.40236486760998E-214</v>
      </c>
      <c r="CH93" s="742">
        <v>2.88598414954874E-94</v>
      </c>
      <c r="CI93" s="742">
        <v>-7.0515693573154401E-90</v>
      </c>
      <c r="CJ93" s="742">
        <v>3.7090013572988297E-15</v>
      </c>
      <c r="CK93" s="742">
        <v>1.40236488550874E-214</v>
      </c>
      <c r="CL93" s="742">
        <v>-1.2600288018210501E-90</v>
      </c>
      <c r="CM93" s="742">
        <v>-7.0463774805063898E-90</v>
      </c>
      <c r="CN93" s="742">
        <v>3.9781959832464803E-15</v>
      </c>
      <c r="CO93" s="742">
        <v>1.40236491039055E-214</v>
      </c>
      <c r="CP93" s="742">
        <v>2.88598414713268E-94</v>
      </c>
      <c r="CQ93" s="742">
        <v>-7.0515693595565603E-90</v>
      </c>
      <c r="CR93" s="742">
        <v>0.39482509013349598</v>
      </c>
      <c r="CS93" s="742">
        <v>4.1658081390724599E-214</v>
      </c>
      <c r="CT93" s="742">
        <v>3.88011589958856E-100</v>
      </c>
      <c r="CU93" s="742">
        <v>3.26094619077406E-214</v>
      </c>
      <c r="CV93" s="742">
        <v>6.6363892414534196E-214</v>
      </c>
      <c r="CW93" s="742">
        <v>3.9530746224480502E-100</v>
      </c>
      <c r="CX93" s="742">
        <v>5.1939053588708099E-214</v>
      </c>
      <c r="CY93" s="742">
        <v>0.39482495332864198</v>
      </c>
      <c r="CZ93" s="742">
        <v>5.35920303875597E-214</v>
      </c>
      <c r="DA93" s="742">
        <v>-5.0118944793449199E-27</v>
      </c>
      <c r="DB93" s="742">
        <v>8.3896498125126604E-22</v>
      </c>
      <c r="DC93" s="742">
        <v>0.39482543810352</v>
      </c>
      <c r="DD93" s="742">
        <v>5.3600472564739698E-214</v>
      </c>
      <c r="DE93" s="742">
        <v>-7.7968413417048796E-24</v>
      </c>
      <c r="DF93" s="742">
        <v>1.28816167116984E-18</v>
      </c>
      <c r="DG93" s="742">
        <v>0.394825504813753</v>
      </c>
      <c r="DH93" s="742">
        <v>5.3609892757155098E-214</v>
      </c>
      <c r="DI93" s="742">
        <v>-7.7975854891402207E-24</v>
      </c>
      <c r="DJ93" s="742">
        <v>1.28815489701514E-18</v>
      </c>
      <c r="DK93" s="742">
        <v>1.63759882616968E-13</v>
      </c>
      <c r="DL93" s="742">
        <v>5.6122882396831897E-214</v>
      </c>
      <c r="DM93" s="742">
        <v>8.62343503007897E-94</v>
      </c>
      <c r="DN93" s="742">
        <v>-7.2490991179263901E-90</v>
      </c>
      <c r="DO93" s="742">
        <v>0.39482509046467401</v>
      </c>
      <c r="DP93" s="742">
        <v>2.0441756691180201E-213</v>
      </c>
      <c r="DQ93" s="742">
        <v>1.71741212663772E-99</v>
      </c>
      <c r="DR93" s="742">
        <v>3.4776405761153699E-212</v>
      </c>
      <c r="DS93" s="742">
        <v>1.7762544657565501E-212</v>
      </c>
      <c r="DT93" s="742">
        <v>1.81099980297444E-99</v>
      </c>
      <c r="DU93" s="742">
        <v>-3.7972063463135201E-211</v>
      </c>
      <c r="DV93" s="742">
        <v>0.39482605218553701</v>
      </c>
      <c r="DW93" s="742">
        <v>7.8637993737436595E-213</v>
      </c>
      <c r="DX93" s="742">
        <v>-2.2555815374671099E-23</v>
      </c>
      <c r="DY93" s="742">
        <v>3.0187518904469997E-17</v>
      </c>
      <c r="DZ93" s="742">
        <v>0.394826324073909</v>
      </c>
      <c r="EA93" s="742">
        <v>7.8649721393166595E-213</v>
      </c>
      <c r="EB93" s="742">
        <v>-2.9697763719024502E-20</v>
      </c>
      <c r="EC93" s="742">
        <v>3.92659342077342E-14</v>
      </c>
      <c r="ED93" s="742">
        <v>0.39482639084645299</v>
      </c>
      <c r="EE93" s="742">
        <v>7.8662770788551699E-213</v>
      </c>
      <c r="EF93" s="742">
        <v>-2.7884971298460698E-13</v>
      </c>
      <c r="EG93" s="742">
        <v>4.6088391611865702E-8</v>
      </c>
      <c r="EH93" s="742">
        <v>4.7404990535450803E-14</v>
      </c>
      <c r="EI93" s="742">
        <v>1.05624005098612E-212</v>
      </c>
      <c r="EJ93" s="742">
        <v>-2.6890319465796699E-89</v>
      </c>
      <c r="EK93" s="742">
        <v>-7.5753159998527897E-90</v>
      </c>
      <c r="EL93" s="742">
        <v>0.39482667138003402</v>
      </c>
      <c r="EM93" s="742">
        <v>1.44884381635331E-213</v>
      </c>
      <c r="EN93" s="742">
        <v>1.0181455413176701E-99</v>
      </c>
      <c r="EO93" s="742">
        <v>9.7363883874010208E-214</v>
      </c>
      <c r="EP93" s="742">
        <v>1.81209071137772E-213</v>
      </c>
      <c r="EQ93" s="742">
        <v>1.0283653873425E-99</v>
      </c>
      <c r="ER93" s="742">
        <v>1.21772054141421E-213</v>
      </c>
      <c r="ES93" s="742">
        <v>0.39483090666513998</v>
      </c>
      <c r="ET93" s="742">
        <v>1.64977834934757E-213</v>
      </c>
      <c r="EU93" s="742">
        <v>5.7334086610836205E-32</v>
      </c>
      <c r="EV93" s="742">
        <v>7.6457333951499104E-23</v>
      </c>
      <c r="EW93" s="742">
        <v>0.39483092544083298</v>
      </c>
      <c r="EX93" s="742">
        <v>1.6500265763519699E-213</v>
      </c>
      <c r="EY93" s="742">
        <v>1.04166775980314E-28</v>
      </c>
      <c r="EZ93" s="742">
        <v>1.28482600145475E-19</v>
      </c>
      <c r="FA93" s="742">
        <v>0.39483099222894402</v>
      </c>
      <c r="FB93" s="742">
        <v>1.6503043011686099E-213</v>
      </c>
      <c r="FC93" s="742">
        <v>1.0416549861523499E-28</v>
      </c>
      <c r="FD93" s="742">
        <v>1.28480460886396E-19</v>
      </c>
      <c r="FE93" s="742">
        <v>1.0642294637124501E-11</v>
      </c>
      <c r="FF93" s="742">
        <v>1.6696235907875101E-213</v>
      </c>
      <c r="FG93" s="742">
        <v>4.1963768037015899E-94</v>
      </c>
      <c r="FH93" s="742">
        <v>-7.4127208198638996E-90</v>
      </c>
    </row>
    <row r="94" spans="1:164" ht="12.75" customHeight="1" x14ac:dyDescent="0.2">
      <c r="A94" s="489"/>
      <c r="B94" s="489"/>
      <c r="C94" s="489"/>
      <c r="D94" s="489"/>
      <c r="E94" s="489"/>
      <c r="F94" s="744"/>
      <c r="G94" s="745"/>
      <c r="H94" s="506"/>
      <c r="I94" s="750">
        <v>6114400.1835718704</v>
      </c>
      <c r="J94" s="742">
        <v>0.37347735910037</v>
      </c>
      <c r="K94" s="742">
        <v>-1.05265213346249E-215</v>
      </c>
      <c r="L94" s="742">
        <v>-3.1008434622237201E-102</v>
      </c>
      <c r="M94" s="742">
        <v>-1.5645105986312201E-215</v>
      </c>
      <c r="N94" s="742">
        <v>-1.6769398153716001E-215</v>
      </c>
      <c r="O94" s="742">
        <v>-3.1591493467040301E-102</v>
      </c>
      <c r="P94" s="742">
        <v>-2.4923618587507602E-215</v>
      </c>
      <c r="Q94" s="742">
        <v>1.02358577472309E-16</v>
      </c>
      <c r="R94" s="742">
        <v>-1.1960648162854199E-215</v>
      </c>
      <c r="S94" s="742">
        <v>-1.1392677523013199E-101</v>
      </c>
      <c r="T94" s="742">
        <v>2.8923319377685199E-109</v>
      </c>
      <c r="U94" s="742">
        <v>5.8374209837688202E-18</v>
      </c>
      <c r="V94" s="742">
        <v>-1.24263029895872E-218</v>
      </c>
      <c r="W94" s="742">
        <v>2.2989613615908401E-92</v>
      </c>
      <c r="X94" s="742">
        <v>4.0900378209202897E-93</v>
      </c>
      <c r="Y94" s="742">
        <v>0.32012828903475299</v>
      </c>
      <c r="Z94" s="742">
        <v>-8.9380168765987395E-216</v>
      </c>
      <c r="AA94" s="742">
        <v>2.9917683275541801E-34</v>
      </c>
      <c r="AB94" s="742">
        <v>-9.1938898220260707E-31</v>
      </c>
      <c r="AC94" s="742">
        <v>4.8325899093128801E-19</v>
      </c>
      <c r="AD94" s="742">
        <v>-1.3344707071024401E-215</v>
      </c>
      <c r="AE94" s="742">
        <v>8.6463293287319503E-90</v>
      </c>
      <c r="AF94" s="742">
        <v>6.8667164451498104E-90</v>
      </c>
      <c r="AG94" s="742">
        <v>5.5852161774426496E-18</v>
      </c>
      <c r="AH94" s="742">
        <v>-1.3864246819084099E-218</v>
      </c>
      <c r="AI94" s="742">
        <v>1.1613274059393701E-89</v>
      </c>
      <c r="AJ94" s="742">
        <v>4.5351643327830904E-90</v>
      </c>
      <c r="AK94" s="742">
        <v>0.31900199831516501</v>
      </c>
      <c r="AL94" s="742">
        <v>-8.9952532055383294E-216</v>
      </c>
      <c r="AM94" s="742">
        <v>2.9940405633638798E-34</v>
      </c>
      <c r="AN94" s="742">
        <v>-9.1878556563931704E-31</v>
      </c>
      <c r="AO94" s="742">
        <v>2.56287306416132E-16</v>
      </c>
      <c r="AP94" s="742">
        <v>-1.3214766794918799E-215</v>
      </c>
      <c r="AQ94" s="742">
        <v>-4.54007223650931E-95</v>
      </c>
      <c r="AR94" s="742">
        <v>2.4400153605847202E-90</v>
      </c>
      <c r="AS94" s="742">
        <v>7.2589171408327106E-18</v>
      </c>
      <c r="AT94" s="742">
        <v>-1.31732760974831E-217</v>
      </c>
      <c r="AU94" s="742">
        <v>1.61581245542337E-91</v>
      </c>
      <c r="AV94" s="742">
        <v>2.3276192371427002E-90</v>
      </c>
      <c r="AW94" s="742">
        <v>2.56287306416132E-16</v>
      </c>
      <c r="AX94" s="742">
        <v>-1.32147668173496E-215</v>
      </c>
      <c r="AY94" s="742">
        <v>-4.5400722441985102E-95</v>
      </c>
      <c r="AZ94" s="742">
        <v>2.4400153614444299E-90</v>
      </c>
      <c r="BA94" s="742">
        <v>0.38663470986376602</v>
      </c>
      <c r="BB94" s="742">
        <v>-3.9596030329443298E-215</v>
      </c>
      <c r="BC94" s="742">
        <v>-1.5210717878074599E-101</v>
      </c>
      <c r="BD94" s="742">
        <v>-3.3508188266317899E-215</v>
      </c>
      <c r="BE94" s="742">
        <v>-6.3078917544286095E-215</v>
      </c>
      <c r="BF94" s="742">
        <v>-1.54967285746409E-101</v>
      </c>
      <c r="BG94" s="742">
        <v>-5.3380608249726403E-215</v>
      </c>
      <c r="BH94" s="742">
        <v>1.53287431951986E-15</v>
      </c>
      <c r="BI94" s="742">
        <v>-4.4098002311256498E-215</v>
      </c>
      <c r="BJ94" s="742">
        <v>-8.6062703478672803E-101</v>
      </c>
      <c r="BK94" s="742">
        <v>-4.5791697071946801E-110</v>
      </c>
      <c r="BL94" s="742">
        <v>3.3118584111585598E-15</v>
      </c>
      <c r="BM94" s="742">
        <v>-4.4097746334029003E-215</v>
      </c>
      <c r="BN94" s="742">
        <v>3.8196328257541902E-91</v>
      </c>
      <c r="BO94" s="742">
        <v>3.2151983307239301E-92</v>
      </c>
      <c r="BP94" s="742">
        <v>0.386879580060982</v>
      </c>
      <c r="BQ94" s="742">
        <v>-4.4271623586011301E-215</v>
      </c>
      <c r="BR94" s="742">
        <v>5.2485016527591599E-30</v>
      </c>
      <c r="BS94" s="742">
        <v>-3.6409928760366001E-26</v>
      </c>
      <c r="BT94" s="742">
        <v>1.51673967182462E-15</v>
      </c>
      <c r="BU94" s="742">
        <v>-4.4612433807409401E-215</v>
      </c>
      <c r="BV94" s="742">
        <v>1.67780610189818E-89</v>
      </c>
      <c r="BW94" s="742">
        <v>7.2056830277127403E-90</v>
      </c>
      <c r="BX94" s="742">
        <v>3.29818568253592E-15</v>
      </c>
      <c r="BY94" s="742">
        <v>-4.4612168123737097E-215</v>
      </c>
      <c r="BZ94" s="742">
        <v>1.4040263867312299E-88</v>
      </c>
      <c r="CA94" s="742">
        <v>5.7182639108120298E-90</v>
      </c>
      <c r="CB94" s="742">
        <v>0.386879528377431</v>
      </c>
      <c r="CC94" s="742">
        <v>-4.4279404138605501E-215</v>
      </c>
      <c r="CD94" s="742">
        <v>8.3587643059496996E-28</v>
      </c>
      <c r="CE94" s="742">
        <v>3.2197298815004902E-25</v>
      </c>
      <c r="CF94" s="742">
        <v>3.8986713139964802E-15</v>
      </c>
      <c r="CG94" s="742">
        <v>-4.9707997335760604E-215</v>
      </c>
      <c r="CH94" s="742">
        <v>-1.02296026334427E-94</v>
      </c>
      <c r="CI94" s="742">
        <v>2.4994850413440102E-90</v>
      </c>
      <c r="CJ94" s="742">
        <v>3.6348579975959302E-15</v>
      </c>
      <c r="CK94" s="742">
        <v>-4.9707997970194198E-215</v>
      </c>
      <c r="CL94" s="742">
        <v>4.4662729710867998E-91</v>
      </c>
      <c r="CM94" s="742">
        <v>2.49764473912849E-90</v>
      </c>
      <c r="CN94" s="742">
        <v>3.8986713139964802E-15</v>
      </c>
      <c r="CO94" s="742">
        <v>-4.9707998852153296E-215</v>
      </c>
      <c r="CP94" s="742">
        <v>-1.02296026248782E-94</v>
      </c>
      <c r="CQ94" s="742">
        <v>2.4994850421384798E-90</v>
      </c>
      <c r="CR94" s="742">
        <v>0.38693248382734802</v>
      </c>
      <c r="CS94" s="742">
        <v>-1.4766055871837501E-214</v>
      </c>
      <c r="CT94" s="742">
        <v>-1.37533847508317E-100</v>
      </c>
      <c r="CU94" s="742">
        <v>-1.15586969058362E-214</v>
      </c>
      <c r="CV94" s="742">
        <v>-2.3523237522020699E-214</v>
      </c>
      <c r="CW94" s="742">
        <v>-1.4011992847182399E-100</v>
      </c>
      <c r="CX94" s="742">
        <v>-1.8410232579313E-214</v>
      </c>
      <c r="CY94" s="742">
        <v>0.38693234975732599</v>
      </c>
      <c r="CZ94" s="742">
        <v>-1.89961440510345E-214</v>
      </c>
      <c r="DA94" s="742">
        <v>1.7765021352255098E-27</v>
      </c>
      <c r="DB94" s="742">
        <v>-2.97377187047248E-22</v>
      </c>
      <c r="DC94" s="742">
        <v>0.386932824841491</v>
      </c>
      <c r="DD94" s="742">
        <v>-1.89991364514454E-214</v>
      </c>
      <c r="DE94" s="742">
        <v>2.7636483774421602E-24</v>
      </c>
      <c r="DF94" s="742">
        <v>-4.5659848083546998E-19</v>
      </c>
      <c r="DG94" s="742">
        <v>0.38693289021817401</v>
      </c>
      <c r="DH94" s="742">
        <v>-1.9002475517548701E-214</v>
      </c>
      <c r="DI94" s="742">
        <v>2.7639087827389598E-24</v>
      </c>
      <c r="DJ94" s="742">
        <v>-4.5659552393583899E-19</v>
      </c>
      <c r="DK94" s="742">
        <v>1.60486300682746E-13</v>
      </c>
      <c r="DL94" s="742">
        <v>-1.9893225743823401E-214</v>
      </c>
      <c r="DM94" s="742">
        <v>-3.05664581376111E-94</v>
      </c>
      <c r="DN94" s="742">
        <v>2.5695010415916101E-90</v>
      </c>
      <c r="DO94" s="742">
        <v>0.38693248415190701</v>
      </c>
      <c r="DP94" s="742">
        <v>-7.2457518767941002E-214</v>
      </c>
      <c r="DQ94" s="742">
        <v>-6.08750624070218E-100</v>
      </c>
      <c r="DR94" s="742">
        <v>-1.2326788300285899E-212</v>
      </c>
      <c r="DS94" s="742">
        <v>-6.2960826891943194E-213</v>
      </c>
      <c r="DT94" s="742">
        <v>-6.4192353317666095E-100</v>
      </c>
      <c r="DU94" s="742">
        <v>1.34595159719861E-211</v>
      </c>
      <c r="DV94" s="742">
        <v>0.38693342664793001</v>
      </c>
      <c r="DW94" s="742">
        <v>-2.7873895388473801E-213</v>
      </c>
      <c r="DX94" s="742">
        <v>7.9950772547184104E-24</v>
      </c>
      <c r="DY94" s="742">
        <v>-1.0700191592896799E-17</v>
      </c>
      <c r="DZ94" s="742">
        <v>0.386933693101217</v>
      </c>
      <c r="EA94" s="742">
        <v>-2.7878052354251699E-213</v>
      </c>
      <c r="EB94" s="742">
        <v>1.05266009327228E-20</v>
      </c>
      <c r="EC94" s="742">
        <v>-1.3918112607626401E-14</v>
      </c>
      <c r="ED94" s="742">
        <v>0.38693375853897899</v>
      </c>
      <c r="EE94" s="742">
        <v>-2.7882677821716399E-213</v>
      </c>
      <c r="EF94" s="742">
        <v>9.8840500265655104E-14</v>
      </c>
      <c r="EG94" s="742">
        <v>-1.63363972462218E-8</v>
      </c>
      <c r="EH94" s="742">
        <v>4.64573671132104E-14</v>
      </c>
      <c r="EI94" s="742">
        <v>-3.7439313075593902E-213</v>
      </c>
      <c r="EJ94" s="742">
        <v>9.5314888928727696E-90</v>
      </c>
      <c r="EK94" s="742">
        <v>2.6851312191155102E-90</v>
      </c>
      <c r="EL94" s="742">
        <v>0.38693403346456101</v>
      </c>
      <c r="EM94" s="742">
        <v>-5.1355482604161098E-214</v>
      </c>
      <c r="EN94" s="742">
        <v>-3.6088992505533498E-100</v>
      </c>
      <c r="EO94" s="742">
        <v>-3.4511444146783799E-214</v>
      </c>
      <c r="EP94" s="742">
        <v>-6.4231073049373999E-214</v>
      </c>
      <c r="EQ94" s="742">
        <v>-3.6451243216884E-100</v>
      </c>
      <c r="ER94" s="742">
        <v>-4.3163124537830398E-214</v>
      </c>
      <c r="ES94" s="742">
        <v>0.38693818408576103</v>
      </c>
      <c r="ET94" s="742">
        <v>-5.8477775426405197E-214</v>
      </c>
      <c r="EU94" s="742">
        <v>-2.0329687184744001E-32</v>
      </c>
      <c r="EV94" s="742">
        <v>-2.7100859741450998E-23</v>
      </c>
      <c r="EW94" s="742">
        <v>0.38693820248612398</v>
      </c>
      <c r="EX94" s="742">
        <v>-5.8486574040492103E-214</v>
      </c>
      <c r="EY94" s="742">
        <v>-3.69357810296649E-29</v>
      </c>
      <c r="EZ94" s="742">
        <v>-4.55416243213674E-20</v>
      </c>
      <c r="FA94" s="742">
        <v>0.386938267939125</v>
      </c>
      <c r="FB94" s="742">
        <v>-5.8496418229238803E-214</v>
      </c>
      <c r="FC94" s="742">
        <v>-3.6935285615756199E-29</v>
      </c>
      <c r="FD94" s="742">
        <v>-4.55408106152137E-20</v>
      </c>
      <c r="FE94" s="742">
        <v>1.0429553745363001E-11</v>
      </c>
      <c r="FF94" s="742">
        <v>-5.9181206631371198E-214</v>
      </c>
      <c r="FG94" s="742">
        <v>-1.48743961008613E-94</v>
      </c>
      <c r="FH94" s="742">
        <v>2.6274980598024399E-90</v>
      </c>
    </row>
    <row r="95" spans="1:164" ht="12.75" customHeight="1" x14ac:dyDescent="0.2">
      <c r="A95" s="489"/>
      <c r="B95" s="489"/>
      <c r="C95" s="489"/>
      <c r="D95" s="489"/>
      <c r="E95" s="489"/>
      <c r="F95" s="744"/>
      <c r="G95" s="745"/>
      <c r="H95" s="506"/>
      <c r="I95" s="750">
        <v>6198159.0901961401</v>
      </c>
      <c r="J95" s="742">
        <v>0.36601149685405798</v>
      </c>
      <c r="K95" s="742">
        <v>-3.0378903765899102E-215</v>
      </c>
      <c r="L95" s="742">
        <v>-8.9488516294444598E-102</v>
      </c>
      <c r="M95" s="742">
        <v>-4.5150829419978499E-215</v>
      </c>
      <c r="N95" s="742">
        <v>-4.8395468600634697E-215</v>
      </c>
      <c r="O95" s="742">
        <v>-9.1171189785366094E-102</v>
      </c>
      <c r="P95" s="742">
        <v>-7.1928055479948996E-215</v>
      </c>
      <c r="Q95" s="742">
        <v>1.00312415849613E-16</v>
      </c>
      <c r="R95" s="742">
        <v>-3.4517707034132001E-215</v>
      </c>
      <c r="S95" s="742">
        <v>-3.28785964391914E-101</v>
      </c>
      <c r="T95" s="742">
        <v>8.3470987367565497E-109</v>
      </c>
      <c r="U95" s="742">
        <v>5.7207486374883802E-18</v>
      </c>
      <c r="V95" s="742">
        <v>-3.58615586941238E-218</v>
      </c>
      <c r="W95" s="742">
        <v>6.63466820771462E-92</v>
      </c>
      <c r="X95" s="742">
        <v>1.1803610826428499E-92</v>
      </c>
      <c r="Y95" s="742">
        <v>0.31372888181814101</v>
      </c>
      <c r="Z95" s="742">
        <v>-2.5794575997204998E-215</v>
      </c>
      <c r="AA95" s="742">
        <v>8.6340902668330397E-34</v>
      </c>
      <c r="AB95" s="742">
        <v>-2.6533095386821799E-30</v>
      </c>
      <c r="AC95" s="742">
        <v>4.7359857822142002E-19</v>
      </c>
      <c r="AD95" s="742">
        <v>-3.8512017313950202E-215</v>
      </c>
      <c r="AE95" s="742">
        <v>2.49528025672516E-89</v>
      </c>
      <c r="AF95" s="742">
        <v>1.98169434943624E-89</v>
      </c>
      <c r="AG95" s="742">
        <v>5.4735856884405701E-18</v>
      </c>
      <c r="AH95" s="742">
        <v>-4.00113775971039E-218</v>
      </c>
      <c r="AI95" s="742">
        <v>3.3515232207486801E-89</v>
      </c>
      <c r="AJ95" s="742">
        <v>1.3088219978410301E-89</v>
      </c>
      <c r="AK95" s="742">
        <v>0.31262510580033098</v>
      </c>
      <c r="AL95" s="742">
        <v>-2.5959756579993399E-215</v>
      </c>
      <c r="AM95" s="742">
        <v>8.6406555410029499E-34</v>
      </c>
      <c r="AN95" s="742">
        <v>-2.6515704879235602E-30</v>
      </c>
      <c r="AO95" s="742">
        <v>2.5116408896115299E-16</v>
      </c>
      <c r="AP95" s="742">
        <v>-3.8137017537895499E-215</v>
      </c>
      <c r="AQ95" s="742">
        <v>-1.3102382622271599E-94</v>
      </c>
      <c r="AR95" s="742">
        <v>7.0417421519223196E-90</v>
      </c>
      <c r="AS95" s="742">
        <v>7.1138473369006495E-18</v>
      </c>
      <c r="AT95" s="742">
        <v>-3.8017277895091803E-217</v>
      </c>
      <c r="AU95" s="742">
        <v>4.6631403670919897E-91</v>
      </c>
      <c r="AV95" s="742">
        <v>6.7173734890229597E-90</v>
      </c>
      <c r="AW95" s="742">
        <v>2.5116408896115299E-16</v>
      </c>
      <c r="AX95" s="742">
        <v>-3.81370176026289E-215</v>
      </c>
      <c r="AY95" s="742">
        <v>-1.3102382644462101E-94</v>
      </c>
      <c r="AZ95" s="742">
        <v>7.0417421544030798E-90</v>
      </c>
      <c r="BA95" s="742">
        <v>0.37890583041993697</v>
      </c>
      <c r="BB95" s="742">
        <v>-1.14271748154172E-214</v>
      </c>
      <c r="BC95" s="742">
        <v>-4.3897236067054598E-101</v>
      </c>
      <c r="BD95" s="742">
        <v>-9.6702604246254006E-215</v>
      </c>
      <c r="BE95" s="742">
        <v>-1.8204194005020401E-214</v>
      </c>
      <c r="BF95" s="742">
        <v>-4.4722646094741698E-101</v>
      </c>
      <c r="BG95" s="742">
        <v>-1.5405320612891901E-214</v>
      </c>
      <c r="BH95" s="742">
        <v>1.50223195739306E-15</v>
      </c>
      <c r="BI95" s="742">
        <v>-1.2726416694522001E-214</v>
      </c>
      <c r="BJ95" s="742">
        <v>-2.4837189417723101E-100</v>
      </c>
      <c r="BK95" s="742">
        <v>-1.3215212754991599E-109</v>
      </c>
      <c r="BL95" s="742">
        <v>3.2456539406388399E-15</v>
      </c>
      <c r="BM95" s="742">
        <v>-1.27263428210425E-214</v>
      </c>
      <c r="BN95" s="742">
        <v>1.1023237306298099E-90</v>
      </c>
      <c r="BO95" s="742">
        <v>9.2788749018737895E-92</v>
      </c>
      <c r="BP95" s="742">
        <v>0.37914580562926897</v>
      </c>
      <c r="BQ95" s="742">
        <v>-1.2776522744087201E-214</v>
      </c>
      <c r="BR95" s="742">
        <v>1.5146902658427201E-29</v>
      </c>
      <c r="BS95" s="742">
        <v>-1.0507715979868901E-25</v>
      </c>
      <c r="BT95" s="742">
        <v>1.48641984390522E-15</v>
      </c>
      <c r="BU95" s="742">
        <v>-1.28748785122384E-214</v>
      </c>
      <c r="BV95" s="742">
        <v>4.8420506339472699E-89</v>
      </c>
      <c r="BW95" s="742">
        <v>2.0795181298296499E-89</v>
      </c>
      <c r="BX95" s="742">
        <v>3.2322545323227299E-15</v>
      </c>
      <c r="BY95" s="742">
        <v>-1.28748018375376E-214</v>
      </c>
      <c r="BZ95" s="742">
        <v>4.0519382572484998E-88</v>
      </c>
      <c r="CA95" s="742">
        <v>1.6502576147277901E-89</v>
      </c>
      <c r="CB95" s="742">
        <v>0.37914575497888198</v>
      </c>
      <c r="CC95" s="742">
        <v>-1.27787681644973E-214</v>
      </c>
      <c r="CD95" s="742">
        <v>2.4122906983569401E-27</v>
      </c>
      <c r="CE95" s="742">
        <v>9.2919495613063795E-25</v>
      </c>
      <c r="CF95" s="742">
        <v>3.8207363541796704E-15</v>
      </c>
      <c r="CG95" s="742">
        <v>-1.4345427320718801E-214</v>
      </c>
      <c r="CH95" s="742">
        <v>-2.9522034186887502E-94</v>
      </c>
      <c r="CI95" s="742">
        <v>7.2133681853188098E-90</v>
      </c>
      <c r="CJ95" s="742">
        <v>3.5621967381456499E-15</v>
      </c>
      <c r="CK95" s="742">
        <v>-1.43454275038135E-214</v>
      </c>
      <c r="CL95" s="742">
        <v>1.28894029205085E-90</v>
      </c>
      <c r="CM95" s="742">
        <v>7.2080571804409701E-90</v>
      </c>
      <c r="CN95" s="742">
        <v>3.8207363541796798E-15</v>
      </c>
      <c r="CO95" s="742">
        <v>-1.4345427758340599E-214</v>
      </c>
      <c r="CP95" s="742">
        <v>-2.9522034162172898E-94</v>
      </c>
      <c r="CQ95" s="742">
        <v>7.2133681876112699E-90</v>
      </c>
      <c r="CR95" s="742">
        <v>0.37919765184224702</v>
      </c>
      <c r="CS95" s="742">
        <v>-4.2613943968070601E-214</v>
      </c>
      <c r="CT95" s="742">
        <v>-3.9691458481297898E-100</v>
      </c>
      <c r="CU95" s="742">
        <v>-3.3357700022864401E-214</v>
      </c>
      <c r="CV95" s="742">
        <v>-6.7886640441526703E-214</v>
      </c>
      <c r="CW95" s="742">
        <v>-4.0437786218450199E-100</v>
      </c>
      <c r="CX95" s="742">
        <v>-5.3130817490498198E-214</v>
      </c>
      <c r="CY95" s="742">
        <v>0.37919752045234301</v>
      </c>
      <c r="CZ95" s="742">
        <v>-5.4821722552472102E-214</v>
      </c>
      <c r="DA95" s="742">
        <v>5.12688999352658E-27</v>
      </c>
      <c r="DB95" s="742">
        <v>-8.5821463046958601E-22</v>
      </c>
      <c r="DC95" s="742">
        <v>0.37919798603951099</v>
      </c>
      <c r="DD95" s="742">
        <v>-5.4830358439035799E-214</v>
      </c>
      <c r="DE95" s="742">
        <v>7.9757374901189901E-24</v>
      </c>
      <c r="DF95" s="742">
        <v>-1.31771814810695E-18</v>
      </c>
      <c r="DG95" s="742">
        <v>0.37919805010930602</v>
      </c>
      <c r="DH95" s="742">
        <v>-5.4839994781814402E-214</v>
      </c>
      <c r="DI95" s="742">
        <v>7.9764960845541198E-24</v>
      </c>
      <c r="DJ95" s="742">
        <v>-1.31771078441748E-18</v>
      </c>
      <c r="DK95" s="742">
        <v>1.5727815811633899E-13</v>
      </c>
      <c r="DL95" s="742">
        <v>-5.7410646048563802E-214</v>
      </c>
      <c r="DM95" s="742">
        <v>-8.8213008309897995E-94</v>
      </c>
      <c r="DN95" s="742">
        <v>7.4154302822286403E-90</v>
      </c>
      <c r="DO95" s="742">
        <v>0.37919765216031698</v>
      </c>
      <c r="DP95" s="742">
        <v>-2.0910801581967E-213</v>
      </c>
      <c r="DQ95" s="742">
        <v>-1.7568184529474201E-99</v>
      </c>
      <c r="DR95" s="742">
        <v>-3.5574365330160598E-212</v>
      </c>
      <c r="DS95" s="742">
        <v>-1.8170113840247299E-212</v>
      </c>
      <c r="DT95" s="742">
        <v>-1.8525535151416601E-99</v>
      </c>
      <c r="DU95" s="742">
        <v>3.8843348800283302E-211</v>
      </c>
      <c r="DV95" s="742">
        <v>0.379198575815757</v>
      </c>
      <c r="DW95" s="742">
        <v>-8.0442376157113402E-213</v>
      </c>
      <c r="DX95" s="742">
        <v>2.3073352316370201E-23</v>
      </c>
      <c r="DY95" s="742">
        <v>-3.08801631815958E-17</v>
      </c>
      <c r="DZ95" s="742">
        <v>0.37919883694260698</v>
      </c>
      <c r="EA95" s="742">
        <v>-8.0454372908920804E-213</v>
      </c>
      <c r="EB95" s="742">
        <v>3.0379175952897199E-20</v>
      </c>
      <c r="EC95" s="742">
        <v>-4.0166887161386098E-14</v>
      </c>
      <c r="ED95" s="742">
        <v>0.379198901072265</v>
      </c>
      <c r="EE95" s="742">
        <v>-8.0467721728266698E-213</v>
      </c>
      <c r="EF95" s="742">
        <v>2.85247949121784E-13</v>
      </c>
      <c r="EG95" s="742">
        <v>-4.7145894628761798E-8</v>
      </c>
      <c r="EH95" s="742">
        <v>4.5528682537036903E-14</v>
      </c>
      <c r="EI95" s="742">
        <v>-1.08047593081307E-212</v>
      </c>
      <c r="EJ95" s="742">
        <v>2.7507320485996701E-89</v>
      </c>
      <c r="EK95" s="742">
        <v>7.7491322368383497E-90</v>
      </c>
      <c r="EL95" s="742">
        <v>0.37919917050200802</v>
      </c>
      <c r="EM95" s="742">
        <v>-1.4820881602653701E-213</v>
      </c>
      <c r="EN95" s="742">
        <v>-1.04150707161645E-99</v>
      </c>
      <c r="EO95" s="742">
        <v>-9.9597940025159603E-214</v>
      </c>
      <c r="EP95" s="742">
        <v>-1.85366991137769E-213</v>
      </c>
      <c r="EQ95" s="742">
        <v>-1.0519614138236499E-99</v>
      </c>
      <c r="ER95" s="742">
        <v>-1.24566166247145E-213</v>
      </c>
      <c r="ES95" s="742">
        <v>0.37920323815174101</v>
      </c>
      <c r="ET95" s="742">
        <v>-1.6876332224576299E-213</v>
      </c>
      <c r="EU95" s="742">
        <v>-5.8655220475805505E-32</v>
      </c>
      <c r="EV95" s="742">
        <v>-7.82116158377313E-23</v>
      </c>
      <c r="EW95" s="742">
        <v>0.37920325618427903</v>
      </c>
      <c r="EX95" s="742">
        <v>-1.6878871451372799E-213</v>
      </c>
      <c r="EY95" s="742">
        <v>-1.0656708250918499E-28</v>
      </c>
      <c r="EZ95" s="742">
        <v>-1.31430603264355E-19</v>
      </c>
      <c r="FA95" s="742">
        <v>0.379203320328861</v>
      </c>
      <c r="FB95" s="742">
        <v>-1.6881712424691499E-213</v>
      </c>
      <c r="FC95" s="742">
        <v>-1.0656573882534301E-28</v>
      </c>
      <c r="FD95" s="742">
        <v>-1.31428371620317E-19</v>
      </c>
      <c r="FE95" s="742">
        <v>1.0221065574243299E-11</v>
      </c>
      <c r="FF95" s="742">
        <v>-1.7079338214895901E-213</v>
      </c>
      <c r="FG95" s="742">
        <v>-4.2926633251682402E-94</v>
      </c>
      <c r="FH95" s="742">
        <v>7.5828062973223498E-90</v>
      </c>
    </row>
    <row r="96" spans="1:164" ht="12.75" customHeight="1" x14ac:dyDescent="0.2">
      <c r="A96" s="489"/>
      <c r="B96" s="489"/>
      <c r="C96" s="489"/>
      <c r="D96" s="489"/>
      <c r="E96" s="489"/>
      <c r="F96" s="744"/>
      <c r="G96" s="745"/>
      <c r="H96" s="506"/>
      <c r="I96" s="750">
        <v>6281917.99682042</v>
      </c>
      <c r="J96" s="742">
        <v>0.35869487837088798</v>
      </c>
      <c r="K96" s="742">
        <v>2.9348543309535801E-215</v>
      </c>
      <c r="L96" s="742">
        <v>8.6453276456155606E-102</v>
      </c>
      <c r="M96" s="742">
        <v>4.3619449961235199E-215</v>
      </c>
      <c r="N96" s="742">
        <v>4.6754040802664704E-215</v>
      </c>
      <c r="O96" s="742">
        <v>8.8078877622873099E-102</v>
      </c>
      <c r="P96" s="742">
        <v>6.9488473570063499E-215</v>
      </c>
      <c r="Q96" s="742">
        <v>9.8307157320291503E-17</v>
      </c>
      <c r="R96" s="742">
        <v>3.33469708993995E-215</v>
      </c>
      <c r="S96" s="742">
        <v>3.1763431836271397E-101</v>
      </c>
      <c r="T96" s="742">
        <v>-8.0639858970354802E-109</v>
      </c>
      <c r="U96" s="742">
        <v>5.6063356870795304E-18</v>
      </c>
      <c r="V96" s="742">
        <v>3.4645243179029502E-218</v>
      </c>
      <c r="W96" s="742">
        <v>-6.4096345495624298E-92</v>
      </c>
      <c r="X96" s="742">
        <v>-1.1403257072566701E-92</v>
      </c>
      <c r="Y96" s="742">
        <v>0.307457399760387</v>
      </c>
      <c r="Z96" s="742">
        <v>2.4919702061627798E-215</v>
      </c>
      <c r="AA96" s="742">
        <v>-8.3412159232847492E-34</v>
      </c>
      <c r="AB96" s="742">
        <v>2.5633074433405399E-30</v>
      </c>
      <c r="AC96" s="742">
        <v>4.6413128260518098E-19</v>
      </c>
      <c r="AD96" s="742">
        <v>3.7205806265625098E-215</v>
      </c>
      <c r="AE96" s="742">
        <v>-2.41064558431253E-89</v>
      </c>
      <c r="AF96" s="742">
        <v>-1.9144794337430701E-89</v>
      </c>
      <c r="AG96" s="742">
        <v>5.3641128232465703E-18</v>
      </c>
      <c r="AH96" s="742">
        <v>3.8654312786654901E-218</v>
      </c>
      <c r="AI96" s="742">
        <v>-3.2378465769507201E-89</v>
      </c>
      <c r="AJ96" s="742">
        <v>-1.26442950019379E-89</v>
      </c>
      <c r="AK96" s="742">
        <v>0.30637568837192197</v>
      </c>
      <c r="AL96" s="742">
        <v>2.5079280219061602E-215</v>
      </c>
      <c r="AM96" s="742">
        <v>-8.34754959490397E-34</v>
      </c>
      <c r="AN96" s="742">
        <v>2.5616246386146101E-30</v>
      </c>
      <c r="AO96" s="742">
        <v>2.4614328543068201E-16</v>
      </c>
      <c r="AP96" s="742">
        <v>3.68435253468192E-215</v>
      </c>
      <c r="AQ96" s="742">
        <v>1.2657978826115001E-94</v>
      </c>
      <c r="AR96" s="742">
        <v>-6.8029010087676096E-90</v>
      </c>
      <c r="AS96" s="742">
        <v>6.9715318454233697E-18</v>
      </c>
      <c r="AT96" s="742">
        <v>3.6727846910237598E-217</v>
      </c>
      <c r="AU96" s="742">
        <v>-4.5049766877028699E-91</v>
      </c>
      <c r="AV96" s="742">
        <v>-6.4895342513520397E-90</v>
      </c>
      <c r="AW96" s="742">
        <v>2.4614328543068201E-16</v>
      </c>
      <c r="AX96" s="742">
        <v>3.6843525409357401E-215</v>
      </c>
      <c r="AY96" s="742">
        <v>1.26579788475529E-94</v>
      </c>
      <c r="AZ96" s="742">
        <v>-6.80290101116445E-90</v>
      </c>
      <c r="BA96" s="742">
        <v>0.37133145249449101</v>
      </c>
      <c r="BB96" s="742">
        <v>1.1039599636652099E-214</v>
      </c>
      <c r="BC96" s="742">
        <v>4.2408345143185702E-101</v>
      </c>
      <c r="BD96" s="742">
        <v>9.3422744636761003E-215</v>
      </c>
      <c r="BE96" s="742">
        <v>1.75867628499239E-214</v>
      </c>
      <c r="BF96" s="742">
        <v>4.3205759205549799E-101</v>
      </c>
      <c r="BG96" s="742">
        <v>1.4882818770843599E-214</v>
      </c>
      <c r="BH96" s="742">
        <v>1.47220214063288E-15</v>
      </c>
      <c r="BI96" s="742">
        <v>1.2294775164126499E-214</v>
      </c>
      <c r="BJ96" s="742">
        <v>2.3994770413435599E-100</v>
      </c>
      <c r="BK96" s="742">
        <v>1.2766985489853901E-109</v>
      </c>
      <c r="BL96" s="742">
        <v>3.1807728248185901E-15</v>
      </c>
      <c r="BM96" s="742">
        <v>1.2294703796211901E-214</v>
      </c>
      <c r="BN96" s="742">
        <v>-1.0649352744129601E-90</v>
      </c>
      <c r="BO96" s="742">
        <v>-8.9641550619283696E-92</v>
      </c>
      <c r="BP96" s="742">
        <v>0.37156663056737699</v>
      </c>
      <c r="BQ96" s="742">
        <v>1.23431817681659E-214</v>
      </c>
      <c r="BR96" s="742">
        <v>-1.4633114359686201E-29</v>
      </c>
      <c r="BS96" s="742">
        <v>1.01512905327713E-25</v>
      </c>
      <c r="BT96" s="742">
        <v>1.4567061120794601E-15</v>
      </c>
      <c r="BU96" s="742">
        <v>1.24382016063924E-214</v>
      </c>
      <c r="BV96" s="742">
        <v>-4.6778184326338103E-89</v>
      </c>
      <c r="BW96" s="742">
        <v>-2.0089852366502499E-89</v>
      </c>
      <c r="BX96" s="742">
        <v>3.1676412705804499E-15</v>
      </c>
      <c r="BY96" s="742">
        <v>1.2438127532265501E-214</v>
      </c>
      <c r="BZ96" s="742">
        <v>-3.9145050994088898E-88</v>
      </c>
      <c r="CA96" s="742">
        <v>-1.5942843693641101E-89</v>
      </c>
      <c r="CB96" s="742">
        <v>0.37156658092949002</v>
      </c>
      <c r="CC96" s="742">
        <v>1.2345351030712599E-214</v>
      </c>
      <c r="CD96" s="742">
        <v>-2.3304708219108899E-27</v>
      </c>
      <c r="CE96" s="742">
        <v>-8.9767898292728904E-25</v>
      </c>
      <c r="CF96" s="742">
        <v>3.7443593264946903E-15</v>
      </c>
      <c r="CG96" s="742">
        <v>1.38588738507585E-214</v>
      </c>
      <c r="CH96" s="742">
        <v>2.8520712179954499E-94</v>
      </c>
      <c r="CI96" s="742">
        <v>-6.9687058466237996E-90</v>
      </c>
      <c r="CJ96" s="742">
        <v>3.4909878428752098E-15</v>
      </c>
      <c r="CK96" s="742">
        <v>1.38588740276425E-214</v>
      </c>
      <c r="CL96" s="742">
        <v>-1.2452222130192601E-90</v>
      </c>
      <c r="CM96" s="742">
        <v>-6.96357497980663E-90</v>
      </c>
      <c r="CN96" s="742">
        <v>3.7443593264946903E-15</v>
      </c>
      <c r="CO96" s="742">
        <v>1.3858874273537501E-214</v>
      </c>
      <c r="CP96" s="742">
        <v>2.8520712156076701E-94</v>
      </c>
      <c r="CQ96" s="742">
        <v>-6.9687058488387397E-90</v>
      </c>
      <c r="CR96" s="742">
        <v>0.37161744036778499</v>
      </c>
      <c r="CS96" s="742">
        <v>4.1168607984498903E-214</v>
      </c>
      <c r="CT96" s="742">
        <v>3.8345217633748001E-100</v>
      </c>
      <c r="CU96" s="742">
        <v>3.2226307814160699E-214</v>
      </c>
      <c r="CV96" s="742">
        <v>6.5584131096058001E-214</v>
      </c>
      <c r="CW96" s="742">
        <v>3.9066231690729801E-100</v>
      </c>
      <c r="CX96" s="742">
        <v>5.1328780991883004E-214</v>
      </c>
      <c r="CY96" s="742">
        <v>0.37161731160425698</v>
      </c>
      <c r="CZ96" s="742">
        <v>5.2962335673242398E-214</v>
      </c>
      <c r="DA96" s="742">
        <v>-4.9529872164799299E-27</v>
      </c>
      <c r="DB96" s="742">
        <v>8.2910421380774904E-22</v>
      </c>
      <c r="DC96" s="742">
        <v>0.37161776788427398</v>
      </c>
      <c r="DD96" s="742">
        <v>5.2970678656672601E-214</v>
      </c>
      <c r="DE96" s="742">
        <v>-7.7052067877493693E-24</v>
      </c>
      <c r="DF96" s="742">
        <v>1.27302219142989E-18</v>
      </c>
      <c r="DG96" s="742">
        <v>0.371617830673309</v>
      </c>
      <c r="DH96" s="742">
        <v>5.2979988163872203E-214</v>
      </c>
      <c r="DI96" s="742">
        <v>-7.7059314833724305E-24</v>
      </c>
      <c r="DJ96" s="742">
        <v>1.27301372784832E-18</v>
      </c>
      <c r="DK96" s="742">
        <v>1.5413414682554801E-13</v>
      </c>
      <c r="DL96" s="742">
        <v>5.5463450721229803E-214</v>
      </c>
      <c r="DM96" s="742">
        <v>8.5221018463942E-94</v>
      </c>
      <c r="DN96" s="742">
        <v>-7.1639144204747403E-90</v>
      </c>
      <c r="DO96" s="742">
        <v>0.37161744067949698</v>
      </c>
      <c r="DP96" s="742">
        <v>2.0201570490980401E-213</v>
      </c>
      <c r="DQ96" s="742">
        <v>1.6972313061510699E-99</v>
      </c>
      <c r="DR96" s="742">
        <v>3.4367790533508E-212</v>
      </c>
      <c r="DS96" s="742">
        <v>1.7553838480704399E-212</v>
      </c>
      <c r="DT96" s="742">
        <v>1.7897192603729701E-99</v>
      </c>
      <c r="DU96" s="742">
        <v>-3.7525900059140898E-211</v>
      </c>
      <c r="DV96" s="742">
        <v>0.371618345870809</v>
      </c>
      <c r="DW96" s="742">
        <v>7.7714013891402806E-213</v>
      </c>
      <c r="DX96" s="742">
        <v>-2.2290724434470899E-23</v>
      </c>
      <c r="DY96" s="742">
        <v>2.98327351488704E-17</v>
      </c>
      <c r="DZ96" s="742">
        <v>0.37161860177770001</v>
      </c>
      <c r="EA96" s="742">
        <v>7.7725603749643897E-213</v>
      </c>
      <c r="EB96" s="742">
        <v>-2.93487572967323E-20</v>
      </c>
      <c r="EC96" s="742">
        <v>3.8804483190838501E-14</v>
      </c>
      <c r="ED96" s="742">
        <v>0.37161866462538201</v>
      </c>
      <c r="EE96" s="742">
        <v>7.7738499817372894E-213</v>
      </c>
      <c r="EF96" s="742">
        <v>-2.75572920139611E-13</v>
      </c>
      <c r="EG96" s="742">
        <v>4.5546801985167799E-8</v>
      </c>
      <c r="EH96" s="742">
        <v>4.4618545186506503E-14</v>
      </c>
      <c r="EI96" s="742">
        <v>1.04382945248238E-212</v>
      </c>
      <c r="EJ96" s="742">
        <v>-2.65743310804337E-89</v>
      </c>
      <c r="EK96" s="742">
        <v>-7.4862979038037098E-90</v>
      </c>
      <c r="EL96" s="742">
        <v>0.371618928669329</v>
      </c>
      <c r="EM96" s="742">
        <v>1.43182021626897E-213</v>
      </c>
      <c r="EN96" s="742">
        <v>1.0061816032040501E-99</v>
      </c>
      <c r="EO96" s="742">
        <v>9.6219879390192399E-214</v>
      </c>
      <c r="EP96" s="742">
        <v>1.7907990391913801E-213</v>
      </c>
      <c r="EQ96" s="742">
        <v>1.01628135873065E-99</v>
      </c>
      <c r="ER96" s="742">
        <v>1.20341258959483E-213</v>
      </c>
      <c r="ES96" s="742">
        <v>0.37162291500619099</v>
      </c>
      <c r="ET96" s="742">
        <v>1.6303938121531399E-213</v>
      </c>
      <c r="EU96" s="742">
        <v>5.66831525034178E-32</v>
      </c>
      <c r="EV96" s="742">
        <v>7.5558713794314802E-23</v>
      </c>
      <c r="EW96" s="742">
        <v>0.37162293267825702</v>
      </c>
      <c r="EX96" s="742">
        <v>1.6306391225442401E-213</v>
      </c>
      <c r="EY96" s="742">
        <v>1.02984207621577E-28</v>
      </c>
      <c r="EZ96" s="742">
        <v>1.2697260922402899E-19</v>
      </c>
      <c r="FA96" s="742">
        <v>0.37162299554059097</v>
      </c>
      <c r="FB96" s="742">
        <v>1.63091358415465E-213</v>
      </c>
      <c r="FC96" s="742">
        <v>1.0298280628660299E-28</v>
      </c>
      <c r="FD96" s="742">
        <v>1.2697031866211301E-19</v>
      </c>
      <c r="FE96" s="742">
        <v>1.00167451145286E-11</v>
      </c>
      <c r="FF96" s="742">
        <v>1.6500058763174999E-213</v>
      </c>
      <c r="FG96" s="742">
        <v>4.1470660438930398E-94</v>
      </c>
      <c r="FH96" s="742">
        <v>-7.3256133917458602E-90</v>
      </c>
    </row>
    <row r="97" spans="1:164" ht="12.75" customHeight="1" x14ac:dyDescent="0.2">
      <c r="A97" s="489"/>
      <c r="B97" s="489"/>
      <c r="C97" s="489"/>
      <c r="D97" s="489"/>
      <c r="E97" s="489"/>
      <c r="F97" s="744"/>
      <c r="G97" s="745"/>
      <c r="H97" s="506"/>
      <c r="I97" s="750">
        <v>6365676.9034446897</v>
      </c>
      <c r="J97" s="742">
        <v>0.35152452019826103</v>
      </c>
      <c r="K97" s="742">
        <v>-2.10387016108085E-215</v>
      </c>
      <c r="L97" s="742">
        <v>-6.1974472601903E-102</v>
      </c>
      <c r="M97" s="742">
        <v>-3.1268897487796003E-215</v>
      </c>
      <c r="N97" s="742">
        <v>-3.3515950116243998E-215</v>
      </c>
      <c r="O97" s="742">
        <v>-6.31397930975284E-102</v>
      </c>
      <c r="P97" s="742">
        <v>-4.9813281886331598E-215</v>
      </c>
      <c r="Q97" s="742">
        <v>9.6341984212381604E-17</v>
      </c>
      <c r="R97" s="742">
        <v>-2.3905001450236498E-215</v>
      </c>
      <c r="S97" s="742">
        <v>-2.2769778275294499E-101</v>
      </c>
      <c r="T97" s="742">
        <v>5.7807120735254698E-109</v>
      </c>
      <c r="U97" s="742">
        <v>5.4943100970108098E-18</v>
      </c>
      <c r="V97" s="742">
        <v>-2.48356767076977E-218</v>
      </c>
      <c r="W97" s="742">
        <v>4.5947760995098602E-92</v>
      </c>
      <c r="X97" s="742">
        <v>8.1744758013073808E-93</v>
      </c>
      <c r="Y97" s="742">
        <v>0.30131128557808101</v>
      </c>
      <c r="Z97" s="742">
        <v>-1.78638568318478E-215</v>
      </c>
      <c r="AA97" s="742">
        <v>5.97938576468813E-34</v>
      </c>
      <c r="AB97" s="742">
        <v>-1.8375023908951601E-30</v>
      </c>
      <c r="AC97" s="742">
        <v>4.5485323426963398E-19</v>
      </c>
      <c r="AD97" s="742">
        <v>-2.6671233660776102E-215</v>
      </c>
      <c r="AE97" s="742">
        <v>1.7280820784099402E-89</v>
      </c>
      <c r="AF97" s="742">
        <v>1.3724031522781E-89</v>
      </c>
      <c r="AG97" s="742">
        <v>5.2569299189099401E-18</v>
      </c>
      <c r="AH97" s="742">
        <v>-2.7709605349477299E-218</v>
      </c>
      <c r="AI97" s="742">
        <v>2.3210647986651499E-89</v>
      </c>
      <c r="AJ97" s="742">
        <v>9.0641194565630106E-90</v>
      </c>
      <c r="AK97" s="742">
        <v>0.30025119774367798</v>
      </c>
      <c r="AL97" s="742">
        <v>-1.7978251512443901E-215</v>
      </c>
      <c r="AM97" s="742">
        <v>5.98390630349551E-34</v>
      </c>
      <c r="AN97" s="742">
        <v>-1.8362899925467099E-30</v>
      </c>
      <c r="AO97" s="742">
        <v>2.4122284852245399E-16</v>
      </c>
      <c r="AP97" s="742">
        <v>-2.6411530135811999E-215</v>
      </c>
      <c r="AQ97" s="742">
        <v>-9.0739324359093506E-95</v>
      </c>
      <c r="AR97" s="742">
        <v>4.8766899951057202E-90</v>
      </c>
      <c r="AS97" s="742">
        <v>6.8322615127120403E-18</v>
      </c>
      <c r="AT97" s="742">
        <v>-2.63286052667859E-217</v>
      </c>
      <c r="AU97" s="742">
        <v>3.2294133235683701E-91</v>
      </c>
      <c r="AV97" s="742">
        <v>4.6520516341750903E-90</v>
      </c>
      <c r="AW97" s="742">
        <v>2.4122284852245498E-16</v>
      </c>
      <c r="AX97" s="742">
        <v>-2.64115301806426E-215</v>
      </c>
      <c r="AY97" s="742">
        <v>-9.0739324512772604E-95</v>
      </c>
      <c r="AZ97" s="742">
        <v>4.8766899968238996E-90</v>
      </c>
      <c r="BA97" s="742">
        <v>0.36390848752983801</v>
      </c>
      <c r="BB97" s="742">
        <v>-7.9138116058675298E-215</v>
      </c>
      <c r="BC97" s="742">
        <v>-3.0400638725373199E-101</v>
      </c>
      <c r="BD97" s="742">
        <v>-6.6970725849855802E-215</v>
      </c>
      <c r="BE97" s="742">
        <v>-1.26071898014569E-214</v>
      </c>
      <c r="BF97" s="742">
        <v>-3.0972269067057699E-101</v>
      </c>
      <c r="BG97" s="742">
        <v>-1.0668849214938E-214</v>
      </c>
      <c r="BH97" s="742">
        <v>1.44277262484184E-15</v>
      </c>
      <c r="BI97" s="742">
        <v>-8.8135926652955098E-215</v>
      </c>
      <c r="BJ97" s="742">
        <v>-1.7200773672592599E-100</v>
      </c>
      <c r="BK97" s="742">
        <v>-9.1520826312592104E-110</v>
      </c>
      <c r="BL97" s="742">
        <v>3.11718880657096E-15</v>
      </c>
      <c r="BM97" s="742">
        <v>-8.8135415047235897E-215</v>
      </c>
      <c r="BN97" s="742">
        <v>7.6340374332139305E-91</v>
      </c>
      <c r="BO97" s="742">
        <v>6.4259950022907698E-92</v>
      </c>
      <c r="BP97" s="742">
        <v>0.36413896436196103</v>
      </c>
      <c r="BQ97" s="742">
        <v>-8.8482932665362098E-215</v>
      </c>
      <c r="BR97" s="742">
        <v>1.04897334034632E-29</v>
      </c>
      <c r="BS97" s="742">
        <v>-7.2769424697279699E-26</v>
      </c>
      <c r="BT97" s="742">
        <v>1.42758636506162E-15</v>
      </c>
      <c r="BU97" s="742">
        <v>-8.9164088797190701E-215</v>
      </c>
      <c r="BV97" s="742">
        <v>3.3533150835329399E-89</v>
      </c>
      <c r="BW97" s="742">
        <v>1.44015006004866E-89</v>
      </c>
      <c r="BX97" s="742">
        <v>3.1043197554215499E-15</v>
      </c>
      <c r="BY97" s="742">
        <v>-8.9163557791804996E-215</v>
      </c>
      <c r="BZ97" s="742">
        <v>2.8061307144557801E-88</v>
      </c>
      <c r="CA97" s="742">
        <v>1.1428699616560701E-89</v>
      </c>
      <c r="CB97" s="742">
        <v>0.36413891571634799</v>
      </c>
      <c r="CC97" s="742">
        <v>-8.84984831705283E-215</v>
      </c>
      <c r="CD97" s="742">
        <v>1.6706083631847299E-27</v>
      </c>
      <c r="CE97" s="742">
        <v>6.4350600779133399E-25</v>
      </c>
      <c r="CF97" s="742">
        <v>3.66950908714928E-15</v>
      </c>
      <c r="CG97" s="742">
        <v>-9.9348273790884306E-215</v>
      </c>
      <c r="CH97" s="742">
        <v>-2.0445208425450701E-94</v>
      </c>
      <c r="CI97" s="742">
        <v>4.9955479342219103E-90</v>
      </c>
      <c r="CJ97" s="742">
        <v>3.4212026247134999E-15</v>
      </c>
      <c r="CK97" s="742">
        <v>-9.934827505888941E-215</v>
      </c>
      <c r="CL97" s="742">
        <v>8.9264328858896697E-91</v>
      </c>
      <c r="CM97" s="742">
        <v>4.9918698491746104E-90</v>
      </c>
      <c r="CN97" s="742">
        <v>3.66950908714928E-15</v>
      </c>
      <c r="CO97" s="742">
        <v>-9.9348276821604605E-215</v>
      </c>
      <c r="CP97" s="742">
        <v>-2.0445208408333801E-94</v>
      </c>
      <c r="CQ97" s="742">
        <v>4.9955479358096801E-90</v>
      </c>
      <c r="CR97" s="742">
        <v>0.364188758467619</v>
      </c>
      <c r="CS97" s="742">
        <v>-2.9511994853822898E-214</v>
      </c>
      <c r="CT97" s="742">
        <v>-2.7487965026541599E-100</v>
      </c>
      <c r="CU97" s="742">
        <v>-2.3101646543210998E-214</v>
      </c>
      <c r="CV97" s="742">
        <v>-4.7014427598039496E-214</v>
      </c>
      <c r="CW97" s="742">
        <v>-2.8004827634318802E-100</v>
      </c>
      <c r="CX97" s="742">
        <v>-3.6795383535893698E-214</v>
      </c>
      <c r="CY97" s="742">
        <v>0.36418863227819998</v>
      </c>
      <c r="CZ97" s="742">
        <v>-3.7966408250278497E-214</v>
      </c>
      <c r="DA97" s="742">
        <v>3.5505509128516301E-27</v>
      </c>
      <c r="DB97" s="742">
        <v>-5.9434369657775702E-22</v>
      </c>
      <c r="DC97" s="742">
        <v>0.36418907943712098</v>
      </c>
      <c r="DD97" s="742">
        <v>-3.7972388974332398E-214</v>
      </c>
      <c r="DE97" s="742">
        <v>5.52349004678664E-24</v>
      </c>
      <c r="DF97" s="742">
        <v>-9.1256803294303698E-19</v>
      </c>
      <c r="DG97" s="742">
        <v>0.36418914097098998</v>
      </c>
      <c r="DH97" s="742">
        <v>-3.7979062557482903E-214</v>
      </c>
      <c r="DI97" s="742">
        <v>5.5239914320388999E-24</v>
      </c>
      <c r="DJ97" s="742">
        <v>-9.1255897272669309E-19</v>
      </c>
      <c r="DK97" s="742">
        <v>1.5105298479615199E-13</v>
      </c>
      <c r="DL97" s="742">
        <v>-3.97593494751266E-214</v>
      </c>
      <c r="DM97" s="742">
        <v>-6.1091093158177101E-94</v>
      </c>
      <c r="DN97" s="742">
        <v>5.1354840729119802E-90</v>
      </c>
      <c r="DO97" s="742">
        <v>0.36418875877309997</v>
      </c>
      <c r="DP97" s="742">
        <v>-1.4481632329988801E-213</v>
      </c>
      <c r="DQ97" s="742">
        <v>-1.21666892677569E-99</v>
      </c>
      <c r="DR97" s="742">
        <v>-2.4636782877357198E-212</v>
      </c>
      <c r="DS97" s="742">
        <v>-1.25835875065886E-212</v>
      </c>
      <c r="DT97" s="742">
        <v>-1.2829693889431E-99</v>
      </c>
      <c r="DU97" s="742">
        <v>2.69006952216942E-211</v>
      </c>
      <c r="DV97" s="742">
        <v>0.36418964586963698</v>
      </c>
      <c r="DW97" s="742">
        <v>-5.57098151722018E-213</v>
      </c>
      <c r="DX97" s="742">
        <v>1.5979146506523901E-23</v>
      </c>
      <c r="DY97" s="742">
        <v>-2.13856507232468E-17</v>
      </c>
      <c r="DZ97" s="742">
        <v>0.364189896660915</v>
      </c>
      <c r="EA97" s="742">
        <v>-5.5718123440262202E-213</v>
      </c>
      <c r="EB97" s="742">
        <v>2.10387465350618E-20</v>
      </c>
      <c r="EC97" s="742">
        <v>-2.7817112593751901E-14</v>
      </c>
      <c r="ED97" s="742">
        <v>0.36418995825227601</v>
      </c>
      <c r="EE97" s="742">
        <v>-5.5727368073405703E-213</v>
      </c>
      <c r="EF97" s="742">
        <v>1.97545685984517E-13</v>
      </c>
      <c r="EG97" s="742">
        <v>-3.2650429650229599E-8</v>
      </c>
      <c r="EH97" s="742">
        <v>4.3726625435128798E-14</v>
      </c>
      <c r="EI97" s="742">
        <v>-7.4827618436637296E-213</v>
      </c>
      <c r="EJ97" s="742">
        <v>1.90499310598048E-89</v>
      </c>
      <c r="EK97" s="742">
        <v>5.3665861138958699E-90</v>
      </c>
      <c r="EL97" s="742">
        <v>0.364190217017823</v>
      </c>
      <c r="EM97" s="742">
        <v>-1.0264099983667099E-213</v>
      </c>
      <c r="EN97" s="742">
        <v>-7.2128641916692204E-100</v>
      </c>
      <c r="EO97" s="742">
        <v>-6.8975870800432201E-214</v>
      </c>
      <c r="EP97" s="742">
        <v>-1.28374639358091E-213</v>
      </c>
      <c r="EQ97" s="742">
        <v>-7.2852648047896204E-100</v>
      </c>
      <c r="ER97" s="742">
        <v>-8.6267444758368795E-214</v>
      </c>
      <c r="ES97" s="742">
        <v>0.36419412366729198</v>
      </c>
      <c r="ET97" s="742">
        <v>-1.16875882254956E-213</v>
      </c>
      <c r="EU97" s="742">
        <v>-4.0672159331650002E-32</v>
      </c>
      <c r="EV97" s="742">
        <v>-5.4164329640253805E-23</v>
      </c>
      <c r="EW97" s="742">
        <v>0.36419414098608999</v>
      </c>
      <c r="EX97" s="742">
        <v>-1.16893467496125E-213</v>
      </c>
      <c r="EY97" s="742">
        <v>-7.3894926527620599E-29</v>
      </c>
      <c r="EZ97" s="742">
        <v>-9.1020584024078297E-20</v>
      </c>
      <c r="FA97" s="742">
        <v>0.36419420259178897</v>
      </c>
      <c r="FB97" s="742">
        <v>-1.16913142462151E-213</v>
      </c>
      <c r="FC97" s="742">
        <v>-7.3893679732506099E-29</v>
      </c>
      <c r="FD97" s="742">
        <v>-9.1018643493104105E-20</v>
      </c>
      <c r="FE97" s="742">
        <v>9.8165090517184201E-12</v>
      </c>
      <c r="FF97" s="742">
        <v>-1.18281786328539E-213</v>
      </c>
      <c r="FG97" s="742">
        <v>-2.9728448844823298E-94</v>
      </c>
      <c r="FH97" s="742">
        <v>5.2513987032146003E-90</v>
      </c>
    </row>
    <row r="98" spans="1:164" ht="12.75" customHeight="1" x14ac:dyDescent="0.2">
      <c r="A98" s="489"/>
      <c r="B98" s="489"/>
      <c r="C98" s="489"/>
      <c r="D98" s="489"/>
      <c r="E98" s="489"/>
      <c r="F98" s="744"/>
      <c r="G98" s="745"/>
      <c r="H98" s="506"/>
      <c r="I98" s="750">
        <v>6449435.8100689603</v>
      </c>
      <c r="J98" s="742">
        <v>0.34449749841598498</v>
      </c>
      <c r="K98" s="742">
        <v>8.2256617387708703E-216</v>
      </c>
      <c r="L98" s="742">
        <v>2.4230442716777898E-102</v>
      </c>
      <c r="M98" s="742">
        <v>1.2225439498926899E-215</v>
      </c>
      <c r="N98" s="742">
        <v>1.3103986814856999E-215</v>
      </c>
      <c r="O98" s="742">
        <v>2.46860533953434E-102</v>
      </c>
      <c r="P98" s="742">
        <v>1.9475879000275599E-215</v>
      </c>
      <c r="Q98" s="742">
        <v>9.4416095169915501E-17</v>
      </c>
      <c r="R98" s="742">
        <v>9.3463208629497503E-216</v>
      </c>
      <c r="S98" s="742">
        <v>8.9024042482335405E-102</v>
      </c>
      <c r="T98" s="742">
        <v>-2.2601148843213698E-109</v>
      </c>
      <c r="U98" s="742">
        <v>5.3844516439723798E-18</v>
      </c>
      <c r="V98" s="742">
        <v>9.7101940713887004E-219</v>
      </c>
      <c r="W98" s="742">
        <v>-1.7964364191757399E-92</v>
      </c>
      <c r="X98" s="742">
        <v>-3.1960025227077399E-93</v>
      </c>
      <c r="Y98" s="742">
        <v>0.29528803301571099</v>
      </c>
      <c r="Z98" s="742">
        <v>6.9843684447293294E-216</v>
      </c>
      <c r="AA98" s="742">
        <v>-2.3377111738916001E-34</v>
      </c>
      <c r="AB98" s="742">
        <v>7.1839319244677502E-31</v>
      </c>
      <c r="AC98" s="742">
        <v>4.4576065921295296E-19</v>
      </c>
      <c r="AD98" s="742">
        <v>1.04278557825334E-215</v>
      </c>
      <c r="AE98" s="742">
        <v>-6.7563413183307996E-90</v>
      </c>
      <c r="AF98" s="742">
        <v>-5.3657313150748802E-90</v>
      </c>
      <c r="AG98" s="742">
        <v>5.1518163697032097E-18</v>
      </c>
      <c r="AH98" s="742">
        <v>1.08338358866471E-218</v>
      </c>
      <c r="AI98" s="742">
        <v>-9.0747458523095906E-90</v>
      </c>
      <c r="AJ98" s="742">
        <v>-3.5438296103565601E-90</v>
      </c>
      <c r="AK98" s="742">
        <v>0.29424913647772</v>
      </c>
      <c r="AL98" s="742">
        <v>7.0290942060763596E-216</v>
      </c>
      <c r="AM98" s="742">
        <v>-2.33945222885374E-34</v>
      </c>
      <c r="AN98" s="742">
        <v>7.1791108690241602E-31</v>
      </c>
      <c r="AO98" s="742">
        <v>2.3640077178655002E-16</v>
      </c>
      <c r="AP98" s="742">
        <v>1.03263175132884E-215</v>
      </c>
      <c r="AQ98" s="742">
        <v>3.5476710986051901E-95</v>
      </c>
      <c r="AR98" s="742">
        <v>-1.9066560239559701E-90</v>
      </c>
      <c r="AS98" s="742">
        <v>6.69563082226868E-18</v>
      </c>
      <c r="AT98" s="742">
        <v>1.0293895744352499E-217</v>
      </c>
      <c r="AU98" s="742">
        <v>-1.2626155402221099E-91</v>
      </c>
      <c r="AV98" s="742">
        <v>-1.81882840195529E-90</v>
      </c>
      <c r="AW98" s="742">
        <v>2.3640077178654899E-16</v>
      </c>
      <c r="AX98" s="742">
        <v>1.03263175308165E-215</v>
      </c>
      <c r="AY98" s="742">
        <v>3.5476711046135201E-95</v>
      </c>
      <c r="AZ98" s="742">
        <v>-1.9066560246277699E-90</v>
      </c>
      <c r="BA98" s="742">
        <v>0.35663390859809002</v>
      </c>
      <c r="BB98" s="742">
        <v>3.0941233227425201E-215</v>
      </c>
      <c r="BC98" s="742">
        <v>1.18858766240795E-101</v>
      </c>
      <c r="BD98" s="742">
        <v>2.61840558144451E-215</v>
      </c>
      <c r="BE98" s="742">
        <v>4.9291292163194896E-215</v>
      </c>
      <c r="BF98" s="742">
        <v>1.2109369550567799E-101</v>
      </c>
      <c r="BG98" s="742">
        <v>4.1712814035511702E-215</v>
      </c>
      <c r="BH98" s="742">
        <v>1.4139314086103799E-15</v>
      </c>
      <c r="BI98" s="742">
        <v>3.4459175907882999E-215</v>
      </c>
      <c r="BJ98" s="742">
        <v>6.7250650737317498E-101</v>
      </c>
      <c r="BK98" s="742">
        <v>3.5782367479759002E-110</v>
      </c>
      <c r="BL98" s="742">
        <v>3.0548757587195502E-15</v>
      </c>
      <c r="BM98" s="742">
        <v>3.44589758814904E-215</v>
      </c>
      <c r="BN98" s="742">
        <v>-2.9847072544135099E-91</v>
      </c>
      <c r="BO98" s="742">
        <v>-2.5123935597688299E-92</v>
      </c>
      <c r="BP98" s="742">
        <v>0.35685977816771602</v>
      </c>
      <c r="BQ98" s="742">
        <v>3.45948474969465E-215</v>
      </c>
      <c r="BR98" s="742">
        <v>-4.1010998883793802E-30</v>
      </c>
      <c r="BS98" s="742">
        <v>2.8450168142011001E-26</v>
      </c>
      <c r="BT98" s="742">
        <v>1.39904872353693E-15</v>
      </c>
      <c r="BU98" s="742">
        <v>3.4861164308477101E-215</v>
      </c>
      <c r="BV98" s="742">
        <v>-1.3110570111195901E-89</v>
      </c>
      <c r="BW98" s="742">
        <v>-5.6306037048621203E-90</v>
      </c>
      <c r="BX98" s="742">
        <v>3.0422639606973498E-15</v>
      </c>
      <c r="BY98" s="742">
        <v>3.4860956697248299E-215</v>
      </c>
      <c r="BZ98" s="742">
        <v>-1.09712275607614E-88</v>
      </c>
      <c r="CA98" s="742">
        <v>-4.4683185790229496E-90</v>
      </c>
      <c r="CB98" s="742">
        <v>0.35685973049453301</v>
      </c>
      <c r="CC98" s="742">
        <v>3.4600927396635102E-215</v>
      </c>
      <c r="CD98" s="742">
        <v>-6.5316333391643204E-28</v>
      </c>
      <c r="CE98" s="742">
        <v>-2.5159481443422601E-25</v>
      </c>
      <c r="CF98" s="742">
        <v>3.5961551138017397E-15</v>
      </c>
      <c r="CG98" s="742">
        <v>3.8842952842430098E-215</v>
      </c>
      <c r="CH98" s="742">
        <v>7.9935436535572598E-95</v>
      </c>
      <c r="CI98" s="742">
        <v>-1.9531263154525499E-90</v>
      </c>
      <c r="CJ98" s="742">
        <v>3.3528122775362301E-15</v>
      </c>
      <c r="CK98" s="742">
        <v>3.8842953338190602E-215</v>
      </c>
      <c r="CL98" s="742">
        <v>-3.4900001180462301E-91</v>
      </c>
      <c r="CM98" s="742">
        <v>-1.9516882817559299E-90</v>
      </c>
      <c r="CN98" s="742">
        <v>3.5961551138017397E-15</v>
      </c>
      <c r="CO98" s="742">
        <v>3.8842954027374002E-215</v>
      </c>
      <c r="CP98" s="742">
        <v>7.9935436468648606E-95</v>
      </c>
      <c r="CQ98" s="742">
        <v>-1.95312631607337E-90</v>
      </c>
      <c r="CR98" s="742">
        <v>0.35690857688265798</v>
      </c>
      <c r="CS98" s="742">
        <v>1.15385298672223E-214</v>
      </c>
      <c r="CT98" s="742">
        <v>1.07470952799355E-100</v>
      </c>
      <c r="CU98" s="742">
        <v>9.0322270625058E-215</v>
      </c>
      <c r="CV98" s="742">
        <v>1.8381589577978299E-214</v>
      </c>
      <c r="CW98" s="742">
        <v>1.09491754152617E-100</v>
      </c>
      <c r="CX98" s="742">
        <v>1.43861719261442E-214</v>
      </c>
      <c r="CY98" s="742">
        <v>0.35690845321571901</v>
      </c>
      <c r="CZ98" s="742">
        <v>1.48440163979714E-214</v>
      </c>
      <c r="DA98" s="742">
        <v>-1.3881440928200001E-27</v>
      </c>
      <c r="DB98" s="742">
        <v>2.32368080204971E-22</v>
      </c>
      <c r="DC98" s="742">
        <v>0.35690889143587301</v>
      </c>
      <c r="DD98" s="742">
        <v>1.48463547273E-214</v>
      </c>
      <c r="DE98" s="742">
        <v>-2.15950841768279E-24</v>
      </c>
      <c r="DF98" s="742">
        <v>3.5678499105388001E-19</v>
      </c>
      <c r="DG98" s="742">
        <v>0.35690895173967502</v>
      </c>
      <c r="DH98" s="742">
        <v>1.4848963949037701E-214</v>
      </c>
      <c r="DI98" s="742">
        <v>-2.15968031028775E-24</v>
      </c>
      <c r="DJ98" s="742">
        <v>3.56777461146066E-19</v>
      </c>
      <c r="DK98" s="742">
        <v>1.4803341559557499E-13</v>
      </c>
      <c r="DL98" s="742">
        <v>1.55450163126019E-214</v>
      </c>
      <c r="DM98" s="742">
        <v>2.38850252753737E-94</v>
      </c>
      <c r="DN98" s="742">
        <v>-2.0078376221114702E-90</v>
      </c>
      <c r="DO98" s="742">
        <v>0.35690857718203201</v>
      </c>
      <c r="DP98" s="742">
        <v>5.6619943176788898E-214</v>
      </c>
      <c r="DQ98" s="742">
        <v>4.7568660930592204E-100</v>
      </c>
      <c r="DR98" s="742">
        <v>9.6324309975432206E-213</v>
      </c>
      <c r="DS98" s="742">
        <v>4.91990093037169E-213</v>
      </c>
      <c r="DT98" s="742">
        <v>5.0160840392872299E-100</v>
      </c>
      <c r="DU98" s="742">
        <v>-1.05175703352796E-211</v>
      </c>
      <c r="DV98" s="742">
        <v>0.35690944654532297</v>
      </c>
      <c r="DW98" s="742">
        <v>2.1781290450021801E-213</v>
      </c>
      <c r="DX98" s="742">
        <v>-6.24734237986496E-24</v>
      </c>
      <c r="DY98" s="742">
        <v>8.3611151228236705E-18</v>
      </c>
      <c r="DZ98" s="742">
        <v>0.35690969232324898</v>
      </c>
      <c r="EA98" s="742">
        <v>2.1784538796803399E-213</v>
      </c>
      <c r="EB98" s="742">
        <v>-8.2255347783657304E-21</v>
      </c>
      <c r="EC98" s="742">
        <v>1.0875677722885199E-14</v>
      </c>
      <c r="ED98" s="742">
        <v>0.35690975268338399</v>
      </c>
      <c r="EE98" s="742">
        <v>2.1788153241365601E-213</v>
      </c>
      <c r="EF98" s="742">
        <v>-7.7235112916742595E-14</v>
      </c>
      <c r="EG98" s="742">
        <v>1.27654502208248E-8</v>
      </c>
      <c r="EH98" s="742">
        <v>4.2852518109296902E-14</v>
      </c>
      <c r="EI98" s="742">
        <v>2.9255923358266599E-213</v>
      </c>
      <c r="EJ98" s="742">
        <v>-7.4480201897200402E-90</v>
      </c>
      <c r="EK98" s="742">
        <v>-2.0981923707283501E-90</v>
      </c>
      <c r="EL98" s="742">
        <v>0.35691000627624703</v>
      </c>
      <c r="EM98" s="742">
        <v>4.0130335075051198E-214</v>
      </c>
      <c r="EN98" s="742">
        <v>2.8200464688548198E-100</v>
      </c>
      <c r="EO98" s="742">
        <v>2.6968022638439701E-214</v>
      </c>
      <c r="EP98" s="742">
        <v>5.01916125210868E-214</v>
      </c>
      <c r="EQ98" s="742">
        <v>2.8483532673676498E-100</v>
      </c>
      <c r="ER98" s="742">
        <v>3.3728641280003699E-214</v>
      </c>
      <c r="ES98" s="742">
        <v>0.35691383483126998</v>
      </c>
      <c r="ET98" s="742">
        <v>4.5695855696524701E-214</v>
      </c>
      <c r="EU98" s="742">
        <v>1.59531416011813E-32</v>
      </c>
      <c r="EV98" s="742">
        <v>2.1176448500568399E-23</v>
      </c>
      <c r="EW98" s="742">
        <v>0.35691385180386298</v>
      </c>
      <c r="EX98" s="742">
        <v>4.5702731132479303E-214</v>
      </c>
      <c r="EY98" s="742">
        <v>2.89845238949071E-29</v>
      </c>
      <c r="EZ98" s="742">
        <v>3.5586227689013502E-20</v>
      </c>
      <c r="FA98" s="742">
        <v>0.35691391217806101</v>
      </c>
      <c r="FB98" s="742">
        <v>4.5710423604108798E-214</v>
      </c>
      <c r="FC98" s="742">
        <v>2.89837143166677E-29</v>
      </c>
      <c r="FD98" s="742">
        <v>3.5585071265135803E-20</v>
      </c>
      <c r="FE98" s="742">
        <v>9.6202757337883302E-12</v>
      </c>
      <c r="FF98" s="742">
        <v>4.6245532742208298E-214</v>
      </c>
      <c r="FG98" s="742">
        <v>1.16230597519032E-94</v>
      </c>
      <c r="FH98" s="742">
        <v>-2.05315715818051E-90</v>
      </c>
    </row>
    <row r="99" spans="1:164" ht="12.75" customHeight="1" x14ac:dyDescent="0.2">
      <c r="A99" s="489"/>
      <c r="B99" s="489"/>
      <c r="C99" s="489"/>
      <c r="D99" s="489"/>
      <c r="E99" s="489"/>
      <c r="F99" s="744"/>
      <c r="G99" s="745"/>
      <c r="H99" s="506"/>
      <c r="I99" s="750">
        <v>6533194.71669323</v>
      </c>
      <c r="J99" s="742">
        <v>0.337610947641173</v>
      </c>
      <c r="K99" s="742">
        <v>-1.90349927588637E-216</v>
      </c>
      <c r="L99" s="742">
        <v>-5.6070089557164204E-103</v>
      </c>
      <c r="M99" s="742">
        <v>-2.8290873090383202E-216</v>
      </c>
      <c r="N99" s="742">
        <v>-3.03239182517506E-216</v>
      </c>
      <c r="O99" s="742">
        <v>-5.7124388558171902E-103</v>
      </c>
      <c r="P99" s="742">
        <v>-4.5069105382168002E-216</v>
      </c>
      <c r="Q99" s="742">
        <v>9.2528704880184005E-17</v>
      </c>
      <c r="R99" s="742">
        <v>-2.1628308529843E-216</v>
      </c>
      <c r="S99" s="742">
        <v>-2.06004739288896E-102</v>
      </c>
      <c r="T99" s="742">
        <v>5.2300129396561001E-110</v>
      </c>
      <c r="U99" s="742">
        <v>5.2768248165121903E-18</v>
      </c>
      <c r="V99" s="742">
        <v>-2.24703470317554E-219</v>
      </c>
      <c r="W99" s="742">
        <v>4.1569824531371996E-93</v>
      </c>
      <c r="X99" s="742">
        <v>7.3955829090451104E-94</v>
      </c>
      <c r="Y99" s="742">
        <v>0.28938518599388502</v>
      </c>
      <c r="Z99" s="742">
        <v>-1.6162517617762999E-216</v>
      </c>
      <c r="AA99" s="742">
        <v>5.4089227550784905E-35</v>
      </c>
      <c r="AB99" s="742">
        <v>-1.6621958387645101E-31</v>
      </c>
      <c r="AC99" s="742">
        <v>4.3684984390709304E-19</v>
      </c>
      <c r="AD99" s="742">
        <v>-2.4131087031627601E-216</v>
      </c>
      <c r="AE99" s="742">
        <v>1.56342455078475E-90</v>
      </c>
      <c r="AF99" s="742">
        <v>1.2416359203379299E-90</v>
      </c>
      <c r="AG99" s="742">
        <v>5.0488400748678097E-18</v>
      </c>
      <c r="AH99" s="742">
        <v>-2.50705650441477E-219</v>
      </c>
      <c r="AI99" s="742">
        <v>2.0999056655770499E-90</v>
      </c>
      <c r="AJ99" s="742">
        <v>8.2004591305155896E-91</v>
      </c>
      <c r="AK99" s="742">
        <v>0.28836705713575</v>
      </c>
      <c r="AL99" s="742">
        <v>-1.6266017441898299E-216</v>
      </c>
      <c r="AM99" s="742">
        <v>5.4127373375264895E-35</v>
      </c>
      <c r="AN99" s="742">
        <v>-1.6610144796084601E-31</v>
      </c>
      <c r="AO99" s="742">
        <v>2.3167508894241002E-16</v>
      </c>
      <c r="AP99" s="742">
        <v>-2.3896117459421799E-216</v>
      </c>
      <c r="AQ99" s="742">
        <v>-8.2093880541451697E-96</v>
      </c>
      <c r="AR99" s="742">
        <v>4.4120217714858797E-91</v>
      </c>
      <c r="AS99" s="742">
        <v>6.5618024066170099E-18</v>
      </c>
      <c r="AT99" s="742">
        <v>-2.3821090287565201E-218</v>
      </c>
      <c r="AU99" s="742">
        <v>2.92171244687669E-92</v>
      </c>
      <c r="AV99" s="742">
        <v>4.2087877428667399E-91</v>
      </c>
      <c r="AW99" s="742">
        <v>2.3167508894241002E-16</v>
      </c>
      <c r="AX99" s="742">
        <v>-2.3896117499982499E-216</v>
      </c>
      <c r="AY99" s="742">
        <v>-8.2093880680479608E-96</v>
      </c>
      <c r="AZ99" s="742">
        <v>4.4120217730406899E-91</v>
      </c>
      <c r="BA99" s="742">
        <v>0.34950474937088799</v>
      </c>
      <c r="BB99" s="742">
        <v>-7.16010661681043E-216</v>
      </c>
      <c r="BC99" s="742">
        <v>-2.7504333064294498E-102</v>
      </c>
      <c r="BD99" s="742">
        <v>-6.05924883193591E-216</v>
      </c>
      <c r="BE99" s="742">
        <v>-1.14064912854212E-215</v>
      </c>
      <c r="BF99" s="742">
        <v>-2.8021503491184902E-102</v>
      </c>
      <c r="BG99" s="742">
        <v>-9.6527566818725394E-216</v>
      </c>
      <c r="BH99" s="742">
        <v>1.3856667318851899E-15</v>
      </c>
      <c r="BI99" s="742">
        <v>-7.9741932590201305E-216</v>
      </c>
      <c r="BJ99" s="742">
        <v>-1.5562035137756101E-101</v>
      </c>
      <c r="BK99" s="742">
        <v>-8.2802068484885299E-111</v>
      </c>
      <c r="BL99" s="742">
        <v>2.9938083966759199E-15</v>
      </c>
      <c r="BM99" s="742">
        <v>-7.9741469709394696E-216</v>
      </c>
      <c r="BN99" s="742">
        <v>6.9066577422934205E-92</v>
      </c>
      <c r="BO99" s="742">
        <v>5.8137087972824199E-93</v>
      </c>
      <c r="BP99" s="742">
        <v>0.34972610377781799</v>
      </c>
      <c r="BQ99" s="742">
        <v>-8.0055890031842694E-216</v>
      </c>
      <c r="BR99" s="742">
        <v>9.4891203548761698E-31</v>
      </c>
      <c r="BS99" s="742">
        <v>-6.58279670535162E-27</v>
      </c>
      <c r="BT99" s="742">
        <v>1.3710815538840299E-15</v>
      </c>
      <c r="BU99" s="742">
        <v>-8.06721734069769E-216</v>
      </c>
      <c r="BV99" s="742">
        <v>3.03379983393627E-90</v>
      </c>
      <c r="BW99" s="742">
        <v>1.3029276713284799E-90</v>
      </c>
      <c r="BX99" s="742">
        <v>2.9814487104850301E-15</v>
      </c>
      <c r="BY99" s="742">
        <v>-8.0671692974116105E-216</v>
      </c>
      <c r="BZ99" s="742">
        <v>2.5387559777572699E-89</v>
      </c>
      <c r="CA99" s="742">
        <v>1.0339744681258599E-90</v>
      </c>
      <c r="CB99" s="742">
        <v>0.34972605705762899</v>
      </c>
      <c r="CC99" s="742">
        <v>-8.0069959519539195E-216</v>
      </c>
      <c r="CD99" s="742">
        <v>1.5114260420396801E-28</v>
      </c>
      <c r="CE99" s="742">
        <v>5.8220184972330896E-26</v>
      </c>
      <c r="CF99" s="742">
        <v>3.5242674951711998E-15</v>
      </c>
      <c r="CG99" s="742">
        <v>-8.9886424894342905E-216</v>
      </c>
      <c r="CH99" s="742">
        <v>-1.8497233806539301E-95</v>
      </c>
      <c r="CI99" s="742">
        <v>4.5195545069313298E-91</v>
      </c>
      <c r="CJ99" s="742">
        <v>3.28578913269984E-15</v>
      </c>
      <c r="CK99" s="742">
        <v>-8.9886426041584196E-216</v>
      </c>
      <c r="CL99" s="742">
        <v>8.0759157951616504E-92</v>
      </c>
      <c r="CM99" s="742">
        <v>4.5162268795232802E-91</v>
      </c>
      <c r="CN99" s="742">
        <v>3.5242674951711998E-15</v>
      </c>
      <c r="CO99" s="742">
        <v>-8.9886427636413894E-216</v>
      </c>
      <c r="CP99" s="742">
        <v>-1.8497233791053201E-95</v>
      </c>
      <c r="CQ99" s="742">
        <v>4.5195545083681799E-91</v>
      </c>
      <c r="CR99" s="742">
        <v>0.34977392699994397</v>
      </c>
      <c r="CS99" s="742">
        <v>-2.6701296436153702E-215</v>
      </c>
      <c r="CT99" s="742">
        <v>-2.4869153315475999E-101</v>
      </c>
      <c r="CU99" s="742">
        <v>-2.0901464479692499E-215</v>
      </c>
      <c r="CV99" s="742">
        <v>-4.2536811702816599E-215</v>
      </c>
      <c r="CW99" s="742">
        <v>-2.53367737967793E-101</v>
      </c>
      <c r="CX99" s="742">
        <v>-3.3291021077138399E-215</v>
      </c>
      <c r="CY99" s="742">
        <v>0.349773805805144</v>
      </c>
      <c r="CZ99" s="742">
        <v>-3.4350518368139501E-215</v>
      </c>
      <c r="DA99" s="742">
        <v>3.21196181940215E-28</v>
      </c>
      <c r="DB99" s="742">
        <v>-5.37665671939692E-23</v>
      </c>
      <c r="DC99" s="742">
        <v>0.34977423526522</v>
      </c>
      <c r="DD99" s="742">
        <v>-3.4355929492883901E-215</v>
      </c>
      <c r="DE99" s="742">
        <v>4.9968876155047996E-25</v>
      </c>
      <c r="DF99" s="742">
        <v>-8.25564967718356E-20</v>
      </c>
      <c r="DG99" s="742">
        <v>0.34977429436353902</v>
      </c>
      <c r="DH99" s="742">
        <v>-3.4361967489392E-215</v>
      </c>
      <c r="DI99" s="742">
        <v>4.9970891818209502E-25</v>
      </c>
      <c r="DJ99" s="742">
        <v>-8.2551512888037402E-20</v>
      </c>
      <c r="DK99" s="742">
        <v>1.4507420794513999E-13</v>
      </c>
      <c r="DL99" s="742">
        <v>-3.5972701327122301E-215</v>
      </c>
      <c r="DM99" s="742">
        <v>-5.5270467784730198E-95</v>
      </c>
      <c r="DN99" s="742">
        <v>4.6461570367498101E-91</v>
      </c>
      <c r="DO99" s="742">
        <v>0.34977392729333301</v>
      </c>
      <c r="DP99" s="742">
        <v>-1.3102413430125201E-214</v>
      </c>
      <c r="DQ99" s="742">
        <v>-1.10075540495437E-100</v>
      </c>
      <c r="DR99" s="742">
        <v>-2.2290395322190399E-213</v>
      </c>
      <c r="DS99" s="742">
        <v>-1.13851335441623E-213</v>
      </c>
      <c r="DT99" s="742">
        <v>-1.16073934181299E-100</v>
      </c>
      <c r="DU99" s="742">
        <v>2.4338697107541398E-212</v>
      </c>
      <c r="DV99" s="742">
        <v>0.34977477927796002</v>
      </c>
      <c r="DW99" s="742">
        <v>-5.0404045373702502E-214</v>
      </c>
      <c r="DX99" s="742">
        <v>1.4455775871368001E-24</v>
      </c>
      <c r="DY99" s="742">
        <v>-1.9346852376618299E-18</v>
      </c>
      <c r="DZ99" s="742">
        <v>0.34977502014275302</v>
      </c>
      <c r="EA99" s="742">
        <v>-5.04115623670511E-214</v>
      </c>
      <c r="EB99" s="742">
        <v>1.9033524177059899E-21</v>
      </c>
      <c r="EC99" s="742">
        <v>-2.51658378761521E-15</v>
      </c>
      <c r="ED99" s="742">
        <v>0.34977507929628299</v>
      </c>
      <c r="EE99" s="742">
        <v>-5.04199265466098E-214</v>
      </c>
      <c r="EF99" s="742">
        <v>1.7872291103356601E-14</v>
      </c>
      <c r="EG99" s="742">
        <v>-2.9539393908333901E-9</v>
      </c>
      <c r="EH99" s="742">
        <v>4.1995892728363799E-14</v>
      </c>
      <c r="EI99" s="742">
        <v>-6.7701078902228397E-214</v>
      </c>
      <c r="EJ99" s="742">
        <v>1.7234828735606201E-90</v>
      </c>
      <c r="EK99" s="742">
        <v>4.8552388601334402E-91</v>
      </c>
      <c r="EL99" s="742">
        <v>0.349775327819766</v>
      </c>
      <c r="EM99" s="742">
        <v>-9.2865554386207597E-215</v>
      </c>
      <c r="EN99" s="742">
        <v>-6.5256858866450802E-101</v>
      </c>
      <c r="EO99" s="742">
        <v>-6.2406664884722803E-215</v>
      </c>
      <c r="EP99" s="742">
        <v>-1.16148342982726E-214</v>
      </c>
      <c r="EQ99" s="742">
        <v>-6.5911888056904998E-101</v>
      </c>
      <c r="ER99" s="742">
        <v>-7.8051403382346401E-215</v>
      </c>
      <c r="ES99" s="742">
        <v>0.349779079841466</v>
      </c>
      <c r="ET99" s="742">
        <v>-1.0574471816578001E-214</v>
      </c>
      <c r="EU99" s="742">
        <v>-3.7333638208695103E-33</v>
      </c>
      <c r="EV99" s="742">
        <v>-4.8999571919988603E-24</v>
      </c>
      <c r="EW99" s="742">
        <v>0.34977909647477501</v>
      </c>
      <c r="EX99" s="742">
        <v>-1.0576062860288999E-214</v>
      </c>
      <c r="EY99" s="742">
        <v>-6.7831144664272901E-30</v>
      </c>
      <c r="EZ99" s="742">
        <v>-8.2343662850981702E-21</v>
      </c>
      <c r="FA99" s="742">
        <v>0.34977915564208301</v>
      </c>
      <c r="FB99" s="742">
        <v>-1.0577842974114199E-214</v>
      </c>
      <c r="FC99" s="742">
        <v>-6.7826647380385596E-30</v>
      </c>
      <c r="FD99" s="742">
        <v>-8.23377538071274E-21</v>
      </c>
      <c r="FE99" s="742">
        <v>9.4279651433977997E-12</v>
      </c>
      <c r="FF99" s="742">
        <v>-1.0701672507740401E-214</v>
      </c>
      <c r="FG99" s="742">
        <v>-2.6896102784371699E-95</v>
      </c>
      <c r="FH99" s="742">
        <v>4.7510269122271701E-91</v>
      </c>
    </row>
    <row r="100" spans="1:164" ht="12.75" customHeight="1" x14ac:dyDescent="0.2">
      <c r="A100" s="489"/>
      <c r="B100" s="489"/>
      <c r="C100" s="489"/>
      <c r="D100" s="489"/>
      <c r="E100" s="489"/>
      <c r="F100" s="744"/>
      <c r="G100" s="745"/>
      <c r="H100" s="506"/>
      <c r="I100" s="750">
        <v>6616953.6233175099</v>
      </c>
      <c r="J100" s="742">
        <v>0.33086205989072298</v>
      </c>
      <c r="K100" s="742">
        <v>1.80226334440919E-217</v>
      </c>
      <c r="L100" s="742">
        <v>5.30774498410698E-104</v>
      </c>
      <c r="M100" s="742">
        <v>2.6786247937152798E-217</v>
      </c>
      <c r="N100" s="742">
        <v>2.87111673833003E-217</v>
      </c>
      <c r="O100" s="742">
        <v>5.4075477537878503E-104</v>
      </c>
      <c r="P100" s="742">
        <v>4.26721447307702E-217</v>
      </c>
      <c r="Q100" s="742">
        <v>9.0679043761982897E-17</v>
      </c>
      <c r="R100" s="742">
        <v>2.0478026001216601E-217</v>
      </c>
      <c r="S100" s="742">
        <v>1.95009608562511E-103</v>
      </c>
      <c r="T100" s="742">
        <v>-4.95106438794417E-111</v>
      </c>
      <c r="U100" s="742">
        <v>5.1713385732657001E-18</v>
      </c>
      <c r="V100" s="742">
        <v>2.1275281427452598E-220</v>
      </c>
      <c r="W100" s="742">
        <v>-3.93487724152641E-94</v>
      </c>
      <c r="X100" s="742">
        <v>-7.0003191817863901E-95</v>
      </c>
      <c r="Y100" s="742">
        <v>0.28360033763348003</v>
      </c>
      <c r="Z100" s="742">
        <v>1.53029283619163E-217</v>
      </c>
      <c r="AA100" s="742">
        <v>-5.1159651696038301E-36</v>
      </c>
      <c r="AB100" s="742">
        <v>1.5721696042691801E-32</v>
      </c>
      <c r="AC100" s="742">
        <v>4.2811715751857901E-19</v>
      </c>
      <c r="AD100" s="742">
        <v>2.28476964340366E-217</v>
      </c>
      <c r="AE100" s="742">
        <v>-1.4798671124581901E-91</v>
      </c>
      <c r="AF100" s="742">
        <v>-1.17527651924922E-91</v>
      </c>
      <c r="AG100" s="742">
        <v>4.9479112524440397E-18</v>
      </c>
      <c r="AH100" s="742">
        <v>2.3737209136389901E-220</v>
      </c>
      <c r="AI100" s="742">
        <v>-1.9876748601023099E-91</v>
      </c>
      <c r="AJ100" s="742">
        <v>-7.7621831401934305E-92</v>
      </c>
      <c r="AK100" s="742">
        <v>0.28260256130664502</v>
      </c>
      <c r="AL100" s="742">
        <v>1.5400923639093499E-217</v>
      </c>
      <c r="AM100" s="742">
        <v>-5.1181072478369103E-36</v>
      </c>
      <c r="AN100" s="742">
        <v>1.5706005747103801E-32</v>
      </c>
      <c r="AO100" s="742">
        <v>2.27043873098339E-16</v>
      </c>
      <c r="AP100" s="742">
        <v>2.26252235114063E-217</v>
      </c>
      <c r="AQ100" s="742">
        <v>7.7709070757774502E-97</v>
      </c>
      <c r="AR100" s="742">
        <v>-4.1762172285395997E-92</v>
      </c>
      <c r="AS100" s="742">
        <v>6.4306274808750703E-18</v>
      </c>
      <c r="AT100" s="742">
        <v>2.2554186593600699E-219</v>
      </c>
      <c r="AU100" s="742">
        <v>-2.7656070107939701E-93</v>
      </c>
      <c r="AV100" s="742">
        <v>-3.9838452123318601E-92</v>
      </c>
      <c r="AW100" s="742">
        <v>2.2704387309833801E-16</v>
      </c>
      <c r="AX100" s="742">
        <v>2.2625223549806199E-217</v>
      </c>
      <c r="AY100" s="742">
        <v>7.7709070889326198E-97</v>
      </c>
      <c r="AZ100" s="742">
        <v>-4.1762172300137299E-92</v>
      </c>
      <c r="BA100" s="742">
        <v>0.34251810294181401</v>
      </c>
      <c r="BB100" s="742">
        <v>6.7793026564143403E-217</v>
      </c>
      <c r="BC100" s="742">
        <v>2.6036338985027801E-103</v>
      </c>
      <c r="BD100" s="742">
        <v>5.7369930226737198E-217</v>
      </c>
      <c r="BE100" s="742">
        <v>1.0799847098656E-216</v>
      </c>
      <c r="BF100" s="742">
        <v>2.6525906374868802E-103</v>
      </c>
      <c r="BG100" s="742">
        <v>9.1393833244756405E-217</v>
      </c>
      <c r="BH100" s="742">
        <v>1.35796706959418E-15</v>
      </c>
      <c r="BI100" s="742">
        <v>7.5500928179992296E-217</v>
      </c>
      <c r="BJ100" s="742">
        <v>1.4731439631576101E-102</v>
      </c>
      <c r="BK100" s="742">
        <v>7.8385553628704398E-112</v>
      </c>
      <c r="BL100" s="742">
        <v>2.9339617665399099E-15</v>
      </c>
      <c r="BM100" s="742">
        <v>7.5500489917083992E-217</v>
      </c>
      <c r="BN100" s="742">
        <v>-6.5376229733498399E-93</v>
      </c>
      <c r="BO100" s="742">
        <v>-5.5030179301197505E-94</v>
      </c>
      <c r="BP100" s="742">
        <v>0.34273503244470399</v>
      </c>
      <c r="BQ100" s="742">
        <v>7.5798188071744807E-217</v>
      </c>
      <c r="BR100" s="742">
        <v>-8.9760224941631602E-32</v>
      </c>
      <c r="BS100" s="742">
        <v>6.22685002189544E-28</v>
      </c>
      <c r="BT100" s="742">
        <v>1.34367345119721E-15</v>
      </c>
      <c r="BU100" s="742">
        <v>7.6381694958689098E-217</v>
      </c>
      <c r="BV100" s="742">
        <v>-2.8716579707568603E-91</v>
      </c>
      <c r="BW100" s="742">
        <v>-1.2332925168084E-91</v>
      </c>
      <c r="BX100" s="742">
        <v>2.9218491520575E-15</v>
      </c>
      <c r="BY100" s="742">
        <v>7.6381240077221499E-217</v>
      </c>
      <c r="BZ100" s="742">
        <v>-2.4030874445525399E-90</v>
      </c>
      <c r="CA100" s="742">
        <v>-9.7871909969822893E-92</v>
      </c>
      <c r="CB100" s="742">
        <v>0.34273498665845697</v>
      </c>
      <c r="CC100" s="742">
        <v>7.5811509286252605E-217</v>
      </c>
      <c r="CD100" s="742">
        <v>-1.43064188718956E-29</v>
      </c>
      <c r="CE100" s="742">
        <v>-5.5114616603930497E-27</v>
      </c>
      <c r="CF100" s="742">
        <v>3.45381691916456E-15</v>
      </c>
      <c r="CG100" s="742">
        <v>8.51058946009072E-217</v>
      </c>
      <c r="CH100" s="742">
        <v>1.7509256977288099E-96</v>
      </c>
      <c r="CI100" s="742">
        <v>-4.2780027784871202E-92</v>
      </c>
      <c r="CJ100" s="742">
        <v>3.2201057672523799E-15</v>
      </c>
      <c r="CK100" s="742">
        <v>8.5105895687157005E-217</v>
      </c>
      <c r="CL100" s="742">
        <v>-7.6444242025145902E-93</v>
      </c>
      <c r="CM100" s="742">
        <v>-4.2748529816667903E-92</v>
      </c>
      <c r="CN100" s="742">
        <v>3.45381691916456E-15</v>
      </c>
      <c r="CO100" s="742">
        <v>8.5105897197142403E-217</v>
      </c>
      <c r="CP100" s="742">
        <v>1.7509256962635199E-96</v>
      </c>
      <c r="CQ100" s="742">
        <v>-4.2780027798481597E-92</v>
      </c>
      <c r="CR100" s="742">
        <v>0.34278189967426098</v>
      </c>
      <c r="CS100" s="742">
        <v>2.5281211516374E-216</v>
      </c>
      <c r="CT100" s="742">
        <v>2.35418071937622E-102</v>
      </c>
      <c r="CU100" s="742">
        <v>1.9789838447664901E-216</v>
      </c>
      <c r="CV100" s="742">
        <v>4.02745288590703E-216</v>
      </c>
      <c r="CW100" s="742">
        <v>2.3984469276797901E-102</v>
      </c>
      <c r="CX100" s="742">
        <v>3.1520467357113197E-216</v>
      </c>
      <c r="CY100" s="742">
        <v>0.342781780902158</v>
      </c>
      <c r="CZ100" s="742">
        <v>3.2523616320987503E-216</v>
      </c>
      <c r="DA100" s="742">
        <v>-3.03880194538302E-29</v>
      </c>
      <c r="DB100" s="742">
        <v>5.0867973360643802E-24</v>
      </c>
      <c r="DC100" s="742">
        <v>0.34278220177726898</v>
      </c>
      <c r="DD100" s="742">
        <v>3.2528739659768801E-216</v>
      </c>
      <c r="DE100" s="742">
        <v>-4.7281992565519702E-26</v>
      </c>
      <c r="DF100" s="742">
        <v>7.8117337652988298E-21</v>
      </c>
      <c r="DG100" s="742">
        <v>0.342782259694206</v>
      </c>
      <c r="DH100" s="742">
        <v>3.2534456530754199E-216</v>
      </c>
      <c r="DI100" s="742">
        <v>-4.7270450860015698E-26</v>
      </c>
      <c r="DJ100" s="742">
        <v>7.8090399179575906E-21</v>
      </c>
      <c r="DK100" s="742">
        <v>1.4217415523136501E-13</v>
      </c>
      <c r="DL100" s="742">
        <v>3.40595249088818E-216</v>
      </c>
      <c r="DM100" s="742">
        <v>5.2318353855344203E-96</v>
      </c>
      <c r="DN100" s="742">
        <v>-4.3978389201932798E-92</v>
      </c>
      <c r="DO100" s="742">
        <v>0.34278189996178599</v>
      </c>
      <c r="DP100" s="742">
        <v>1.2405573118695401E-215</v>
      </c>
      <c r="DQ100" s="742">
        <v>1.0420045741887E-101</v>
      </c>
      <c r="DR100" s="742">
        <v>2.1104898335502799E-214</v>
      </c>
      <c r="DS100" s="742">
        <v>1.0779607569747699E-214</v>
      </c>
      <c r="DT100" s="742">
        <v>1.09878697680293E-101</v>
      </c>
      <c r="DU100" s="742">
        <v>-2.3044276957685699E-213</v>
      </c>
      <c r="DV100" s="742">
        <v>0.34278273491512201</v>
      </c>
      <c r="DW100" s="742">
        <v>4.7723285182330403E-215</v>
      </c>
      <c r="DX100" s="742">
        <v>-1.36787958046776E-25</v>
      </c>
      <c r="DY100" s="742">
        <v>1.8306987960167501E-19</v>
      </c>
      <c r="DZ100" s="742">
        <v>0.34278297096499599</v>
      </c>
      <c r="EA100" s="742">
        <v>4.7730402380258696E-215</v>
      </c>
      <c r="EB100" s="742">
        <v>-1.80131898840353E-22</v>
      </c>
      <c r="EC100" s="742">
        <v>2.3816767133164198E-16</v>
      </c>
      <c r="ED100" s="742">
        <v>0.34278302893603801</v>
      </c>
      <c r="EE100" s="742">
        <v>4.7738321706385301E-215</v>
      </c>
      <c r="EF100" s="742">
        <v>-1.69171352721586E-15</v>
      </c>
      <c r="EG100" s="742">
        <v>2.7960708537071802E-10</v>
      </c>
      <c r="EH100" s="742">
        <v>4.1156388820112998E-14</v>
      </c>
      <c r="EI100" s="742">
        <v>6.4100360873015105E-215</v>
      </c>
      <c r="EJ100" s="742">
        <v>-1.6313923498377199E-91</v>
      </c>
      <c r="EK100" s="742">
        <v>-4.5957461741022697E-92</v>
      </c>
      <c r="EL100" s="742">
        <v>0.34278327249150797</v>
      </c>
      <c r="EM100" s="742">
        <v>8.7926581716476198E-216</v>
      </c>
      <c r="EN100" s="742">
        <v>6.1773891938112402E-102</v>
      </c>
      <c r="EO100" s="742">
        <v>5.9087621362832005E-216</v>
      </c>
      <c r="EP100" s="742">
        <v>1.09971095720111E-215</v>
      </c>
      <c r="EQ100" s="742">
        <v>6.2393960129125201E-102</v>
      </c>
      <c r="ER100" s="742">
        <v>7.3900308218622496E-216</v>
      </c>
      <c r="ES100" s="742">
        <v>0.34278694950979599</v>
      </c>
      <c r="ET100" s="742">
        <v>1.0012077852042E-215</v>
      </c>
      <c r="EU100" s="742">
        <v>3.8203156626891898E-34</v>
      </c>
      <c r="EV100" s="742">
        <v>4.6360538402660498E-25</v>
      </c>
      <c r="EW100" s="742">
        <v>0.34278696581060197</v>
      </c>
      <c r="EX100" s="742">
        <v>1.00135842775143E-215</v>
      </c>
      <c r="EY100" s="742">
        <v>6.9420386329230498E-31</v>
      </c>
      <c r="EZ100" s="742">
        <v>7.7920561655776697E-22</v>
      </c>
      <c r="FA100" s="742">
        <v>0.34278702379514903</v>
      </c>
      <c r="FB100" s="742">
        <v>1.0015269717553099E-215</v>
      </c>
      <c r="FC100" s="742">
        <v>6.9398104721213904E-31</v>
      </c>
      <c r="FD100" s="742">
        <v>7.7892804939253199E-22</v>
      </c>
      <c r="FE100" s="742">
        <v>9.2394988661265598E-12</v>
      </c>
      <c r="FF100" s="742">
        <v>1.0132513486553E-215</v>
      </c>
      <c r="FG100" s="742">
        <v>2.54601405709868E-96</v>
      </c>
      <c r="FH100" s="742">
        <v>-4.4971039291640901E-92</v>
      </c>
    </row>
    <row r="101" spans="1:164" ht="12.75" customHeight="1" x14ac:dyDescent="0.2">
      <c r="A101" s="489"/>
      <c r="B101" s="489"/>
      <c r="C101" s="489"/>
      <c r="D101" s="489"/>
      <c r="E101" s="489"/>
      <c r="F101" s="744"/>
      <c r="G101" s="745"/>
      <c r="H101" s="506"/>
      <c r="I101" s="750">
        <v>6700712.5299417796</v>
      </c>
      <c r="J101" s="742">
        <v>0.32424808332524102</v>
      </c>
      <c r="K101" s="742">
        <v>9.6218248926935906E-223</v>
      </c>
      <c r="L101" s="742">
        <v>5.7170440027377304E-108</v>
      </c>
      <c r="M101" s="742">
        <v>1.43004964375387E-222</v>
      </c>
      <c r="N101" s="742">
        <v>1.53281616777092E-222</v>
      </c>
      <c r="O101" s="742">
        <v>5.8245429488410603E-108</v>
      </c>
      <c r="P101" s="742">
        <v>2.2781572273750701E-222</v>
      </c>
      <c r="Q101" s="742">
        <v>8.8866357621359402E-17</v>
      </c>
      <c r="R101" s="742">
        <v>1.0932696982209699E-222</v>
      </c>
      <c r="S101" s="742">
        <v>2.1004749222608501E-107</v>
      </c>
      <c r="T101" s="742">
        <v>-4.3386470932433196E-115</v>
      </c>
      <c r="U101" s="742">
        <v>5.0679629532820801E-18</v>
      </c>
      <c r="V101" s="742">
        <v>1.13583326563227E-225</v>
      </c>
      <c r="W101" s="742">
        <v>-5.4367828342131203E-98</v>
      </c>
      <c r="X101" s="742">
        <v>-1.0297385894396999E-98</v>
      </c>
      <c r="Y101" s="742">
        <v>0.277931129179388</v>
      </c>
      <c r="Z101" s="742">
        <v>8.1698439641169797E-223</v>
      </c>
      <c r="AA101" s="742">
        <v>-2.73734580989018E-39</v>
      </c>
      <c r="AB101" s="742">
        <v>8.4045207579671004E-36</v>
      </c>
      <c r="AC101" s="742">
        <v>4.1955903861413898E-19</v>
      </c>
      <c r="AD101" s="742">
        <v>1.21978027074099E-222</v>
      </c>
      <c r="AE101" s="742">
        <v>-2.1705915117138402E-95</v>
      </c>
      <c r="AF101" s="742">
        <v>-1.72383399499787E-95</v>
      </c>
      <c r="AG101" s="742">
        <v>4.8490019760049998E-18</v>
      </c>
      <c r="AH101" s="742">
        <v>1.2672692070380501E-225</v>
      </c>
      <c r="AI101" s="742">
        <v>-2.92085581225895E-95</v>
      </c>
      <c r="AJ101" s="742">
        <v>-1.13920012717111E-95</v>
      </c>
      <c r="AK101" s="742">
        <v>0.27695329853398198</v>
      </c>
      <c r="AL101" s="742">
        <v>8.2221624390945806E-223</v>
      </c>
      <c r="AM101" s="742">
        <v>-3.4903932811218702E-39</v>
      </c>
      <c r="AN101" s="742">
        <v>1.0712791588519501E-35</v>
      </c>
      <c r="AO101" s="742">
        <v>2.2250523588951301E-16</v>
      </c>
      <c r="AP101" s="742">
        <v>1.20790331348049E-222</v>
      </c>
      <c r="AQ101" s="742">
        <v>1.0009187391696101E-100</v>
      </c>
      <c r="AR101" s="742">
        <v>-6.1430807689689301E-96</v>
      </c>
      <c r="AS101" s="742">
        <v>6.3020786335752497E-18</v>
      </c>
      <c r="AT101" s="742">
        <v>1.20411060437938E-224</v>
      </c>
      <c r="AU101" s="742">
        <v>-3.8212099093120802E-97</v>
      </c>
      <c r="AV101" s="742">
        <v>-5.86019138965123E-96</v>
      </c>
      <c r="AW101" s="742">
        <v>2.2250523588951301E-16</v>
      </c>
      <c r="AX101" s="742">
        <v>1.20790337838771E-222</v>
      </c>
      <c r="AY101" s="742">
        <v>1.00091874297713E-100</v>
      </c>
      <c r="AZ101" s="742">
        <v>-6.1430807587875702E-96</v>
      </c>
      <c r="BA101" s="742">
        <v>0.33567112052606501</v>
      </c>
      <c r="BB101" s="742">
        <v>3.6192982980331202E-222</v>
      </c>
      <c r="BC101" s="742">
        <v>2.80440933932925E-107</v>
      </c>
      <c r="BD101" s="742">
        <v>3.0628352599391899E-222</v>
      </c>
      <c r="BE101" s="742">
        <v>5.7657653300685398E-222</v>
      </c>
      <c r="BF101" s="742">
        <v>2.8571413104035501E-107</v>
      </c>
      <c r="BG101" s="742">
        <v>4.87928556649502E-222</v>
      </c>
      <c r="BH101" s="742">
        <v>1.3308211273311299E-15</v>
      </c>
      <c r="BI101" s="742">
        <v>4.0308030680807898E-222</v>
      </c>
      <c r="BJ101" s="742">
        <v>1.5867433184293301E-106</v>
      </c>
      <c r="BK101" s="742">
        <v>6.9584375547072902E-116</v>
      </c>
      <c r="BL101" s="742">
        <v>2.8753114808983898E-15</v>
      </c>
      <c r="BM101" s="742">
        <v>4.0307797662892703E-222</v>
      </c>
      <c r="BN101" s="742">
        <v>-9.11483641406098E-97</v>
      </c>
      <c r="BO101" s="742">
        <v>-7.9505855983995095E-98</v>
      </c>
      <c r="BP101" s="742">
        <v>0.33588371357935098</v>
      </c>
      <c r="BQ101" s="742">
        <v>4.0466733614231202E-222</v>
      </c>
      <c r="BR101" s="742">
        <v>-4.3661902444132198E-35</v>
      </c>
      <c r="BS101" s="742">
        <v>3.0290237412444999E-31</v>
      </c>
      <c r="BT101" s="742">
        <v>1.3168132402694201E-15</v>
      </c>
      <c r="BU101" s="742">
        <v>4.0778252187547999E-222</v>
      </c>
      <c r="BV101" s="742">
        <v>-4.2120862066930097E-95</v>
      </c>
      <c r="BW101" s="742">
        <v>-1.8089669702908001E-95</v>
      </c>
      <c r="BX101" s="742">
        <v>2.8634409991941798E-15</v>
      </c>
      <c r="BY101" s="742">
        <v>4.0778010010774297E-222</v>
      </c>
      <c r="BZ101" s="742">
        <v>-3.4446104476031701E-94</v>
      </c>
      <c r="CA101" s="742">
        <v>-1.40714164783325E-95</v>
      </c>
      <c r="CB101" s="742">
        <v>0.33588366870837699</v>
      </c>
      <c r="CC101" s="742">
        <v>4.04738364634604E-222</v>
      </c>
      <c r="CD101" s="742">
        <v>-2.1280336833364398E-33</v>
      </c>
      <c r="CE101" s="742">
        <v>-4.9999027043041204E-31</v>
      </c>
      <c r="CF101" s="742">
        <v>3.3847746597638702E-15</v>
      </c>
      <c r="CG101" s="742">
        <v>4.5435888262101702E-222</v>
      </c>
      <c r="CH101" s="742">
        <v>2.2552508777411099E-100</v>
      </c>
      <c r="CI101" s="742">
        <v>-6.2928040431441702E-96</v>
      </c>
      <c r="CJ101" s="742">
        <v>3.1557354251017701E-15</v>
      </c>
      <c r="CK101" s="742">
        <v>4.5435887660041197E-222</v>
      </c>
      <c r="CL101" s="742">
        <v>-1.05622199112181E-96</v>
      </c>
      <c r="CM101" s="742">
        <v>-6.2882605420422804E-96</v>
      </c>
      <c r="CN101" s="742">
        <v>3.3847746597638702E-15</v>
      </c>
      <c r="CO101" s="742">
        <v>4.5435888901683002E-222</v>
      </c>
      <c r="CP101" s="742">
        <v>2.2552508733811601E-100</v>
      </c>
      <c r="CQ101" s="742">
        <v>-6.2928040402804901E-96</v>
      </c>
      <c r="CR101" s="742">
        <v>0.335929643926758</v>
      </c>
      <c r="CS101" s="742">
        <v>1.3496999192170901E-221</v>
      </c>
      <c r="CT101" s="742">
        <v>2.5357199348825598E-106</v>
      </c>
      <c r="CU101" s="742">
        <v>1.05685534183385E-221</v>
      </c>
      <c r="CV101" s="742">
        <v>2.1501549248071501E-221</v>
      </c>
      <c r="CW101" s="742">
        <v>2.5833996857548899E-106</v>
      </c>
      <c r="CX101" s="742">
        <v>1.6833236770487E-221</v>
      </c>
      <c r="CY101" s="742">
        <v>0.33592952752892502</v>
      </c>
      <c r="CZ101" s="742">
        <v>1.7363534878043701E-221</v>
      </c>
      <c r="DA101" s="742">
        <v>-1.21245715531692E-32</v>
      </c>
      <c r="DB101" s="742">
        <v>2.0289633864875999E-27</v>
      </c>
      <c r="DC101" s="742">
        <v>0.33592993999068699</v>
      </c>
      <c r="DD101" s="742">
        <v>1.7366274479416101E-221</v>
      </c>
      <c r="DE101" s="742">
        <v>-1.52830061739379E-29</v>
      </c>
      <c r="DF101" s="742">
        <v>2.5250928401981801E-24</v>
      </c>
      <c r="DG101" s="742">
        <v>0.33592999674985602</v>
      </c>
      <c r="DH101" s="742">
        <v>1.7369326164066001E-221</v>
      </c>
      <c r="DI101" s="742">
        <v>-2.2174893065117299E-29</v>
      </c>
      <c r="DJ101" s="742">
        <v>3.66362704524551E-24</v>
      </c>
      <c r="DK101" s="742">
        <v>1.3933207496616901E-13</v>
      </c>
      <c r="DL101" s="742">
        <v>1.81835182255056E-221</v>
      </c>
      <c r="DM101" s="742">
        <v>6.7387807281798797E-100</v>
      </c>
      <c r="DN101" s="742">
        <v>-6.4690791180313797E-96</v>
      </c>
      <c r="DO101" s="742">
        <v>0.33592964420853499</v>
      </c>
      <c r="DP101" s="742">
        <v>6.6230199773425702E-221</v>
      </c>
      <c r="DQ101" s="742">
        <v>1.1223572382607699E-105</v>
      </c>
      <c r="DR101" s="742">
        <v>1.1367596180648101E-219</v>
      </c>
      <c r="DS101" s="742">
        <v>6.6611565333622697E-220</v>
      </c>
      <c r="DT101" s="742">
        <v>1.18351833876164E-105</v>
      </c>
      <c r="DU101" s="742">
        <v>-1.16873554081392E-218</v>
      </c>
      <c r="DV101" s="742">
        <v>0.33593046247104302</v>
      </c>
      <c r="DW101" s="742">
        <v>2.8833276682810401E-220</v>
      </c>
      <c r="DX101" s="742">
        <v>-4.25553057295105E-29</v>
      </c>
      <c r="DY101" s="742">
        <v>5.6928369128457004E-23</v>
      </c>
      <c r="DZ101" s="742">
        <v>0.33593069380224899</v>
      </c>
      <c r="EA101" s="742">
        <v>2.8837628026462501E-220</v>
      </c>
      <c r="EB101" s="742">
        <v>-4.22267611487255E-26</v>
      </c>
      <c r="EC101" s="742">
        <v>5.5832446236049805E-20</v>
      </c>
      <c r="ED101" s="742">
        <v>0.335930750614442</v>
      </c>
      <c r="EE101" s="742">
        <v>2.8842466992917099E-220</v>
      </c>
      <c r="EF101" s="742">
        <v>-2.4647240144800601E-19</v>
      </c>
      <c r="EG101" s="742">
        <v>4.0737105494054802E-14</v>
      </c>
      <c r="EH101" s="742">
        <v>4.0333667163401902E-14</v>
      </c>
      <c r="EI101" s="742">
        <v>3.9132317014385498E-220</v>
      </c>
      <c r="EJ101" s="742">
        <v>-2.2838788774857502E-95</v>
      </c>
      <c r="EK101" s="742">
        <v>-6.7601943147599399E-96</v>
      </c>
      <c r="EL101" s="742">
        <v>0.33593098930120602</v>
      </c>
      <c r="EM101" s="742">
        <v>4.6941760875598803E-221</v>
      </c>
      <c r="EN101" s="742">
        <v>6.6537496158313303E-106</v>
      </c>
      <c r="EO101" s="742">
        <v>3.1547814525032001E-221</v>
      </c>
      <c r="EP101" s="742">
        <v>5.8710765317189298E-221</v>
      </c>
      <c r="EQ101" s="742">
        <v>6.7205379963475402E-106</v>
      </c>
      <c r="ER101" s="742">
        <v>3.9456554735428199E-221</v>
      </c>
      <c r="ES101" s="742">
        <v>0.33593459281540899</v>
      </c>
      <c r="ET101" s="742">
        <v>5.3451941578766099E-221</v>
      </c>
      <c r="EU101" s="742">
        <v>-1.4627625174569901E-35</v>
      </c>
      <c r="EV101" s="742">
        <v>1.7174742250016399E-28</v>
      </c>
      <c r="EW101" s="742">
        <v>0.33593460879036002</v>
      </c>
      <c r="EX101" s="742">
        <v>5.3459971233133402E-221</v>
      </c>
      <c r="EY101" s="742">
        <v>-2.6625219703256298E-32</v>
      </c>
      <c r="EZ101" s="742">
        <v>2.28217435718669E-25</v>
      </c>
      <c r="FA101" s="742">
        <v>0.335934665615788</v>
      </c>
      <c r="FB101" s="742">
        <v>5.3468971107532897E-221</v>
      </c>
      <c r="FC101" s="742">
        <v>-2.6532595200268398E-32</v>
      </c>
      <c r="FD101" s="742">
        <v>3.41775326741333E-25</v>
      </c>
      <c r="FE101" s="742">
        <v>9.0548000553969793E-12</v>
      </c>
      <c r="FF101" s="742">
        <v>5.40949096929698E-221</v>
      </c>
      <c r="FG101" s="742">
        <v>2.9634617419603402E-100</v>
      </c>
      <c r="FH101" s="742">
        <v>-6.6150947309576703E-96</v>
      </c>
    </row>
    <row r="102" spans="1:164" ht="12.75" customHeight="1" x14ac:dyDescent="0.25">
      <c r="A102" s="489"/>
      <c r="B102" s="507"/>
      <c r="C102" s="513"/>
      <c r="D102" s="513"/>
      <c r="E102" s="513"/>
      <c r="F102" s="744"/>
      <c r="G102" s="745"/>
      <c r="H102" s="506"/>
      <c r="I102" s="750">
        <v>6784471.4365660502</v>
      </c>
      <c r="J102" s="742">
        <v>0.31776632105626701</v>
      </c>
      <c r="K102" s="742">
        <v>-2.9874677113150002E-223</v>
      </c>
      <c r="L102" s="742">
        <v>-1.77504670089282E-108</v>
      </c>
      <c r="M102" s="742">
        <v>-4.4401422815990799E-223</v>
      </c>
      <c r="N102" s="742">
        <v>-4.75922075173692E-223</v>
      </c>
      <c r="O102" s="742">
        <v>-1.8084233330728201E-108</v>
      </c>
      <c r="P102" s="742">
        <v>-7.0734200276975692E-223</v>
      </c>
      <c r="Q102" s="742">
        <v>8.7089907324709405E-17</v>
      </c>
      <c r="R102" s="742">
        <v>-3.3944787999124101E-223</v>
      </c>
      <c r="S102" s="742">
        <v>-6.5216239156040496E-108</v>
      </c>
      <c r="T102" s="742">
        <v>1.34708205909208E-115</v>
      </c>
      <c r="U102" s="742">
        <v>4.9666537149227997E-18</v>
      </c>
      <c r="V102" s="742">
        <v>-3.5266340292613498E-226</v>
      </c>
      <c r="W102" s="742">
        <v>1.6880215981512201E-98</v>
      </c>
      <c r="X102" s="742">
        <v>3.1971450901099402E-99</v>
      </c>
      <c r="Y102" s="742">
        <v>0.27237524897798898</v>
      </c>
      <c r="Z102" s="742">
        <v>-2.5366439602009402E-223</v>
      </c>
      <c r="AA102" s="742">
        <v>8.4987010161151298E-40</v>
      </c>
      <c r="AB102" s="742">
        <v>-2.60937122002103E-36</v>
      </c>
      <c r="AC102" s="742">
        <v>4.11171997684258E-19</v>
      </c>
      <c r="AD102" s="742">
        <v>-3.7872795301000198E-223</v>
      </c>
      <c r="AE102" s="742">
        <v>6.7392798205379596E-96</v>
      </c>
      <c r="AF102" s="742">
        <v>5.3521814606302801E-96</v>
      </c>
      <c r="AG102" s="742">
        <v>4.7520697968704897E-18</v>
      </c>
      <c r="AH102" s="742">
        <v>-3.93472739171953E-226</v>
      </c>
      <c r="AI102" s="742">
        <v>9.0687094382664898E-96</v>
      </c>
      <c r="AJ102" s="742">
        <v>3.53700282555085E-96</v>
      </c>
      <c r="AK102" s="742">
        <v>0.27141696529711101</v>
      </c>
      <c r="AL102" s="742">
        <v>-2.5528884768232899E-223</v>
      </c>
      <c r="AM102" s="742">
        <v>1.08365607410198E-39</v>
      </c>
      <c r="AN102" s="742">
        <v>-3.3259811462394998E-36</v>
      </c>
      <c r="AO102" s="742">
        <v>2.1805732665949501E-16</v>
      </c>
      <c r="AP102" s="742">
        <v>-3.7504033040185703E-223</v>
      </c>
      <c r="AQ102" s="742">
        <v>-3.1076744717608899E-101</v>
      </c>
      <c r="AR102" s="742">
        <v>1.9073113071348102E-96</v>
      </c>
      <c r="AS102" s="742">
        <v>6.1760992732227799E-18</v>
      </c>
      <c r="AT102" s="742">
        <v>-3.7386270795167201E-225</v>
      </c>
      <c r="AU102" s="742">
        <v>1.1864157649347599E-97</v>
      </c>
      <c r="AV102" s="742">
        <v>1.8194794615769599E-96</v>
      </c>
      <c r="AW102" s="742">
        <v>2.1805732665949501E-16</v>
      </c>
      <c r="AX102" s="742">
        <v>-3.7504036016605201E-223</v>
      </c>
      <c r="AY102" s="742">
        <v>-3.10767448365755E-101</v>
      </c>
      <c r="AZ102" s="742">
        <v>1.9073113033764201E-96</v>
      </c>
      <c r="BA102" s="742">
        <v>0.328961010225651</v>
      </c>
      <c r="BB102" s="742">
        <v>-1.12375128022458E-222</v>
      </c>
      <c r="BC102" s="742">
        <v>-8.7072227498804707E-108</v>
      </c>
      <c r="BD102" s="742">
        <v>-9.5097567170309998E-223</v>
      </c>
      <c r="BE102" s="742">
        <v>-1.7902050851154201E-222</v>
      </c>
      <c r="BF102" s="742">
        <v>-8.8709467237174202E-108</v>
      </c>
      <c r="BG102" s="742">
        <v>-1.5149629308526001E-222</v>
      </c>
      <c r="BH102" s="742">
        <v>1.3042178361677401E-15</v>
      </c>
      <c r="BI102" s="742">
        <v>-1.25151884143738E-222</v>
      </c>
      <c r="BJ102" s="742">
        <v>-4.9265730644020298E-107</v>
      </c>
      <c r="BK102" s="742">
        <v>-2.1604855950622699E-116</v>
      </c>
      <c r="BL102" s="742">
        <v>2.8178336223649999E-15</v>
      </c>
      <c r="BM102" s="742">
        <v>-1.25151165653694E-222</v>
      </c>
      <c r="BN102" s="742">
        <v>2.8299893217711999E-97</v>
      </c>
      <c r="BO102" s="742">
        <v>2.4685087302848801E-98</v>
      </c>
      <c r="BP102" s="742">
        <v>0.32916935351555399</v>
      </c>
      <c r="BQ102" s="742">
        <v>-1.25644634810912E-222</v>
      </c>
      <c r="BR102" s="742">
        <v>1.3555862132122701E-35</v>
      </c>
      <c r="BS102" s="742">
        <v>-9.4043151039716501E-32</v>
      </c>
      <c r="BT102" s="742">
        <v>1.2904899686299399E-15</v>
      </c>
      <c r="BU102" s="742">
        <v>-1.26611869631586E-222</v>
      </c>
      <c r="BV102" s="742">
        <v>1.30777382186743E-95</v>
      </c>
      <c r="BW102" s="742">
        <v>5.6165034027734304E-96</v>
      </c>
      <c r="BX102" s="742">
        <v>2.8062004331678098E-15</v>
      </c>
      <c r="BY102" s="742">
        <v>-1.26611120213451E-222</v>
      </c>
      <c r="BZ102" s="742">
        <v>1.06948758767155E-94</v>
      </c>
      <c r="CA102" s="742">
        <v>4.3689132264783498E-96</v>
      </c>
      <c r="CB102" s="742">
        <v>0.32916930954155699</v>
      </c>
      <c r="CC102" s="742">
        <v>-1.2566667485892701E-222</v>
      </c>
      <c r="CD102" s="742">
        <v>6.6071400901917297E-34</v>
      </c>
      <c r="CE102" s="742">
        <v>1.5524232829857099E-31</v>
      </c>
      <c r="CF102" s="742">
        <v>3.3171125645753801E-15</v>
      </c>
      <c r="CG102" s="742">
        <v>-1.4107331533820501E-222</v>
      </c>
      <c r="CH102" s="742">
        <v>-7.0021524366726003E-101</v>
      </c>
      <c r="CI102" s="742">
        <v>1.9537975742898899E-96</v>
      </c>
      <c r="CJ102" s="742">
        <v>3.0926518546758799E-15</v>
      </c>
      <c r="CK102" s="742">
        <v>-1.4107331513054001E-222</v>
      </c>
      <c r="CL102" s="742">
        <v>3.27937603124749E-97</v>
      </c>
      <c r="CM102" s="742">
        <v>1.9523869010799401E-96</v>
      </c>
      <c r="CN102" s="742">
        <v>3.3171125645753801E-15</v>
      </c>
      <c r="CO102" s="742">
        <v>-1.4107330676065299E-222</v>
      </c>
      <c r="CP102" s="742">
        <v>-7.0021524324964805E-101</v>
      </c>
      <c r="CQ102" s="742">
        <v>1.9537975742338898E-96</v>
      </c>
      <c r="CR102" s="742">
        <v>0.32921436570921397</v>
      </c>
      <c r="CS102" s="742">
        <v>-4.1906658473345203E-222</v>
      </c>
      <c r="CT102" s="742">
        <v>-7.8729870031085801E-107</v>
      </c>
      <c r="CU102" s="742">
        <v>-3.2814161051999298E-222</v>
      </c>
      <c r="CV102" s="742">
        <v>-6.6759881851319602E-222</v>
      </c>
      <c r="CW102" s="742">
        <v>-8.0210246960053895E-107</v>
      </c>
      <c r="CX102" s="742">
        <v>-5.2265294582281502E-222</v>
      </c>
      <c r="CY102" s="742">
        <v>0.32921425163818901</v>
      </c>
      <c r="CZ102" s="742">
        <v>-5.3911812659022902E-222</v>
      </c>
      <c r="DA102" s="742">
        <v>3.7643844560766798E-33</v>
      </c>
      <c r="DB102" s="742">
        <v>-6.2994377167747797E-28</v>
      </c>
      <c r="DC102" s="742">
        <v>0.32921465585478599</v>
      </c>
      <c r="DD102" s="742">
        <v>-5.3920325891169698E-222</v>
      </c>
      <c r="DE102" s="742">
        <v>4.7450289818853698E-30</v>
      </c>
      <c r="DF102" s="742">
        <v>-7.8398441795547204E-25</v>
      </c>
      <c r="DG102" s="742">
        <v>0.32921471147933201</v>
      </c>
      <c r="DH102" s="742">
        <v>-5.3929796647046303E-222</v>
      </c>
      <c r="DI102" s="742">
        <v>6.8847140130375899E-30</v>
      </c>
      <c r="DJ102" s="742">
        <v>-1.1374586721097999E-24</v>
      </c>
      <c r="DK102" s="742">
        <v>1.36546808274345E-13</v>
      </c>
      <c r="DL102" s="742">
        <v>-5.6457772186258703E-222</v>
      </c>
      <c r="DM102" s="742">
        <v>-2.0922714356189599E-100</v>
      </c>
      <c r="DN102" s="742">
        <v>2.0085276742073302E-96</v>
      </c>
      <c r="DO102" s="742">
        <v>0.32921436598535803</v>
      </c>
      <c r="DP102" s="742">
        <v>-2.05637273580493E-221</v>
      </c>
      <c r="DQ102" s="742">
        <v>-3.4847318279101098E-106</v>
      </c>
      <c r="DR102" s="742">
        <v>-3.5295098343681399E-220</v>
      </c>
      <c r="DS102" s="742">
        <v>-2.0682134431876299E-220</v>
      </c>
      <c r="DT102" s="742">
        <v>-3.6746268356941102E-106</v>
      </c>
      <c r="DU102" s="742">
        <v>3.6287916307407201E-219</v>
      </c>
      <c r="DV102" s="742">
        <v>0.32921516789069</v>
      </c>
      <c r="DW102" s="742">
        <v>-8.9524043648322605E-221</v>
      </c>
      <c r="DX102" s="742">
        <v>1.32124791380914E-29</v>
      </c>
      <c r="DY102" s="742">
        <v>-1.7674996994225999E-23</v>
      </c>
      <c r="DZ102" s="742">
        <v>0.329215394597554</v>
      </c>
      <c r="EA102" s="742">
        <v>-8.9537559044535801E-221</v>
      </c>
      <c r="EB102" s="742">
        <v>1.3110545320521099E-26</v>
      </c>
      <c r="EC102" s="742">
        <v>-1.7334832198719299E-20</v>
      </c>
      <c r="ED102" s="742">
        <v>0.32921545027406501</v>
      </c>
      <c r="EE102" s="742">
        <v>-8.9552584437223599E-221</v>
      </c>
      <c r="EF102" s="742">
        <v>7.6525072603118504E-20</v>
      </c>
      <c r="EG102" s="742">
        <v>-1.2648109628477601E-14</v>
      </c>
      <c r="EH102" s="742">
        <v>3.9527391801939701E-14</v>
      </c>
      <c r="EI102" s="742">
        <v>-1.21501395350064E-220</v>
      </c>
      <c r="EJ102" s="742">
        <v>7.0910238711523199E-96</v>
      </c>
      <c r="EK102" s="742">
        <v>2.0989134820921E-96</v>
      </c>
      <c r="EL102" s="742">
        <v>0.32921568418944802</v>
      </c>
      <c r="EM102" s="742">
        <v>-1.4574884356219799E-221</v>
      </c>
      <c r="EN102" s="742">
        <v>-2.0658781638581599E-106</v>
      </c>
      <c r="EO102" s="742">
        <v>-9.7952394811321599E-222</v>
      </c>
      <c r="EP102" s="742">
        <v>-1.8229027411645699E-221</v>
      </c>
      <c r="EQ102" s="742">
        <v>-2.08661484729306E-106</v>
      </c>
      <c r="ER102" s="742">
        <v>-1.2250813334282E-221</v>
      </c>
      <c r="ES102" s="742">
        <v>0.32921921566892298</v>
      </c>
      <c r="ET102" s="742">
        <v>-1.6596223711169E-221</v>
      </c>
      <c r="EU102" s="742">
        <v>4.5414191956233697E-36</v>
      </c>
      <c r="EV102" s="742">
        <v>-5.3323257654144399E-29</v>
      </c>
      <c r="EW102" s="742">
        <v>0.32921923132453301</v>
      </c>
      <c r="EX102" s="742">
        <v>-1.6598714754036899E-221</v>
      </c>
      <c r="EY102" s="742">
        <v>8.2664057210063202E-33</v>
      </c>
      <c r="EZ102" s="742">
        <v>-7.0856100932657901E-26</v>
      </c>
      <c r="FA102" s="742">
        <v>0.32921928701401199</v>
      </c>
      <c r="FB102" s="742">
        <v>-1.6601510253373999E-221</v>
      </c>
      <c r="FC102" s="742">
        <v>8.2374437150479605E-33</v>
      </c>
      <c r="FD102" s="742">
        <v>-1.0611195579525099E-25</v>
      </c>
      <c r="FE102" s="742">
        <v>8.8737933991654602E-12</v>
      </c>
      <c r="FF102" s="742">
        <v>-1.67958562648024E-221</v>
      </c>
      <c r="FG102" s="742">
        <v>-9.2010403409951406E-101</v>
      </c>
      <c r="FH102" s="742">
        <v>2.0538627813549302E-96</v>
      </c>
    </row>
    <row r="103" spans="1:164" ht="12.75" customHeight="1" x14ac:dyDescent="0.2">
      <c r="A103" s="489"/>
      <c r="B103" s="508"/>
      <c r="C103" s="513"/>
      <c r="D103" s="513"/>
      <c r="E103" s="513"/>
      <c r="F103" s="744"/>
      <c r="G103" s="745"/>
      <c r="H103" s="506"/>
      <c r="I103" s="750">
        <v>6868230.3431903198</v>
      </c>
      <c r="J103" s="742">
        <v>0.31141413007484198</v>
      </c>
      <c r="K103" s="742">
        <v>6.3571203125558199E-224</v>
      </c>
      <c r="L103" s="742">
        <v>3.7769862540490998E-109</v>
      </c>
      <c r="M103" s="742">
        <v>9.4483090153652108E-224</v>
      </c>
      <c r="N103" s="742">
        <v>1.01272856170539E-223</v>
      </c>
      <c r="O103" s="742">
        <v>3.8480058585957699E-109</v>
      </c>
      <c r="P103" s="742">
        <v>1.50517366274421E-223</v>
      </c>
      <c r="Q103" s="742">
        <v>8.53489685051321E-17</v>
      </c>
      <c r="R103" s="742">
        <v>7.2232117746584197E-224</v>
      </c>
      <c r="S103" s="742">
        <v>1.3876865272576E-108</v>
      </c>
      <c r="T103" s="742">
        <v>-2.86638090750447E-116</v>
      </c>
      <c r="U103" s="742">
        <v>4.8673696431229503E-18</v>
      </c>
      <c r="V103" s="742">
        <v>7.5044294884732799E-227</v>
      </c>
      <c r="W103" s="742">
        <v>-3.5917591614380899E-99</v>
      </c>
      <c r="X103" s="742">
        <v>-6.8028308882380204E-100</v>
      </c>
      <c r="Y103" s="742">
        <v>0.26693043155879198</v>
      </c>
      <c r="Z103" s="742">
        <v>5.3977985587727401E-224</v>
      </c>
      <c r="AA103" s="742">
        <v>-1.80819034780048E-40</v>
      </c>
      <c r="AB103" s="742">
        <v>5.5517198802541202E-37</v>
      </c>
      <c r="AC103" s="742">
        <v>4.0295261481583399E-19</v>
      </c>
      <c r="AD103" s="742">
        <v>8.0590636183887998E-224</v>
      </c>
      <c r="AE103" s="742">
        <v>-1.4339727795161899E-96</v>
      </c>
      <c r="AF103" s="742">
        <v>-1.13882829013077E-96</v>
      </c>
      <c r="AG103" s="742">
        <v>4.65707528605033E-18</v>
      </c>
      <c r="AH103" s="742">
        <v>8.3728225012653098E-227</v>
      </c>
      <c r="AI103" s="742">
        <v>-1.92962469709198E-96</v>
      </c>
      <c r="AJ103" s="742">
        <v>-7.5259756208264597E-97</v>
      </c>
      <c r="AK103" s="742">
        <v>0.265991304096027</v>
      </c>
      <c r="AL103" s="742">
        <v>5.4323666405300299E-224</v>
      </c>
      <c r="AM103" s="742">
        <v>-2.3055072813834201E-40</v>
      </c>
      <c r="AN103" s="742">
        <v>7.0761148530177198E-37</v>
      </c>
      <c r="AO103" s="742">
        <v>2.1369833172499199E-16</v>
      </c>
      <c r="AP103" s="742">
        <v>7.9805939659859798E-224</v>
      </c>
      <c r="AQ103" s="742">
        <v>6.6125154709781297E-102</v>
      </c>
      <c r="AR103" s="742">
        <v>-4.0583445472718902E-97</v>
      </c>
      <c r="AS103" s="742">
        <v>6.05263821992507E-18</v>
      </c>
      <c r="AT103" s="742">
        <v>7.9555340624775299E-226</v>
      </c>
      <c r="AU103" s="742">
        <v>-2.5244461938944699E-98</v>
      </c>
      <c r="AV103" s="742">
        <v>-3.87145742246992E-97</v>
      </c>
      <c r="AW103" s="742">
        <v>2.1369833172499199E-16</v>
      </c>
      <c r="AX103" s="742">
        <v>7.9805951992241302E-224</v>
      </c>
      <c r="AY103" s="742">
        <v>6.6125154706240297E-102</v>
      </c>
      <c r="AZ103" s="742">
        <v>-4.0583445381627699E-97</v>
      </c>
      <c r="BA103" s="742">
        <v>0.32238503592022499</v>
      </c>
      <c r="BB103" s="742">
        <v>2.3912637470886101E-223</v>
      </c>
      <c r="BC103" s="742">
        <v>1.8527434083954399E-108</v>
      </c>
      <c r="BD103" s="742">
        <v>2.0236089171473999E-223</v>
      </c>
      <c r="BE103" s="742">
        <v>3.8094303305709797E-223</v>
      </c>
      <c r="BF103" s="742">
        <v>1.8875809882651601E-108</v>
      </c>
      <c r="BG103" s="742">
        <v>3.22373371341734E-223</v>
      </c>
      <c r="BH103" s="742">
        <v>1.27814634832352E-15</v>
      </c>
      <c r="BI103" s="742">
        <v>2.66314392560691E-223</v>
      </c>
      <c r="BJ103" s="742">
        <v>1.0482878471922799E-107</v>
      </c>
      <c r="BK103" s="742">
        <v>4.5971744600677999E-117</v>
      </c>
      <c r="BL103" s="742">
        <v>2.7615047538268699E-15</v>
      </c>
      <c r="BM103" s="742">
        <v>2.6631291702768599E-223</v>
      </c>
      <c r="BN103" s="742">
        <v>-6.0216253995523796E-98</v>
      </c>
      <c r="BO103" s="742">
        <v>-5.25245752545514E-99</v>
      </c>
      <c r="BP103" s="742">
        <v>0.32258921440007998</v>
      </c>
      <c r="BQ103" s="742">
        <v>2.6736289838620402E-223</v>
      </c>
      <c r="BR103" s="742">
        <v>-2.8841864533205E-36</v>
      </c>
      <c r="BS103" s="742">
        <v>2.0008907699901001E-32</v>
      </c>
      <c r="BT103" s="742">
        <v>1.2646929026818199E-15</v>
      </c>
      <c r="BU103" s="742">
        <v>2.6942113694219199E-223</v>
      </c>
      <c r="BV103" s="742">
        <v>-2.7826594468403798E-96</v>
      </c>
      <c r="BW103" s="742">
        <v>-1.19507028178869E-96</v>
      </c>
      <c r="BX103" s="742">
        <v>2.7501041136273701E-15</v>
      </c>
      <c r="BY103" s="742">
        <v>2.6941957565792598E-223</v>
      </c>
      <c r="BZ103" s="742">
        <v>-2.2756416344255899E-95</v>
      </c>
      <c r="CA103" s="742">
        <v>-9.2961141791329995E-97</v>
      </c>
      <c r="CB103" s="742">
        <v>0.32258917130512899</v>
      </c>
      <c r="CC103" s="742">
        <v>2.67409774196645E-223</v>
      </c>
      <c r="CD103" s="742">
        <v>-1.4058528594296501E-34</v>
      </c>
      <c r="CE103" s="742">
        <v>-3.3035082829365799E-32</v>
      </c>
      <c r="CF103" s="742">
        <v>3.2508030436449599E-15</v>
      </c>
      <c r="CG103" s="742">
        <v>3.0019411842054902E-223</v>
      </c>
      <c r="CH103" s="742">
        <v>1.4899192833289999E-101</v>
      </c>
      <c r="CI103" s="742">
        <v>-4.1572572270777398E-97</v>
      </c>
      <c r="CJ103" s="742">
        <v>3.0308293331536002E-15</v>
      </c>
      <c r="CK103" s="742">
        <v>3.0019414309695199E-223</v>
      </c>
      <c r="CL103" s="742">
        <v>-6.9778306821768595E-98</v>
      </c>
      <c r="CM103" s="742">
        <v>-4.1542556110863199E-97</v>
      </c>
      <c r="CN103" s="742">
        <v>3.2508030436449599E-15</v>
      </c>
      <c r="CO103" s="742">
        <v>3.0019406119092702E-223</v>
      </c>
      <c r="CP103" s="742">
        <v>1.48991928526661E-101</v>
      </c>
      <c r="CQ103" s="742">
        <v>-4.1572572264995398E-97</v>
      </c>
      <c r="CR103" s="742">
        <v>0.32263332679400702</v>
      </c>
      <c r="CS103" s="742">
        <v>8.9174411453426994E-223</v>
      </c>
      <c r="CT103" s="742">
        <v>1.6752327577751799E-107</v>
      </c>
      <c r="CU103" s="742">
        <v>6.9826210690996307E-223</v>
      </c>
      <c r="CV103" s="742">
        <v>1.42060313812678E-222</v>
      </c>
      <c r="CW103" s="742">
        <v>1.70673256962349E-107</v>
      </c>
      <c r="CX103" s="742">
        <v>1.11216853015779E-222</v>
      </c>
      <c r="CY103" s="742">
        <v>0.32263321500327702</v>
      </c>
      <c r="CZ103" s="742">
        <v>1.1472052596625901E-222</v>
      </c>
      <c r="DA103" s="742">
        <v>-8.0093817723804898E-34</v>
      </c>
      <c r="DB103" s="742">
        <v>1.3403148389074199E-28</v>
      </c>
      <c r="DC103" s="742">
        <v>0.32263361113952999</v>
      </c>
      <c r="DD103" s="742">
        <v>1.14738654861188E-222</v>
      </c>
      <c r="DE103" s="742">
        <v>-1.0096040587598001E-30</v>
      </c>
      <c r="DF103" s="742">
        <v>1.66809064996961E-25</v>
      </c>
      <c r="DG103" s="742">
        <v>0.32263366565213403</v>
      </c>
      <c r="DH103" s="742">
        <v>1.14758798144321E-222</v>
      </c>
      <c r="DI103" s="742">
        <v>-1.46481155204042E-30</v>
      </c>
      <c r="DJ103" s="742">
        <v>2.4200897722758299E-25</v>
      </c>
      <c r="DK103" s="742">
        <v>1.3381721943315E-13</v>
      </c>
      <c r="DL103" s="742">
        <v>1.20138169609651E-222</v>
      </c>
      <c r="DM103" s="742">
        <v>4.4519390133609303E-101</v>
      </c>
      <c r="DN103" s="742">
        <v>-4.2737110046755897E-97</v>
      </c>
      <c r="DO103" s="742">
        <v>0.32263332706463099</v>
      </c>
      <c r="DP103" s="742">
        <v>4.3758159290308799E-222</v>
      </c>
      <c r="DQ103" s="742">
        <v>7.4148946604341003E-107</v>
      </c>
      <c r="DR103" s="742">
        <v>7.5105468995404799E-221</v>
      </c>
      <c r="DS103" s="742">
        <v>4.4010098775466998E-221</v>
      </c>
      <c r="DT103" s="742">
        <v>7.8189577201819505E-107</v>
      </c>
      <c r="DU103" s="742">
        <v>-7.7218122004340004E-220</v>
      </c>
      <c r="DV103" s="742">
        <v>0.32263411293976901</v>
      </c>
      <c r="DW103" s="742">
        <v>1.9050074692615201E-221</v>
      </c>
      <c r="DX103" s="742">
        <v>-2.8112406213306001E-30</v>
      </c>
      <c r="DY103" s="742">
        <v>3.7607379487768903E-24</v>
      </c>
      <c r="DZ103" s="742">
        <v>0.322634335114733</v>
      </c>
      <c r="EA103" s="742">
        <v>1.90529513714209E-221</v>
      </c>
      <c r="EB103" s="742">
        <v>-2.78959590623673E-27</v>
      </c>
      <c r="EC103" s="742">
        <v>3.6884184437029803E-21</v>
      </c>
      <c r="ED103" s="742">
        <v>0.32263438967826202</v>
      </c>
      <c r="EE103" s="742">
        <v>1.9056150460476099E-221</v>
      </c>
      <c r="EF103" s="742">
        <v>-1.6282885413168501E-20</v>
      </c>
      <c r="EG103" s="742">
        <v>2.6912450093291801E-15</v>
      </c>
      <c r="EH103" s="742">
        <v>3.8737233986360002E-14</v>
      </c>
      <c r="EI103" s="742">
        <v>2.5854627160061102E-221</v>
      </c>
      <c r="EJ103" s="742">
        <v>-1.50882118087482E-96</v>
      </c>
      <c r="EK103" s="742">
        <v>-4.4660323805722301E-97</v>
      </c>
      <c r="EL103" s="742">
        <v>0.322634618917646</v>
      </c>
      <c r="EM103" s="742">
        <v>3.1014317848088398E-222</v>
      </c>
      <c r="EN103" s="742">
        <v>4.3958243466808801E-107</v>
      </c>
      <c r="EO103" s="742">
        <v>2.08435746027096E-222</v>
      </c>
      <c r="EP103" s="742">
        <v>3.8790076862640499E-222</v>
      </c>
      <c r="EQ103" s="742">
        <v>4.4399483594735201E-107</v>
      </c>
      <c r="ER103" s="742">
        <v>2.6068859828561099E-222</v>
      </c>
      <c r="ES103" s="742">
        <v>0.32263807980237702</v>
      </c>
      <c r="ET103" s="742">
        <v>3.5315590820993397E-222</v>
      </c>
      <c r="EU103" s="742">
        <v>-9.6620330806743501E-37</v>
      </c>
      <c r="EV103" s="742">
        <v>1.1345365006355999E-29</v>
      </c>
      <c r="EW103" s="742">
        <v>0.322638095145029</v>
      </c>
      <c r="EX103" s="742">
        <v>3.5320884246042199E-222</v>
      </c>
      <c r="EY103" s="742">
        <v>-1.7587743494489199E-33</v>
      </c>
      <c r="EZ103" s="742">
        <v>1.50759516381147E-26</v>
      </c>
      <c r="FA103" s="742">
        <v>0.32263814972126897</v>
      </c>
      <c r="FB103" s="742">
        <v>3.5326837502163701E-222</v>
      </c>
      <c r="FC103" s="742">
        <v>-1.75248756518552E-33</v>
      </c>
      <c r="FD103" s="742">
        <v>2.2576571940833101E-26</v>
      </c>
      <c r="FE103" s="742">
        <v>8.6964050900021996E-12</v>
      </c>
      <c r="FF103" s="742">
        <v>3.5740391511673998E-222</v>
      </c>
      <c r="FG103" s="742">
        <v>1.9578108223446101E-101</v>
      </c>
      <c r="FH103" s="742">
        <v>-4.3701742633166398E-97</v>
      </c>
    </row>
    <row r="104" spans="1:164" ht="12.75" customHeight="1" x14ac:dyDescent="0.2">
      <c r="A104" s="489"/>
      <c r="B104" s="510"/>
      <c r="C104" s="510"/>
      <c r="D104" s="510"/>
      <c r="E104" s="510"/>
      <c r="F104" s="744"/>
      <c r="G104" s="745"/>
      <c r="H104" s="506"/>
      <c r="I104" s="750">
        <v>6951989.2498145998</v>
      </c>
      <c r="J104" s="742">
        <v>0.30518892022079103</v>
      </c>
      <c r="K104" s="742">
        <v>-8.32878373218187E-225</v>
      </c>
      <c r="L104" s="742">
        <v>-4.9474748096718798E-110</v>
      </c>
      <c r="M104" s="742">
        <v>-1.2378705430030299E-224</v>
      </c>
      <c r="N104" s="742">
        <v>-1.32682666138281E-224</v>
      </c>
      <c r="O104" s="742">
        <v>-5.04050343599968E-110</v>
      </c>
      <c r="P104" s="742">
        <v>-1.9720034205604601E-224</v>
      </c>
      <c r="Q104" s="742">
        <v>8.3642831279940794E-17</v>
      </c>
      <c r="R104" s="742">
        <v>-9.4634943906534496E-225</v>
      </c>
      <c r="S104" s="742">
        <v>-1.8177307661385299E-109</v>
      </c>
      <c r="T104" s="742">
        <v>3.7548132484942396E-117</v>
      </c>
      <c r="U104" s="742">
        <v>4.7700702777510898E-18</v>
      </c>
      <c r="V104" s="742">
        <v>-9.8319354987123905E-228</v>
      </c>
      <c r="W104" s="742">
        <v>4.7045787594927503E-100</v>
      </c>
      <c r="X104" s="742">
        <v>8.9103750490482105E-101</v>
      </c>
      <c r="Y104" s="742">
        <v>0.261594456750949</v>
      </c>
      <c r="Z104" s="742">
        <v>-7.0719266741299397E-225</v>
      </c>
      <c r="AA104" s="742">
        <v>2.3676260486869599E-41</v>
      </c>
      <c r="AB104" s="742">
        <v>-7.2693708042688302E-38</v>
      </c>
      <c r="AC104" s="742">
        <v>3.9489753848428101E-19</v>
      </c>
      <c r="AD104" s="742">
        <v>-1.05585854607176E-224</v>
      </c>
      <c r="AE104" s="742">
        <v>1.8782247529634999E-97</v>
      </c>
      <c r="AF104" s="742">
        <v>1.4916430155010799E-97</v>
      </c>
      <c r="AG104" s="742">
        <v>4.5639797328396098E-18</v>
      </c>
      <c r="AH104" s="742">
        <v>-1.0969660200474801E-227</v>
      </c>
      <c r="AI104" s="742">
        <v>2.5274308883347399E-97</v>
      </c>
      <c r="AJ104" s="742">
        <v>9.8575590434119106E-98</v>
      </c>
      <c r="AK104" s="742">
        <v>0.26067410257099599</v>
      </c>
      <c r="AL104" s="742">
        <v>-7.1172173470007795E-225</v>
      </c>
      <c r="AM104" s="742">
        <v>3.0183649741761301E-41</v>
      </c>
      <c r="AN104" s="742">
        <v>-9.26403882298286E-38</v>
      </c>
      <c r="AO104" s="742">
        <v>2.0942647366855499E-16</v>
      </c>
      <c r="AP104" s="742">
        <v>-1.04557788106238E-224</v>
      </c>
      <c r="AQ104" s="742">
        <v>-8.6613944682627302E-103</v>
      </c>
      <c r="AR104" s="742">
        <v>5.3156359482640999E-98</v>
      </c>
      <c r="AS104" s="742">
        <v>5.9316451789285196E-18</v>
      </c>
      <c r="AT104" s="742">
        <v>-1.04229445817642E-226</v>
      </c>
      <c r="AU104" s="742">
        <v>3.3065847327422501E-99</v>
      </c>
      <c r="AV104" s="742">
        <v>5.0708503891357297E-98</v>
      </c>
      <c r="AW104" s="742">
        <v>2.0942647366855499E-16</v>
      </c>
      <c r="AX104" s="742">
        <v>-1.04557816179637E-224</v>
      </c>
      <c r="AY104" s="742">
        <v>-8.6613943826923104E-103</v>
      </c>
      <c r="AZ104" s="742">
        <v>5.3156359439884198E-98</v>
      </c>
      <c r="BA104" s="742">
        <v>0.31594051620004798</v>
      </c>
      <c r="BB104" s="742">
        <v>-3.1329158433784802E-224</v>
      </c>
      <c r="BC104" s="742">
        <v>-2.4269088537886902E-109</v>
      </c>
      <c r="BD104" s="742">
        <v>-2.65123138729284E-224</v>
      </c>
      <c r="BE104" s="742">
        <v>-4.9909268147695903E-224</v>
      </c>
      <c r="BF104" s="742">
        <v>-2.4725426283597302E-109</v>
      </c>
      <c r="BG104" s="742">
        <v>-4.2235743420849102E-224</v>
      </c>
      <c r="BH104" s="742">
        <v>1.2525960329265E-15</v>
      </c>
      <c r="BI104" s="742">
        <v>-3.4891186218655E-224</v>
      </c>
      <c r="BJ104" s="742">
        <v>-1.3731523976298399E-108</v>
      </c>
      <c r="BK104" s="742">
        <v>-6.0220519458211699E-118</v>
      </c>
      <c r="BL104" s="742">
        <v>2.7063019067334401E-15</v>
      </c>
      <c r="BM104" s="742">
        <v>-3.4891008704109099E-224</v>
      </c>
      <c r="BN104" s="742">
        <v>7.8872613367939005E-99</v>
      </c>
      <c r="BO104" s="742">
        <v>6.8797233442475705E-100</v>
      </c>
      <c r="BP104" s="742">
        <v>0.31614061312495101</v>
      </c>
      <c r="BQ104" s="742">
        <v>-3.5028551058988299E-224</v>
      </c>
      <c r="BR104" s="742">
        <v>3.7766779867145298E-37</v>
      </c>
      <c r="BS104" s="742">
        <v>-2.6200530331392101E-33</v>
      </c>
      <c r="BT104" s="742">
        <v>1.2394115234514499E-15</v>
      </c>
      <c r="BU104" s="742">
        <v>-3.52982198089072E-224</v>
      </c>
      <c r="BV104" s="742">
        <v>3.6447413209258302E-97</v>
      </c>
      <c r="BW104" s="742">
        <v>1.56530906888087E-97</v>
      </c>
      <c r="BX104" s="742">
        <v>2.6951291668469401E-15</v>
      </c>
      <c r="BY104" s="742">
        <v>-3.5298024168191699E-224</v>
      </c>
      <c r="BZ104" s="742">
        <v>2.9806654376752299E-96</v>
      </c>
      <c r="CA104" s="742">
        <v>1.2176162919714501E-97</v>
      </c>
      <c r="CB104" s="742">
        <v>0.31614057089147302</v>
      </c>
      <c r="CC104" s="742">
        <v>-3.503469327653E-224</v>
      </c>
      <c r="CD104" s="742">
        <v>1.8413757587574799E-35</v>
      </c>
      <c r="CE104" s="742">
        <v>4.3284001706554303E-33</v>
      </c>
      <c r="CF104" s="742">
        <v>3.1858190586985601E-15</v>
      </c>
      <c r="CG104" s="742">
        <v>-3.93299507737843E-224</v>
      </c>
      <c r="CH104" s="742">
        <v>-1.9515687442118001E-102</v>
      </c>
      <c r="CI104" s="742">
        <v>5.4451921477348401E-98</v>
      </c>
      <c r="CJ104" s="742">
        <v>2.9702426519208698E-15</v>
      </c>
      <c r="CK104" s="742">
        <v>-3.9329968824614402E-224</v>
      </c>
      <c r="CL104" s="742">
        <v>9.1397425896451803E-99</v>
      </c>
      <c r="CM104" s="742">
        <v>5.44126060896258E-98</v>
      </c>
      <c r="CN104" s="742">
        <v>3.1858190586985601E-15</v>
      </c>
      <c r="CO104" s="742">
        <v>-3.9329941563455701E-224</v>
      </c>
      <c r="CP104" s="742">
        <v>-1.9515687443570299E-102</v>
      </c>
      <c r="CQ104" s="742">
        <v>5.44519213787533E-98</v>
      </c>
      <c r="CR104" s="742">
        <v>0.31618384370625902</v>
      </c>
      <c r="CS104" s="742">
        <v>-1.1683187145441101E-223</v>
      </c>
      <c r="CT104" s="742">
        <v>-2.1943876073328602E-108</v>
      </c>
      <c r="CU104" s="742">
        <v>-9.1482802351395892E-224</v>
      </c>
      <c r="CV104" s="742">
        <v>-1.8612032561564801E-223</v>
      </c>
      <c r="CW104" s="742">
        <v>-2.2356492198097599E-108</v>
      </c>
      <c r="CX104" s="742">
        <v>-1.4571080894027501E-223</v>
      </c>
      <c r="CY104" s="742">
        <v>0.31618373415024098</v>
      </c>
      <c r="CZ104" s="742">
        <v>-1.5030111738209699E-223</v>
      </c>
      <c r="DA104" s="742">
        <v>1.04886498003915E-34</v>
      </c>
      <c r="DB104" s="742">
        <v>-1.7552035109816599E-29</v>
      </c>
      <c r="DC104" s="742">
        <v>0.31618412236767801</v>
      </c>
      <c r="DD104" s="742">
        <v>-1.50324890770222E-223</v>
      </c>
      <c r="DE104" s="742">
        <v>1.3222066573523399E-31</v>
      </c>
      <c r="DF104" s="742">
        <v>-2.18457971288757E-26</v>
      </c>
      <c r="DG104" s="742">
        <v>0.31618417579056801</v>
      </c>
      <c r="DH104" s="742">
        <v>-1.5035126525694101E-223</v>
      </c>
      <c r="DI104" s="742">
        <v>1.91808161765233E-31</v>
      </c>
      <c r="DJ104" s="742">
        <v>-3.1689602989311298E-26</v>
      </c>
      <c r="DK104" s="742">
        <v>1.31142195429401E-13</v>
      </c>
      <c r="DL104" s="742">
        <v>-1.5739909371167799E-223</v>
      </c>
      <c r="DM104" s="742">
        <v>-5.8313662588949298E-102</v>
      </c>
      <c r="DN104" s="742">
        <v>5.5977237895156297E-98</v>
      </c>
      <c r="DO104" s="742">
        <v>0.31618384397147298</v>
      </c>
      <c r="DP104" s="742">
        <v>-5.7329768780026402E-223</v>
      </c>
      <c r="DQ104" s="742">
        <v>-9.7127715574833505E-108</v>
      </c>
      <c r="DR104" s="742">
        <v>-9.8399437629166705E-222</v>
      </c>
      <c r="DS104" s="742">
        <v>-5.7659742453945999E-222</v>
      </c>
      <c r="DT104" s="742">
        <v>-1.02420538171377E-107</v>
      </c>
      <c r="DU104" s="742">
        <v>1.01167372179249E-220</v>
      </c>
      <c r="DV104" s="742">
        <v>0.316184614136863</v>
      </c>
      <c r="DW104" s="742">
        <v>-2.4958423049227702E-222</v>
      </c>
      <c r="DX104" s="742">
        <v>3.68173042489166E-31</v>
      </c>
      <c r="DY104" s="742">
        <v>-4.9252367414189303E-25</v>
      </c>
      <c r="DZ104" s="742">
        <v>0.31618483187051999</v>
      </c>
      <c r="EA104" s="742">
        <v>-2.4962190632718199E-222</v>
      </c>
      <c r="EB104" s="742">
        <v>3.65360458610446E-28</v>
      </c>
      <c r="EC104" s="742">
        <v>-4.8308153187725802E-22</v>
      </c>
      <c r="ED104" s="742">
        <v>0.31618488534331701</v>
      </c>
      <c r="EE104" s="742">
        <v>-2.4966389586810801E-222</v>
      </c>
      <c r="EF104" s="742">
        <v>2.13274435997148E-21</v>
      </c>
      <c r="EG104" s="742">
        <v>-3.5250126102699699E-16</v>
      </c>
      <c r="EH104" s="742">
        <v>3.7962871530162097E-14</v>
      </c>
      <c r="EI104" s="742">
        <v>-3.3873392603347101E-222</v>
      </c>
      <c r="EJ104" s="742">
        <v>1.9762861687113801E-97</v>
      </c>
      <c r="EK104" s="742">
        <v>5.84962707987979E-98</v>
      </c>
      <c r="EL104" s="742">
        <v>0.31618511000017502</v>
      </c>
      <c r="EM104" s="742">
        <v>-4.06333921676841E-223</v>
      </c>
      <c r="EN104" s="742">
        <v>-5.7580909631160197E-108</v>
      </c>
      <c r="EO104" s="742">
        <v>-2.7308200906150501E-223</v>
      </c>
      <c r="EP104" s="742">
        <v>-5.08208068580266E-223</v>
      </c>
      <c r="EQ104" s="742">
        <v>-5.8158890003057099E-108</v>
      </c>
      <c r="ER104" s="742">
        <v>-3.41541023618831E-223</v>
      </c>
      <c r="ES104" s="742">
        <v>0.31618850170135998</v>
      </c>
      <c r="ET104" s="742">
        <v>-4.6268721525890004E-223</v>
      </c>
      <c r="EU104" s="742">
        <v>1.2649725068769101E-37</v>
      </c>
      <c r="EV104" s="742">
        <v>-1.4856847509439901E-30</v>
      </c>
      <c r="EW104" s="742">
        <v>0.31618851673731102</v>
      </c>
      <c r="EX104" s="742">
        <v>-4.6275637560271801E-223</v>
      </c>
      <c r="EY104" s="742">
        <v>2.3029581781518602E-34</v>
      </c>
      <c r="EZ104" s="742">
        <v>-1.9743074894092401E-27</v>
      </c>
      <c r="FA104" s="742">
        <v>0.31618857022256402</v>
      </c>
      <c r="FB104" s="742">
        <v>-4.6283445274476399E-223</v>
      </c>
      <c r="FC104" s="742">
        <v>2.2940979703464002E-34</v>
      </c>
      <c r="FD104" s="742">
        <v>-2.9562079229953298E-27</v>
      </c>
      <c r="FE104" s="742">
        <v>8.5225627963076398E-12</v>
      </c>
      <c r="FF104" s="742">
        <v>-4.6825273776004502E-223</v>
      </c>
      <c r="FG104" s="742">
        <v>-2.56449512927377E-102</v>
      </c>
      <c r="FH104" s="742">
        <v>5.7240717388004698E-98</v>
      </c>
    </row>
    <row r="105" spans="1:164" ht="12.75" customHeight="1" x14ac:dyDescent="0.2">
      <c r="A105" s="489"/>
      <c r="B105" s="509"/>
      <c r="C105" s="513"/>
      <c r="D105" s="513"/>
      <c r="E105" s="513"/>
      <c r="F105" s="744"/>
      <c r="G105" s="745"/>
      <c r="H105" s="506"/>
      <c r="I105" s="750">
        <v>7035748.1564388704</v>
      </c>
      <c r="J105" s="742">
        <v>0.29908815313403703</v>
      </c>
      <c r="K105" s="742">
        <v>4.9538486136254796E-226</v>
      </c>
      <c r="L105" s="742">
        <v>2.9387822000544199E-111</v>
      </c>
      <c r="M105" s="742">
        <v>7.3626889161171595E-226</v>
      </c>
      <c r="N105" s="742">
        <v>7.8917838532640102E-226</v>
      </c>
      <c r="O105" s="742">
        <v>2.99404086049736E-111</v>
      </c>
      <c r="P105" s="742">
        <v>1.17292040036325E-225</v>
      </c>
      <c r="Q105" s="742">
        <v>8.1970799963251995E-17</v>
      </c>
      <c r="R105" s="742">
        <v>5.6287587459723201E-226</v>
      </c>
      <c r="S105" s="742">
        <v>1.07972547882224E-110</v>
      </c>
      <c r="T105" s="742">
        <v>-2.2309270946132298E-118</v>
      </c>
      <c r="U105" s="742">
        <v>4.6747159386912998E-18</v>
      </c>
      <c r="V105" s="742">
        <v>5.84791274856705E-229</v>
      </c>
      <c r="W105" s="742">
        <v>-2.7933973734713999E-101</v>
      </c>
      <c r="X105" s="742">
        <v>-5.2900232391890304E-102</v>
      </c>
      <c r="Y105" s="742">
        <v>0.256365148784365</v>
      </c>
      <c r="Z105" s="742">
        <v>4.2062856539414703E-226</v>
      </c>
      <c r="AA105" s="742">
        <v>-1.4025423319402801E-42</v>
      </c>
      <c r="AB105" s="742">
        <v>4.3062764225800202E-39</v>
      </c>
      <c r="AC105" s="742">
        <v>3.8700348419265998E-19</v>
      </c>
      <c r="AD105" s="742">
        <v>6.2801016625273901E-226</v>
      </c>
      <c r="AE105" s="742">
        <v>-1.1150941893819899E-98</v>
      </c>
      <c r="AF105" s="742">
        <v>-8.8558222479898899E-99</v>
      </c>
      <c r="AG105" s="742">
        <v>4.4727451711690303E-18</v>
      </c>
      <c r="AH105" s="742">
        <v>6.5246160667832698E-229</v>
      </c>
      <c r="AI105" s="742">
        <v>-1.5005201219284E-98</v>
      </c>
      <c r="AJ105" s="742">
        <v>-5.8523847102898601E-99</v>
      </c>
      <c r="AK105" s="742">
        <v>0.25546319260681999</v>
      </c>
      <c r="AL105" s="742">
        <v>4.2332251256395899E-226</v>
      </c>
      <c r="AM105" s="742">
        <v>-1.7861958388510099E-42</v>
      </c>
      <c r="AN105" s="742">
        <v>5.4822566306169603E-39</v>
      </c>
      <c r="AO105" s="742">
        <v>2.0524001061895299E-16</v>
      </c>
      <c r="AP105" s="742">
        <v>6.2189538883184097E-226</v>
      </c>
      <c r="AQ105" s="742">
        <v>5.1434277165861402E-104</v>
      </c>
      <c r="AR105" s="742">
        <v>-3.1558535648160798E-99</v>
      </c>
      <c r="AS105" s="742">
        <v>5.8130708030969398E-18</v>
      </c>
      <c r="AT105" s="742">
        <v>6.1994266142344201E-228</v>
      </c>
      <c r="AU105" s="742">
        <v>-1.9633224731600601E-100</v>
      </c>
      <c r="AV105" s="742">
        <v>-3.0105260582671599E-99</v>
      </c>
      <c r="AW105" s="742">
        <v>2.0524001061895299E-16</v>
      </c>
      <c r="AX105" s="742">
        <v>6.21895841953043E-226</v>
      </c>
      <c r="AY105" s="742">
        <v>5.1434276204565098E-104</v>
      </c>
      <c r="AZ105" s="742">
        <v>-3.1558536070084801E-99</v>
      </c>
      <c r="BA105" s="742">
        <v>0.30962482328036101</v>
      </c>
      <c r="BB105" s="742">
        <v>1.8634168715211201E-225</v>
      </c>
      <c r="BC105" s="742">
        <v>1.44157508950081E-110</v>
      </c>
      <c r="BD105" s="742">
        <v>1.5769160235230699E-225</v>
      </c>
      <c r="BE105" s="742">
        <v>2.9685363822033798E-225</v>
      </c>
      <c r="BF105" s="742">
        <v>1.4686814488726E-110</v>
      </c>
      <c r="BG105" s="742">
        <v>2.51212397639111E-225</v>
      </c>
      <c r="BH105" s="742">
        <v>1.2275564717093001E-15</v>
      </c>
      <c r="BI105" s="742">
        <v>2.07527877828445E-225</v>
      </c>
      <c r="BJ105" s="742">
        <v>8.15647556462349E-110</v>
      </c>
      <c r="BK105" s="742">
        <v>3.57795673815164E-119</v>
      </c>
      <c r="BL105" s="742">
        <v>2.6522025718444001E-15</v>
      </c>
      <c r="BM105" s="742">
        <v>2.0752709776122701E-225</v>
      </c>
      <c r="BN105" s="742">
        <v>-4.6830733804260504E-100</v>
      </c>
      <c r="BO105" s="742">
        <v>-4.0845789277326001E-101</v>
      </c>
      <c r="BP105" s="742">
        <v>0.309820920241133</v>
      </c>
      <c r="BQ105" s="742">
        <v>2.0834491499879001E-225</v>
      </c>
      <c r="BR105" s="742">
        <v>-2.2378771659311E-38</v>
      </c>
      <c r="BS105" s="742">
        <v>1.55251902961696E-34</v>
      </c>
      <c r="BT105" s="742">
        <v>1.2146355223314001E-15</v>
      </c>
      <c r="BU105" s="742">
        <v>2.0994900944568499E-225</v>
      </c>
      <c r="BV105" s="742">
        <v>-2.1638675825335598E-98</v>
      </c>
      <c r="BW105" s="742">
        <v>-9.2931743596317907E-99</v>
      </c>
      <c r="BX105" s="742">
        <v>2.6412531765135301E-15</v>
      </c>
      <c r="BY105" s="742">
        <v>2.0994783245568799E-225</v>
      </c>
      <c r="BZ105" s="742">
        <v>-1.7696855020296699E-97</v>
      </c>
      <c r="CA105" s="742">
        <v>-7.22920918594272E-99</v>
      </c>
      <c r="CB105" s="742">
        <v>0.30982087885190901</v>
      </c>
      <c r="CC105" s="742">
        <v>2.08381471174289E-225</v>
      </c>
      <c r="CD105" s="742">
        <v>-1.0931450925173099E-36</v>
      </c>
      <c r="CE105" s="742">
        <v>-2.5757477354923599E-34</v>
      </c>
      <c r="CF105" s="742">
        <v>3.12213411219526E-15</v>
      </c>
      <c r="CG105" s="742">
        <v>2.3392929966719E-225</v>
      </c>
      <c r="CH105" s="742">
        <v>1.15890721376682E-103</v>
      </c>
      <c r="CI105" s="742">
        <v>-3.23277013619965E-99</v>
      </c>
      <c r="CJ105" s="742">
        <v>2.9108671064474202E-15</v>
      </c>
      <c r="CK105" s="742">
        <v>2.3392968848059499E-225</v>
      </c>
      <c r="CL105" s="742">
        <v>-5.42682671750935E-100</v>
      </c>
      <c r="CM105" s="742">
        <v>-3.2304359361943002E-99</v>
      </c>
      <c r="CN105" s="742">
        <v>3.12213411219526E-15</v>
      </c>
      <c r="CO105" s="742">
        <v>2.33929332504961E-225</v>
      </c>
      <c r="CP105" s="742">
        <v>1.1589072056750599E-103</v>
      </c>
      <c r="CQ105" s="742">
        <v>-3.2327700832962698E-99</v>
      </c>
      <c r="CR105" s="742">
        <v>0.309863286637375</v>
      </c>
      <c r="CS105" s="742">
        <v>6.9489977998168602E-225</v>
      </c>
      <c r="CT105" s="742">
        <v>1.3034582677163199E-109</v>
      </c>
      <c r="CU105" s="742">
        <v>5.4412658693791704E-225</v>
      </c>
      <c r="CV105" s="742">
        <v>1.1070181605342399E-224</v>
      </c>
      <c r="CW105" s="742">
        <v>1.3279675181484301E-109</v>
      </c>
      <c r="CX105" s="742">
        <v>8.6666861422133495E-225</v>
      </c>
      <c r="CY105" s="742">
        <v>0.30986317927139601</v>
      </c>
      <c r="CZ105" s="742">
        <v>8.9397062014965599E-225</v>
      </c>
      <c r="DA105" s="742">
        <v>-6.2184641752866501E-36</v>
      </c>
      <c r="DB105" s="742">
        <v>1.0406183601070599E-30</v>
      </c>
      <c r="DC105" s="742">
        <v>0.30986355972831497</v>
      </c>
      <c r="DD105" s="742">
        <v>8.9411255834620606E-225</v>
      </c>
      <c r="DE105" s="742">
        <v>-7.8425266790880502E-33</v>
      </c>
      <c r="DF105" s="742">
        <v>1.2957599681179999E-27</v>
      </c>
      <c r="DG105" s="742">
        <v>0.30986361208327401</v>
      </c>
      <c r="DH105" s="742">
        <v>8.9426922641797495E-225</v>
      </c>
      <c r="DI105" s="742">
        <v>-1.13653892525998E-32</v>
      </c>
      <c r="DJ105" s="742">
        <v>1.87773368604406E-27</v>
      </c>
      <c r="DK105" s="742">
        <v>1.28520645508841E-13</v>
      </c>
      <c r="DL105" s="742">
        <v>9.3618852288434701E-225</v>
      </c>
      <c r="DM105" s="742">
        <v>3.4628615778160101E-103</v>
      </c>
      <c r="DN105" s="742">
        <v>-3.3233270310521402E-99</v>
      </c>
      <c r="DO105" s="742">
        <v>0.30986328689728798</v>
      </c>
      <c r="DP105" s="742">
        <v>3.4098968235751598E-224</v>
      </c>
      <c r="DQ105" s="742">
        <v>5.7693511095356598E-109</v>
      </c>
      <c r="DR105" s="742">
        <v>5.8526618926646597E-223</v>
      </c>
      <c r="DS105" s="742">
        <v>3.4294862817762802E-223</v>
      </c>
      <c r="DT105" s="742">
        <v>6.08374291828346E-109</v>
      </c>
      <c r="DU105" s="742">
        <v>-6.0173149847106398E-222</v>
      </c>
      <c r="DV105" s="742">
        <v>0.30986404166696901</v>
      </c>
      <c r="DW105" s="742">
        <v>1.48447902950634E-223</v>
      </c>
      <c r="DX105" s="742">
        <v>-2.1839794407587899E-32</v>
      </c>
      <c r="DY105" s="742">
        <v>2.9216228806819898E-26</v>
      </c>
      <c r="DZ105" s="742">
        <v>0.3098642550481</v>
      </c>
      <c r="EA105" s="742">
        <v>1.4847030014643101E-223</v>
      </c>
      <c r="EB105" s="742">
        <v>-2.1682106025839099E-29</v>
      </c>
      <c r="EC105" s="742">
        <v>2.8668195964688501E-23</v>
      </c>
      <c r="ED105" s="742">
        <v>0.30986430745196902</v>
      </c>
      <c r="EE105" s="742">
        <v>1.48495423816636E-223</v>
      </c>
      <c r="EF105" s="742">
        <v>-1.2662175014835201E-22</v>
      </c>
      <c r="EG105" s="742">
        <v>2.09281187998344E-17</v>
      </c>
      <c r="EH105" s="742">
        <v>3.7203988681502297E-14</v>
      </c>
      <c r="EI105" s="742">
        <v>2.0147228992167998E-223</v>
      </c>
      <c r="EJ105" s="742">
        <v>-1.1734146710820601E-98</v>
      </c>
      <c r="EK105" s="742">
        <v>-3.4728801253519398E-99</v>
      </c>
      <c r="EL105" s="742">
        <v>0.309864527617907</v>
      </c>
      <c r="EM105" s="742">
        <v>2.4168141019128598E-224</v>
      </c>
      <c r="EN105" s="742">
        <v>3.4202852070549802E-109</v>
      </c>
      <c r="EO105" s="742">
        <v>1.6242517836894499E-224</v>
      </c>
      <c r="EP105" s="742">
        <v>3.0227486728639799E-224</v>
      </c>
      <c r="EQ105" s="742">
        <v>3.45461696574369E-109</v>
      </c>
      <c r="ER105" s="742">
        <v>2.0314365404571599E-224</v>
      </c>
      <c r="ES105" s="742">
        <v>0.30986785151853502</v>
      </c>
      <c r="ET105" s="742">
        <v>2.7519990061572002E-224</v>
      </c>
      <c r="EU105" s="742">
        <v>-7.4866851293748801E-39</v>
      </c>
      <c r="EV105" s="742">
        <v>8.8065062581867002E-32</v>
      </c>
      <c r="EW105" s="742">
        <v>0.30986786625391499</v>
      </c>
      <c r="EX105" s="742">
        <v>2.7524072987436098E-224</v>
      </c>
      <c r="EY105" s="742">
        <v>-1.3643871099026099E-35</v>
      </c>
      <c r="EZ105" s="742">
        <v>1.17069688730706E-28</v>
      </c>
      <c r="FA105" s="742">
        <v>0.30986791866999103</v>
      </c>
      <c r="FB105" s="742">
        <v>2.7528719850617598E-224</v>
      </c>
      <c r="FC105" s="742">
        <v>-1.3565367622591699E-35</v>
      </c>
      <c r="FD105" s="742">
        <v>1.7514344197170401E-28</v>
      </c>
      <c r="FE105" s="742">
        <v>8.3521956330276204E-12</v>
      </c>
      <c r="FF105" s="742">
        <v>2.7851012028885999E-224</v>
      </c>
      <c r="FG105" s="742">
        <v>1.52312898658472E-103</v>
      </c>
      <c r="FH105" s="742">
        <v>-3.39833883735012E-99</v>
      </c>
    </row>
    <row r="106" spans="1:164" ht="12.75" customHeight="1" x14ac:dyDescent="0.2">
      <c r="A106" s="489"/>
      <c r="B106" s="510"/>
      <c r="C106" s="510"/>
      <c r="D106" s="510"/>
      <c r="E106" s="510"/>
      <c r="F106" s="744"/>
      <c r="G106" s="745"/>
      <c r="H106" s="506"/>
      <c r="I106" s="750">
        <v>7119507.06306314</v>
      </c>
      <c r="J106" s="742">
        <v>0.29310934119723597</v>
      </c>
      <c r="K106" s="742">
        <v>1.1235065110817001E-230</v>
      </c>
      <c r="L106" s="742">
        <v>1.35381390922148E-114</v>
      </c>
      <c r="M106" s="742">
        <v>1.6618561912393799E-230</v>
      </c>
      <c r="N106" s="742">
        <v>1.7928635485669E-230</v>
      </c>
      <c r="O106" s="742">
        <v>1.37926976481825E-114</v>
      </c>
      <c r="P106" s="742">
        <v>2.6659204357231201E-230</v>
      </c>
      <c r="Q106" s="742">
        <v>8.0332192776193801E-17</v>
      </c>
      <c r="R106" s="742">
        <v>1.28168816498424E-230</v>
      </c>
      <c r="S106" s="742">
        <v>4.9740143292574197E-114</v>
      </c>
      <c r="T106" s="742">
        <v>-8.3589267093030099E-122</v>
      </c>
      <c r="U106" s="742">
        <v>4.5812677456983603E-18</v>
      </c>
      <c r="V106" s="742">
        <v>1.31526000341971E-233</v>
      </c>
      <c r="W106" s="742">
        <v>-1.65137777558602E-104</v>
      </c>
      <c r="X106" s="742">
        <v>-3.3297983763024401E-105</v>
      </c>
      <c r="Y106" s="742">
        <v>0.25124037538337901</v>
      </c>
      <c r="Z106" s="742">
        <v>9.5634886722588503E-231</v>
      </c>
      <c r="AA106" s="742">
        <v>-1.90555774043585E-45</v>
      </c>
      <c r="AB106" s="742">
        <v>5.8434229696528895E-42</v>
      </c>
      <c r="AC106" s="742">
        <v>3.7926723310204101E-19</v>
      </c>
      <c r="AD106" s="742">
        <v>1.4341218510074399E-230</v>
      </c>
      <c r="AE106" s="742">
        <v>-6.9986488005709797E-102</v>
      </c>
      <c r="AF106" s="742">
        <v>-5.5581864806784302E-102</v>
      </c>
      <c r="AG106" s="742">
        <v>4.3833344006653604E-18</v>
      </c>
      <c r="AH106" s="742">
        <v>1.4750887132508501E-233</v>
      </c>
      <c r="AI106" s="742">
        <v>-9.4342692773202597E-102</v>
      </c>
      <c r="AJ106" s="742">
        <v>-3.6753776381965298E-102</v>
      </c>
      <c r="AK106" s="742">
        <v>0.25035644942971302</v>
      </c>
      <c r="AL106" s="742">
        <v>9.5712514192726998E-231</v>
      </c>
      <c r="AM106" s="742">
        <v>-3.03307214774623E-45</v>
      </c>
      <c r="AN106" s="742">
        <v>9.3021931554337806E-42</v>
      </c>
      <c r="AO106" s="742">
        <v>2.0113723552559199E-16</v>
      </c>
      <c r="AP106" s="742">
        <v>1.4122603654605999E-230</v>
      </c>
      <c r="AQ106" s="742">
        <v>2.8341889464962703E-107</v>
      </c>
      <c r="AR106" s="742">
        <v>-1.9864197889483599E-102</v>
      </c>
      <c r="AS106" s="742">
        <v>5.6968667450492397E-18</v>
      </c>
      <c r="AT106" s="742">
        <v>1.4062645419849099E-232</v>
      </c>
      <c r="AU106" s="742">
        <v>-1.1606546242962301E-103</v>
      </c>
      <c r="AV106" s="742">
        <v>-1.8949688382412502E-102</v>
      </c>
      <c r="AW106" s="742">
        <v>2.0113723552559199E-16</v>
      </c>
      <c r="AX106" s="742">
        <v>1.41333766497773E-230</v>
      </c>
      <c r="AY106" s="742">
        <v>2.83417292103472E-107</v>
      </c>
      <c r="AZ106" s="742">
        <v>-1.9864153401837601E-102</v>
      </c>
      <c r="BA106" s="742">
        <v>0.30343538190677</v>
      </c>
      <c r="BB106" s="742">
        <v>4.2124343582438099E-230</v>
      </c>
      <c r="BC106" s="742">
        <v>6.64089841004514E-114</v>
      </c>
      <c r="BD106" s="742">
        <v>3.5808149227835899E-230</v>
      </c>
      <c r="BE106" s="742">
        <v>6.7172881055286204E-230</v>
      </c>
      <c r="BF106" s="742">
        <v>6.7657178764336004E-114</v>
      </c>
      <c r="BG106" s="742">
        <v>5.7117608392312498E-230</v>
      </c>
      <c r="BH106" s="742">
        <v>1.20301745466952E-15</v>
      </c>
      <c r="BI106" s="742">
        <v>4.70191465865361E-230</v>
      </c>
      <c r="BJ106" s="742">
        <v>3.75743272437014E-113</v>
      </c>
      <c r="BK106" s="742">
        <v>1.3581136208312601E-122</v>
      </c>
      <c r="BL106" s="742">
        <v>2.5991846898948899E-15</v>
      </c>
      <c r="BM106" s="742">
        <v>4.68695204349951E-230</v>
      </c>
      <c r="BN106" s="742">
        <v>-2.79428499327816E-103</v>
      </c>
      <c r="BO106" s="742">
        <v>-2.5253896248472401E-104</v>
      </c>
      <c r="BP106" s="742">
        <v>0.30362755886323201</v>
      </c>
      <c r="BQ106" s="742">
        <v>4.74182174033969E-230</v>
      </c>
      <c r="BR106" s="742">
        <v>-2.8302134214734498E-41</v>
      </c>
      <c r="BS106" s="742">
        <v>1.96277279186958E-37</v>
      </c>
      <c r="BT106" s="742">
        <v>1.1903547967871699E-15</v>
      </c>
      <c r="BU106" s="742">
        <v>4.7409619966891296E-230</v>
      </c>
      <c r="BV106" s="742">
        <v>-1.35813776988615E-101</v>
      </c>
      <c r="BW106" s="742">
        <v>-5.8328016869561202E-102</v>
      </c>
      <c r="BX106" s="742">
        <v>2.5884541744321098E-15</v>
      </c>
      <c r="BY106" s="742">
        <v>4.7656441627335501E-230</v>
      </c>
      <c r="BZ106" s="742">
        <v>-1.0853355443276799E-100</v>
      </c>
      <c r="CA106" s="742">
        <v>-4.4474960636789402E-102</v>
      </c>
      <c r="CB106" s="742">
        <v>0.30362751830138401</v>
      </c>
      <c r="CC106" s="742">
        <v>4.7307171765449297E-230</v>
      </c>
      <c r="CD106" s="742">
        <v>-7.09854234044845E-40</v>
      </c>
      <c r="CE106" s="742">
        <v>3.61302265689479E-38</v>
      </c>
      <c r="CF106" s="742">
        <v>3.0597222362894901E-15</v>
      </c>
      <c r="CG106" s="742">
        <v>5.2918817194502403E-230</v>
      </c>
      <c r="CH106" s="742">
        <v>6.3859238852262806E-107</v>
      </c>
      <c r="CI106" s="742">
        <v>-2.0348305044132499E-102</v>
      </c>
      <c r="CJ106" s="742">
        <v>2.85267848606877E-15</v>
      </c>
      <c r="CK106" s="742">
        <v>5.2632720666305796E-230</v>
      </c>
      <c r="CL106" s="742">
        <v>-3.2081741987915602E-103</v>
      </c>
      <c r="CM106" s="742">
        <v>-2.03338986908926E-102</v>
      </c>
      <c r="CN106" s="742">
        <v>3.0597222362894901E-15</v>
      </c>
      <c r="CO106" s="742">
        <v>5.2598838275279102E-230</v>
      </c>
      <c r="CP106" s="742">
        <v>6.3859656401414199E-107</v>
      </c>
      <c r="CQ106" s="742">
        <v>-2.03483701261717E-102</v>
      </c>
      <c r="CR106" s="742">
        <v>0.30366907834958101</v>
      </c>
      <c r="CS106" s="742">
        <v>1.5769888498752201E-229</v>
      </c>
      <c r="CT106" s="742">
        <v>6.0046794575907804E-113</v>
      </c>
      <c r="CU106" s="742">
        <v>1.23994071989865E-229</v>
      </c>
      <c r="CV106" s="742">
        <v>2.5130131705401001E-229</v>
      </c>
      <c r="CW106" s="742">
        <v>6.1175444863484601E-113</v>
      </c>
      <c r="CX106" s="742">
        <v>1.9635149429527802E-229</v>
      </c>
      <c r="CY106" s="742">
        <v>0.30366897312986302</v>
      </c>
      <c r="CZ106" s="742">
        <v>2.02501063719851E-229</v>
      </c>
      <c r="DA106" s="742">
        <v>-6.7416138470087095E-39</v>
      </c>
      <c r="DB106" s="742">
        <v>1.12779746976287E-33</v>
      </c>
      <c r="DC106" s="742">
        <v>0.303669345981397</v>
      </c>
      <c r="DD106" s="742">
        <v>2.0175328139525298E-229</v>
      </c>
      <c r="DE106" s="742">
        <v>-7.3502994698118205E-36</v>
      </c>
      <c r="DF106" s="742">
        <v>1.2144275586632E-30</v>
      </c>
      <c r="DG106" s="742">
        <v>0.30366939728977399</v>
      </c>
      <c r="DH106" s="742">
        <v>2.0261113748319401E-229</v>
      </c>
      <c r="DI106" s="742">
        <v>-1.4451967307586701E-35</v>
      </c>
      <c r="DJ106" s="742">
        <v>2.38772907799993E-30</v>
      </c>
      <c r="DK106" s="742">
        <v>1.25951500721788E-13</v>
      </c>
      <c r="DL106" s="742">
        <v>2.12430214991601E-229</v>
      </c>
      <c r="DM106" s="742">
        <v>1.9081326915331001E-106</v>
      </c>
      <c r="DN106" s="742">
        <v>-2.0918355512253099E-102</v>
      </c>
      <c r="DO106" s="742">
        <v>0.30366907860429798</v>
      </c>
      <c r="DP106" s="742">
        <v>7.7435577943834001E-229</v>
      </c>
      <c r="DQ106" s="742">
        <v>2.65776484574078E-112</v>
      </c>
      <c r="DR106" s="742">
        <v>1.3407221674124099E-227</v>
      </c>
      <c r="DS106" s="742">
        <v>8.9128687937152498E-228</v>
      </c>
      <c r="DT106" s="742">
        <v>2.8026072725715698E-112</v>
      </c>
      <c r="DU106" s="742">
        <v>-1.2951609463574E-226</v>
      </c>
      <c r="DV106" s="742">
        <v>0.30366981828603401</v>
      </c>
      <c r="DW106" s="742">
        <v>3.8052169318716098E-228</v>
      </c>
      <c r="DX106" s="742">
        <v>-1.98064057148335E-35</v>
      </c>
      <c r="DY106" s="742">
        <v>2.6485239253063001E-29</v>
      </c>
      <c r="DZ106" s="742">
        <v>0.303670027401648</v>
      </c>
      <c r="EA106" s="742">
        <v>3.8002164570563597E-228</v>
      </c>
      <c r="EB106" s="742">
        <v>-1.6640960735156999E-32</v>
      </c>
      <c r="EC106" s="742">
        <v>2.2002581755643099E-26</v>
      </c>
      <c r="ED106" s="742">
        <v>0.30367007875795698</v>
      </c>
      <c r="EE106" s="742">
        <v>3.7896230866195198E-228</v>
      </c>
      <c r="EF106" s="742">
        <v>-7.8939218046808699E-26</v>
      </c>
      <c r="EG106" s="742">
        <v>1.30470904268857E-20</v>
      </c>
      <c r="EH106" s="742">
        <v>3.64602760024975E-14</v>
      </c>
      <c r="EI106" s="742">
        <v>5.1987729061539E-228</v>
      </c>
      <c r="EJ106" s="742">
        <v>-7.028700306064E-102</v>
      </c>
      <c r="EK106" s="742">
        <v>-2.1859680867777701E-102</v>
      </c>
      <c r="EL106" s="742">
        <v>0.30367029452274702</v>
      </c>
      <c r="EM106" s="742">
        <v>5.5231935227256902E-229</v>
      </c>
      <c r="EN106" s="742">
        <v>1.5756271347119499E-112</v>
      </c>
      <c r="EO106" s="742">
        <v>3.7071949843985197E-229</v>
      </c>
      <c r="EP106" s="742">
        <v>6.8873482965625805E-229</v>
      </c>
      <c r="EQ106" s="742">
        <v>1.5914526292964401E-112</v>
      </c>
      <c r="ER106" s="742">
        <v>4.6243015576796297E-229</v>
      </c>
      <c r="ES106" s="742">
        <v>0.30367355197815898</v>
      </c>
      <c r="ET106" s="742">
        <v>6.2456987184211E-229</v>
      </c>
      <c r="EU106" s="742">
        <v>-1.24210884968668E-41</v>
      </c>
      <c r="EV106" s="742">
        <v>1.0127394514504301E-34</v>
      </c>
      <c r="EW106" s="742">
        <v>0.30367356641897703</v>
      </c>
      <c r="EX106" s="742">
        <v>6.2810789470815001E-229</v>
      </c>
      <c r="EY106" s="742">
        <v>-1.80315284976358E-38</v>
      </c>
      <c r="EZ106" s="742">
        <v>1.21028526808631E-31</v>
      </c>
      <c r="FA106" s="742">
        <v>0.303673617787249</v>
      </c>
      <c r="FB106" s="742">
        <v>6.2760333381127998E-229</v>
      </c>
      <c r="FC106" s="742">
        <v>-2.6528211261490198E-38</v>
      </c>
      <c r="FD106" s="742">
        <v>2.30484190216531E-31</v>
      </c>
      <c r="FE106" s="742">
        <v>8.1852341321256995E-12</v>
      </c>
      <c r="FF106" s="742">
        <v>6.3320908967741597E-229</v>
      </c>
      <c r="FG106" s="742">
        <v>7.5832394760688602E-107</v>
      </c>
      <c r="FH106" s="742">
        <v>-2.1390458595336999E-102</v>
      </c>
    </row>
    <row r="107" spans="1:164" ht="12.75" customHeight="1" x14ac:dyDescent="0.2">
      <c r="A107" s="489"/>
      <c r="B107" s="510"/>
      <c r="C107" s="511"/>
      <c r="D107" s="508"/>
      <c r="E107" s="508"/>
      <c r="F107" s="744"/>
      <c r="G107" s="745"/>
      <c r="H107" s="506"/>
      <c r="I107" s="750">
        <v>7203265.9696874097</v>
      </c>
      <c r="J107" s="742">
        <v>0.28725004651042702</v>
      </c>
      <c r="K107" s="742">
        <v>-2.32902270997466E-231</v>
      </c>
      <c r="L107" s="742">
        <v>-2.79103332855074E-115</v>
      </c>
      <c r="M107" s="742">
        <v>-3.4615246588459001E-231</v>
      </c>
      <c r="N107" s="742">
        <v>-3.7102769609827503E-231</v>
      </c>
      <c r="O107" s="742">
        <v>-2.8435137845716198E-115</v>
      </c>
      <c r="P107" s="742">
        <v>-5.5144229626593501E-231</v>
      </c>
      <c r="Q107" s="742">
        <v>7.8726341565888902E-17</v>
      </c>
      <c r="R107" s="742">
        <v>-2.6463275212801899E-231</v>
      </c>
      <c r="S107" s="742">
        <v>-1.0254417202987901E-114</v>
      </c>
      <c r="T107" s="742">
        <v>1.7233381285387601E-122</v>
      </c>
      <c r="U107" s="742">
        <v>4.4896875945813403E-18</v>
      </c>
      <c r="V107" s="742">
        <v>-2.7493561512646598E-234</v>
      </c>
      <c r="W107" s="742">
        <v>3.4044083260419198E-105</v>
      </c>
      <c r="X107" s="742">
        <v>6.8645548969631895E-106</v>
      </c>
      <c r="Y107" s="742">
        <v>0.246218046887866</v>
      </c>
      <c r="Z107" s="742">
        <v>-1.9775616287491599E-231</v>
      </c>
      <c r="AA107" s="742">
        <v>3.92814990060912E-46</v>
      </c>
      <c r="AB107" s="742">
        <v>-1.2045709899148E-42</v>
      </c>
      <c r="AC107" s="742">
        <v>3.7168563070506999E-19</v>
      </c>
      <c r="AD107" s="742">
        <v>-2.9525543978051501E-231</v>
      </c>
      <c r="AE107" s="742">
        <v>1.4428139282392799E-102</v>
      </c>
      <c r="AF107" s="742">
        <v>1.14584973205819E-102</v>
      </c>
      <c r="AG107" s="742">
        <v>4.2957109634223004E-18</v>
      </c>
      <c r="AH107" s="742">
        <v>-3.0675053503126102E-234</v>
      </c>
      <c r="AI107" s="742">
        <v>1.9449259990069098E-102</v>
      </c>
      <c r="AJ107" s="742">
        <v>7.57693361109091E-103</v>
      </c>
      <c r="AK107" s="742">
        <v>0.24535179073149399</v>
      </c>
      <c r="AL107" s="742">
        <v>-1.9902257735246599E-231</v>
      </c>
      <c r="AM107" s="742">
        <v>6.2521978039905799E-46</v>
      </c>
      <c r="AN107" s="742">
        <v>-1.91749804711775E-42</v>
      </c>
      <c r="AO107" s="742">
        <v>1.9711647545489401E-16</v>
      </c>
      <c r="AP107" s="742">
        <v>-2.92380520789493E-231</v>
      </c>
      <c r="AQ107" s="742">
        <v>-5.8428946647247797E-108</v>
      </c>
      <c r="AR107" s="742">
        <v>4.09511047739802E-103</v>
      </c>
      <c r="AS107" s="742">
        <v>5.5829856216662397E-18</v>
      </c>
      <c r="AT107" s="742">
        <v>-2.9146255425919702E-233</v>
      </c>
      <c r="AU107" s="742">
        <v>2.3927658776164701E-104</v>
      </c>
      <c r="AV107" s="742">
        <v>3.90658600928902E-103</v>
      </c>
      <c r="AW107" s="742">
        <v>1.9711647545489401E-16</v>
      </c>
      <c r="AX107" s="742">
        <v>-2.9238060639769899E-231</v>
      </c>
      <c r="AY107" s="742">
        <v>-5.8428947122567399E-108</v>
      </c>
      <c r="AZ107" s="742">
        <v>4.0951104508099901E-103</v>
      </c>
      <c r="BA107" s="742">
        <v>0.29736966829377498</v>
      </c>
      <c r="BB107" s="742">
        <v>-8.7607450111695998E-231</v>
      </c>
      <c r="BC107" s="742">
        <v>-1.36909912278082E-114</v>
      </c>
      <c r="BD107" s="742">
        <v>-7.41378695075539E-231</v>
      </c>
      <c r="BE107" s="742">
        <v>-1.3956405041869999E-230</v>
      </c>
      <c r="BF107" s="742">
        <v>-1.3948426147169199E-114</v>
      </c>
      <c r="BG107" s="742">
        <v>-1.18106172956193E-230</v>
      </c>
      <c r="BH107" s="742">
        <v>1.1789689758612699E-15</v>
      </c>
      <c r="BI107" s="742">
        <v>-9.7568181269182403E-231</v>
      </c>
      <c r="BJ107" s="742">
        <v>-7.7464043571832597E-114</v>
      </c>
      <c r="BK107" s="742">
        <v>-2.7999240322541301E-123</v>
      </c>
      <c r="BL107" s="742">
        <v>2.5472266424941198E-15</v>
      </c>
      <c r="BM107" s="742">
        <v>-9.7567625396437004E-231</v>
      </c>
      <c r="BN107" s="742">
        <v>5.7605752130665606E-104</v>
      </c>
      <c r="BO107" s="742">
        <v>5.2062513964206202E-105</v>
      </c>
      <c r="BP107" s="742">
        <v>0.29755800360733498</v>
      </c>
      <c r="BQ107" s="742">
        <v>-9.7952315125668303E-231</v>
      </c>
      <c r="BR107" s="742">
        <v>5.8343008812629104E-42</v>
      </c>
      <c r="BS107" s="742">
        <v>-4.04612180010361E-38</v>
      </c>
      <c r="BT107" s="742">
        <v>1.16655944619294E-15</v>
      </c>
      <c r="BU107" s="742">
        <v>-9.8706381284707896E-231</v>
      </c>
      <c r="BV107" s="742">
        <v>2.79987496944029E-102</v>
      </c>
      <c r="BW107" s="742">
        <v>1.20246383579738E-102</v>
      </c>
      <c r="BX107" s="742">
        <v>2.5367106314615999E-15</v>
      </c>
      <c r="BY107" s="742">
        <v>-9.8705793637622002E-231</v>
      </c>
      <c r="BZ107" s="742">
        <v>2.2374898564725399E-101</v>
      </c>
      <c r="CA107" s="742">
        <v>9.1687637587301895E-103</v>
      </c>
      <c r="CB107" s="742">
        <v>0.29755796385632299</v>
      </c>
      <c r="CC107" s="742">
        <v>-9.7969517426515304E-231</v>
      </c>
      <c r="CD107" s="742">
        <v>1.46340427867368E-40</v>
      </c>
      <c r="CE107" s="742">
        <v>-7.4417964616685497E-39</v>
      </c>
      <c r="CF107" s="742">
        <v>2.99855798212763E-15</v>
      </c>
      <c r="CG107" s="742">
        <v>-1.0998048619247499E-230</v>
      </c>
      <c r="CH107" s="742">
        <v>-1.31650991938236E-107</v>
      </c>
      <c r="CI107" s="742">
        <v>4.1949192428553802E-103</v>
      </c>
      <c r="CJ107" s="742">
        <v>2.7956530639913899E-15</v>
      </c>
      <c r="CK107" s="742">
        <v>-1.09980509196493E-230</v>
      </c>
      <c r="CL107" s="742">
        <v>6.6138527346641397E-104</v>
      </c>
      <c r="CM107" s="742">
        <v>4.1919502254039599E-103</v>
      </c>
      <c r="CN107" s="742">
        <v>2.99855798212763E-15</v>
      </c>
      <c r="CO107" s="742">
        <v>-1.0998046152885E-230</v>
      </c>
      <c r="CP107" s="742">
        <v>-1.31650991367794E-107</v>
      </c>
      <c r="CQ107" s="742">
        <v>4.19491921065463E-103</v>
      </c>
      <c r="CR107" s="742">
        <v>0.29759869311363402</v>
      </c>
      <c r="CS107" s="742">
        <v>-3.26703369074773E-230</v>
      </c>
      <c r="CT107" s="742">
        <v>-1.23792621962375E-113</v>
      </c>
      <c r="CU107" s="742">
        <v>-2.5589582276479399E-230</v>
      </c>
      <c r="CV107" s="742">
        <v>-5.2045869634812102E-230</v>
      </c>
      <c r="CW107" s="742">
        <v>-1.26120325030314E-113</v>
      </c>
      <c r="CX107" s="742">
        <v>-4.0758386929317702E-230</v>
      </c>
      <c r="CY107" s="742">
        <v>0.29759858999727101</v>
      </c>
      <c r="CZ107" s="742">
        <v>-4.2029528356250896E-230</v>
      </c>
      <c r="DA107" s="742">
        <v>1.3897647206119401E-39</v>
      </c>
      <c r="DB107" s="742">
        <v>-2.3249198139892101E-34</v>
      </c>
      <c r="DC107" s="742">
        <v>0.297598955395454</v>
      </c>
      <c r="DD107" s="742">
        <v>-4.2036166085481803E-230</v>
      </c>
      <c r="DE107" s="742">
        <v>1.5152627632180501E-36</v>
      </c>
      <c r="DF107" s="742">
        <v>-2.5035396661633699E-31</v>
      </c>
      <c r="DG107" s="742">
        <v>0.29759900567816899</v>
      </c>
      <c r="DH107" s="742">
        <v>-4.2043565122006203E-230</v>
      </c>
      <c r="DI107" s="742">
        <v>2.9791606442578399E-36</v>
      </c>
      <c r="DJ107" s="742">
        <v>-4.9221199575664602E-31</v>
      </c>
      <c r="DK107" s="742">
        <v>1.23433713482527E-13</v>
      </c>
      <c r="DL107" s="742">
        <v>-4.4014357746160101E-230</v>
      </c>
      <c r="DM107" s="742">
        <v>-3.93378563703918E-107</v>
      </c>
      <c r="DN107" s="742">
        <v>4.3124280268307798E-103</v>
      </c>
      <c r="DO107" s="742">
        <v>0.297598693363259</v>
      </c>
      <c r="DP107" s="742">
        <v>-1.60314381494794E-229</v>
      </c>
      <c r="DQ107" s="742">
        <v>-5.4792938865768901E-113</v>
      </c>
      <c r="DR107" s="742">
        <v>-2.7753676945848597E-228</v>
      </c>
      <c r="DS107" s="742">
        <v>-1.8410166221884099E-228</v>
      </c>
      <c r="DT107" s="742">
        <v>-5.7778794281376199E-113</v>
      </c>
      <c r="DU107" s="742">
        <v>2.6713488792002699E-227</v>
      </c>
      <c r="DV107" s="742">
        <v>0.29759941825865699</v>
      </c>
      <c r="DW107" s="742">
        <v>-7.8257807222815504E-229</v>
      </c>
      <c r="DX107" s="742">
        <v>4.0830946231451399E-36</v>
      </c>
      <c r="DY107" s="742">
        <v>-5.4599434086210503E-30</v>
      </c>
      <c r="DZ107" s="742">
        <v>0.297599623194023</v>
      </c>
      <c r="EA107" s="742">
        <v>-7.8269726476299604E-229</v>
      </c>
      <c r="EB107" s="742">
        <v>3.4305757247084797E-33</v>
      </c>
      <c r="EC107" s="742">
        <v>-4.5359016568829101E-27</v>
      </c>
      <c r="ED107" s="742">
        <v>0.29759967352371203</v>
      </c>
      <c r="EE107" s="742">
        <v>-7.8282989418958602E-229</v>
      </c>
      <c r="EF107" s="742">
        <v>1.6273761879979599E-26</v>
      </c>
      <c r="EG107" s="742">
        <v>-2.6897410654372699E-21</v>
      </c>
      <c r="EH107" s="742">
        <v>3.5731430239383298E-14</v>
      </c>
      <c r="EI107" s="742">
        <v>-1.0711254343546199E-228</v>
      </c>
      <c r="EJ107" s="742">
        <v>1.4490187846918001E-102</v>
      </c>
      <c r="EK107" s="742">
        <v>4.5064917112416603E-103</v>
      </c>
      <c r="EL107" s="742">
        <v>0.29759988497533701</v>
      </c>
      <c r="EM107" s="742">
        <v>-1.13625410674718E-229</v>
      </c>
      <c r="EN107" s="742">
        <v>-3.2483285053343197E-113</v>
      </c>
      <c r="EO107" s="742">
        <v>-7.6369215339144799E-230</v>
      </c>
      <c r="EP107" s="742">
        <v>-1.4211303686532101E-229</v>
      </c>
      <c r="EQ107" s="742">
        <v>-3.2809342016349399E-113</v>
      </c>
      <c r="ER107" s="742">
        <v>-9.5514269896664701E-230</v>
      </c>
      <c r="ES107" s="742">
        <v>0.29760307731378299</v>
      </c>
      <c r="ET107" s="742">
        <v>-1.2938376778304599E-229</v>
      </c>
      <c r="EU107" s="742">
        <v>2.5604904301849101E-42</v>
      </c>
      <c r="EV107" s="742">
        <v>-2.0877064521109001E-35</v>
      </c>
      <c r="EW107" s="742">
        <v>0.29760309146592701</v>
      </c>
      <c r="EX107" s="742">
        <v>-1.2940315781785E-229</v>
      </c>
      <c r="EY107" s="742">
        <v>3.7171118747528298E-39</v>
      </c>
      <c r="EZ107" s="742">
        <v>-2.4949619047826801E-32</v>
      </c>
      <c r="FA107" s="742">
        <v>0.29760314180733999</v>
      </c>
      <c r="FB107" s="742">
        <v>-1.2942492006259701E-229</v>
      </c>
      <c r="FC107" s="742">
        <v>5.4683914137393201E-39</v>
      </c>
      <c r="FD107" s="742">
        <v>-4.7512030160662102E-32</v>
      </c>
      <c r="FE107" s="742">
        <v>8.0216102139498007E-12</v>
      </c>
      <c r="FF107" s="742">
        <v>-1.3094010712835099E-229</v>
      </c>
      <c r="FG107" s="742">
        <v>-1.5633545339409499E-107</v>
      </c>
      <c r="FH107" s="742">
        <v>4.40976515286717E-103</v>
      </c>
    </row>
    <row r="108" spans="1:164" ht="12.75" customHeight="1" x14ac:dyDescent="0.2">
      <c r="A108" s="489"/>
      <c r="B108" s="510"/>
      <c r="C108" s="510"/>
      <c r="D108" s="510"/>
      <c r="E108" s="510"/>
      <c r="F108" s="744"/>
      <c r="G108" s="745"/>
      <c r="H108" s="506"/>
      <c r="I108" s="750">
        <v>7287024.8763116803</v>
      </c>
      <c r="J108" s="742">
        <v>0.28150787990270298</v>
      </c>
      <c r="K108" s="742">
        <v>3.40536602896339E-232</v>
      </c>
      <c r="L108" s="742">
        <v>4.0801080091976898E-116</v>
      </c>
      <c r="M108" s="742">
        <v>5.0612468360472502E-232</v>
      </c>
      <c r="N108" s="742">
        <v>5.4249571424166899E-232</v>
      </c>
      <c r="O108" s="742">
        <v>4.1568272536119901E-116</v>
      </c>
      <c r="P108" s="742">
        <v>8.0628800024027203E-232</v>
      </c>
      <c r="Q108" s="742">
        <v>7.71525915345846E-17</v>
      </c>
      <c r="R108" s="742">
        <v>3.8693111043684202E-232</v>
      </c>
      <c r="S108" s="742">
        <v>1.4990551544808099E-115</v>
      </c>
      <c r="T108" s="742">
        <v>-2.5193787690293E-123</v>
      </c>
      <c r="U108" s="742">
        <v>4.3999381428475297E-18</v>
      </c>
      <c r="V108" s="742">
        <v>4.0199546136792E-235</v>
      </c>
      <c r="W108" s="742">
        <v>-4.9764941805790299E-106</v>
      </c>
      <c r="X108" s="742">
        <v>-1.0034297583972E-106</v>
      </c>
      <c r="Y108" s="742">
        <v>0.24129611540609899</v>
      </c>
      <c r="Z108" s="742">
        <v>2.89147924339863E-232</v>
      </c>
      <c r="AA108" s="742">
        <v>-5.74093927196634E-47</v>
      </c>
      <c r="AB108" s="742">
        <v>1.76046555072135E-43</v>
      </c>
      <c r="AC108" s="742">
        <v>3.6425558554708498E-19</v>
      </c>
      <c r="AD108" s="742">
        <v>4.3170582482998602E-232</v>
      </c>
      <c r="AE108" s="742">
        <v>-2.1090421771250201E-103</v>
      </c>
      <c r="AF108" s="742">
        <v>-1.67495292970805E-103</v>
      </c>
      <c r="AG108" s="742">
        <v>4.2098391303265099E-18</v>
      </c>
      <c r="AH108" s="742">
        <v>4.4851349961196303E-235</v>
      </c>
      <c r="AI108" s="742">
        <v>-2.8430062918810302E-103</v>
      </c>
      <c r="AJ108" s="742">
        <v>-1.1075627625698601E-103</v>
      </c>
      <c r="AK108" s="742">
        <v>0.24044717582542599</v>
      </c>
      <c r="AL108" s="742">
        <v>2.9099965417719898E-232</v>
      </c>
      <c r="AM108" s="742">
        <v>-9.1365475218394904E-47</v>
      </c>
      <c r="AN108" s="742">
        <v>2.8021058663158698E-43</v>
      </c>
      <c r="AO108" s="742">
        <v>1.9317609091209001E-16</v>
      </c>
      <c r="AP108" s="742">
        <v>4.27502377695493E-232</v>
      </c>
      <c r="AQ108" s="742">
        <v>8.5411732647177705E-109</v>
      </c>
      <c r="AR108" s="742">
        <v>-5.9860483344458801E-104</v>
      </c>
      <c r="AS108" s="742">
        <v>5.4713809970620101E-18</v>
      </c>
      <c r="AT108" s="742">
        <v>4.2616011884458199E-234</v>
      </c>
      <c r="AU108" s="742">
        <v>-3.4976960327654596E-105</v>
      </c>
      <c r="AV108" s="742">
        <v>-5.7104717301058403E-104</v>
      </c>
      <c r="AW108" s="742">
        <v>1.9317609091209001E-16</v>
      </c>
      <c r="AX108" s="742">
        <v>4.27502498695325E-232</v>
      </c>
      <c r="AY108" s="742">
        <v>8.5411733553741299E-109</v>
      </c>
      <c r="AZ108" s="742">
        <v>-5.9860483244100699E-104</v>
      </c>
      <c r="BA108" s="742">
        <v>0.29142520910161801</v>
      </c>
      <c r="BB108" s="742">
        <v>1.2809471778071199E-231</v>
      </c>
      <c r="BC108" s="742">
        <v>2.0014351794011801E-115</v>
      </c>
      <c r="BD108" s="742">
        <v>1.08400217941497E-231</v>
      </c>
      <c r="BE108" s="742">
        <v>2.0406270781240601E-231</v>
      </c>
      <c r="BF108" s="742">
        <v>2.0390686447908498E-115</v>
      </c>
      <c r="BG108" s="742">
        <v>1.7268817099251401E-231</v>
      </c>
      <c r="BH108" s="742">
        <v>1.1554012293387701E-15</v>
      </c>
      <c r="BI108" s="742">
        <v>1.42658708399264E-231</v>
      </c>
      <c r="BJ108" s="742">
        <v>1.13241809352021E-114</v>
      </c>
      <c r="BK108" s="742">
        <v>4.0932501855005202E-124</v>
      </c>
      <c r="BL108" s="742">
        <v>2.4963072433625198E-15</v>
      </c>
      <c r="BM108" s="742">
        <v>1.4265795520682701E-231</v>
      </c>
      <c r="BN108" s="742">
        <v>-8.4206697975973894E-105</v>
      </c>
      <c r="BO108" s="742">
        <v>-7.61030106277917E-106</v>
      </c>
      <c r="BP108" s="742">
        <v>0.291609779567228</v>
      </c>
      <c r="BQ108" s="742">
        <v>1.4322036967843199E-231</v>
      </c>
      <c r="BR108" s="742">
        <v>-8.5269615897225996E-43</v>
      </c>
      <c r="BS108" s="742">
        <v>5.9134987335802004E-39</v>
      </c>
      <c r="BT108" s="742">
        <v>1.14323976781784E-15</v>
      </c>
      <c r="BU108" s="742">
        <v>1.4432293740296799E-231</v>
      </c>
      <c r="BV108" s="742">
        <v>-4.0927345422415401E-103</v>
      </c>
      <c r="BW108" s="742">
        <v>-1.75770895587803E-103</v>
      </c>
      <c r="BX108" s="742">
        <v>2.4860014487882102E-15</v>
      </c>
      <c r="BY108" s="742">
        <v>1.4432212412958201E-231</v>
      </c>
      <c r="BZ108" s="742">
        <v>-3.2706852004604501E-102</v>
      </c>
      <c r="CA108" s="742">
        <v>-1.3402569831011601E-103</v>
      </c>
      <c r="CB108" s="742">
        <v>0.29160974061084499</v>
      </c>
      <c r="CC108" s="742">
        <v>1.4324551537618099E-231</v>
      </c>
      <c r="CD108" s="742">
        <v>-2.1391071216955899E-41</v>
      </c>
      <c r="CE108" s="742">
        <v>1.08524070771225E-39</v>
      </c>
      <c r="CF108" s="742">
        <v>2.9386164095309799E-15</v>
      </c>
      <c r="CG108" s="742">
        <v>1.6080731737520701E-231</v>
      </c>
      <c r="CH108" s="742">
        <v>1.9244809355744201E-108</v>
      </c>
      <c r="CI108" s="742">
        <v>-6.1319442950785105E-104</v>
      </c>
      <c r="CJ108" s="742">
        <v>2.7397675876760599E-15</v>
      </c>
      <c r="CK108" s="742">
        <v>1.60807368641435E-231</v>
      </c>
      <c r="CL108" s="742">
        <v>-9.6679942243673802E-105</v>
      </c>
      <c r="CM108" s="742">
        <v>-6.1276042873214801E-104</v>
      </c>
      <c r="CN108" s="742">
        <v>2.9386164095309799E-15</v>
      </c>
      <c r="CO108" s="742">
        <v>1.6080727527398999E-231</v>
      </c>
      <c r="CP108" s="742">
        <v>1.92448091834665E-108</v>
      </c>
      <c r="CQ108" s="742">
        <v>-6.1319442569262096E-104</v>
      </c>
      <c r="CR108" s="742">
        <v>0.29164965568488799</v>
      </c>
      <c r="CS108" s="742">
        <v>4.77687090220024E-231</v>
      </c>
      <c r="CT108" s="742">
        <v>1.8096783588867001E-114</v>
      </c>
      <c r="CU108" s="742">
        <v>3.74156347900344E-231</v>
      </c>
      <c r="CV108" s="742">
        <v>7.6098533728331402E-231</v>
      </c>
      <c r="CW108" s="742">
        <v>1.8437061976672902E-114</v>
      </c>
      <c r="CX108" s="742">
        <v>5.9594611375817201E-231</v>
      </c>
      <c r="CY108" s="742">
        <v>0.29164955462983599</v>
      </c>
      <c r="CZ108" s="742">
        <v>6.1453193385408201E-231</v>
      </c>
      <c r="DA108" s="742">
        <v>-2.0312732261343498E-40</v>
      </c>
      <c r="DB108" s="742">
        <v>3.3980916466646799E-35</v>
      </c>
      <c r="DC108" s="742">
        <v>0.29164991272365998</v>
      </c>
      <c r="DD108" s="742">
        <v>6.1462896167628506E-231</v>
      </c>
      <c r="DE108" s="742">
        <v>-2.2147846129188402E-37</v>
      </c>
      <c r="DF108" s="742">
        <v>3.6593000767146201E-32</v>
      </c>
      <c r="DG108" s="742">
        <v>0.29164996200121701</v>
      </c>
      <c r="DH108" s="742">
        <v>6.1473715229127301E-231</v>
      </c>
      <c r="DI108" s="742">
        <v>-4.3540456285996996E-37</v>
      </c>
      <c r="DJ108" s="742">
        <v>7.1936821788447598E-32</v>
      </c>
      <c r="DK108" s="742">
        <v>1.2096625714461799E-13</v>
      </c>
      <c r="DL108" s="742">
        <v>6.4355294912264801E-231</v>
      </c>
      <c r="DM108" s="742">
        <v>5.7504279062640297E-108</v>
      </c>
      <c r="DN108" s="742">
        <v>-6.3037133790258306E-104</v>
      </c>
      <c r="DO108" s="742">
        <v>0.29164965592952302</v>
      </c>
      <c r="DP108" s="742">
        <v>2.3440264508253201E-230</v>
      </c>
      <c r="DQ108" s="742">
        <v>8.0099762805370093E-114</v>
      </c>
      <c r="DR108" s="742">
        <v>4.0579858563169798E-229</v>
      </c>
      <c r="DS108" s="742">
        <v>2.69182667156597E-229</v>
      </c>
      <c r="DT108" s="742">
        <v>8.44646739247364E-114</v>
      </c>
      <c r="DU108" s="742">
        <v>-3.9058969529239899E-228</v>
      </c>
      <c r="DV108" s="742">
        <v>0.29165036633416702</v>
      </c>
      <c r="DW108" s="742">
        <v>1.14423997845169E-229</v>
      </c>
      <c r="DX108" s="742">
        <v>-5.9681136826961598E-37</v>
      </c>
      <c r="DY108" s="742">
        <v>7.9806054027031492E-31</v>
      </c>
      <c r="DZ108" s="742">
        <v>0.29165056717284699</v>
      </c>
      <c r="EA108" s="742">
        <v>1.1444141623157901E-229</v>
      </c>
      <c r="EB108" s="742">
        <v>-5.0145181062269998E-34</v>
      </c>
      <c r="EC108" s="742">
        <v>6.63018778808561E-28</v>
      </c>
      <c r="ED108" s="742">
        <v>0.29165061649643897</v>
      </c>
      <c r="EE108" s="742">
        <v>1.1446081762362801E-229</v>
      </c>
      <c r="EF108" s="742">
        <v>-2.3788315285192601E-27</v>
      </c>
      <c r="EG108" s="742">
        <v>3.9317528217276698E-22</v>
      </c>
      <c r="EH108" s="742">
        <v>3.5017154199886101E-14</v>
      </c>
      <c r="EI108" s="742">
        <v>1.5661369584590501E-229</v>
      </c>
      <c r="EJ108" s="742">
        <v>-2.1181386845203899E-103</v>
      </c>
      <c r="EK108" s="742">
        <v>-6.5873869126612003E-104</v>
      </c>
      <c r="EL108" s="742">
        <v>0.291650823721117</v>
      </c>
      <c r="EM108" s="742">
        <v>1.6613660424904301E-230</v>
      </c>
      <c r="EN108" s="742">
        <v>4.7486108562667599E-114</v>
      </c>
      <c r="EO108" s="742">
        <v>1.11662723170218E-230</v>
      </c>
      <c r="EP108" s="742">
        <v>2.0778957960014499E-230</v>
      </c>
      <c r="EQ108" s="742">
        <v>4.7962758648301497E-114</v>
      </c>
      <c r="ER108" s="742">
        <v>1.39655535416086E-230</v>
      </c>
      <c r="ES108" s="742">
        <v>0.29165395224429302</v>
      </c>
      <c r="ET108" s="742">
        <v>1.89177602071861E-230</v>
      </c>
      <c r="EU108" s="742">
        <v>-3.7420601920583301E-43</v>
      </c>
      <c r="EV108" s="742">
        <v>3.0512762337089799E-36</v>
      </c>
      <c r="EW108" s="742">
        <v>0.291653966113534</v>
      </c>
      <c r="EX108" s="742">
        <v>1.8920593350830101E-230</v>
      </c>
      <c r="EY108" s="742">
        <v>-5.4327577737812702E-40</v>
      </c>
      <c r="EZ108" s="742">
        <v>3.6466213950761003E-33</v>
      </c>
      <c r="FA108" s="742">
        <v>0.29165401544861502</v>
      </c>
      <c r="FB108" s="742">
        <v>1.8923776478376799E-230</v>
      </c>
      <c r="FC108" s="742">
        <v>-7.9912227946407395E-40</v>
      </c>
      <c r="FD108" s="742">
        <v>6.94370615182577E-33</v>
      </c>
      <c r="FE108" s="742">
        <v>7.8612571596325404E-12</v>
      </c>
      <c r="FF108" s="742">
        <v>1.9145319396880201E-230</v>
      </c>
      <c r="FG108" s="742">
        <v>2.2853727430166199E-108</v>
      </c>
      <c r="FH108" s="742">
        <v>-6.44599638651841E-104</v>
      </c>
    </row>
    <row r="109" spans="1:164" ht="12.75" customHeight="1" x14ac:dyDescent="0.2">
      <c r="A109" s="489"/>
      <c r="B109" s="512"/>
      <c r="C109" s="512"/>
      <c r="D109" s="512"/>
      <c r="E109" s="512"/>
      <c r="F109" s="744"/>
      <c r="G109" s="745"/>
      <c r="H109" s="506"/>
      <c r="I109" s="750">
        <v>7370783.7829359602</v>
      </c>
      <c r="J109" s="742">
        <v>0.27588049996613001</v>
      </c>
      <c r="K109" s="742">
        <v>-3.1405048668102598E-233</v>
      </c>
      <c r="L109" s="742">
        <v>-3.7599620165817298E-117</v>
      </c>
      <c r="M109" s="742">
        <v>-4.66759447290069E-233</v>
      </c>
      <c r="N109" s="742">
        <v>-5.00301437568382E-233</v>
      </c>
      <c r="O109" s="742">
        <v>-3.8306614948604803E-117</v>
      </c>
      <c r="P109" s="742">
        <v>-7.4357671193318301E-233</v>
      </c>
      <c r="Q109" s="742">
        <v>7.5610300974880204E-17</v>
      </c>
      <c r="R109" s="742">
        <v>-3.5683657565924699E-233</v>
      </c>
      <c r="S109" s="742">
        <v>-1.3814316010386E-116</v>
      </c>
      <c r="T109" s="742">
        <v>2.3220348003642202E-124</v>
      </c>
      <c r="U109" s="742">
        <v>4.3119827945433602E-18</v>
      </c>
      <c r="V109" s="742">
        <v>-3.7072929977637698E-236</v>
      </c>
      <c r="W109" s="742">
        <v>4.58499629861462E-107</v>
      </c>
      <c r="X109" s="742">
        <v>9.2443043192102207E-108</v>
      </c>
      <c r="Y109" s="742">
        <v>0.23647257398666</v>
      </c>
      <c r="Z109" s="742">
        <v>-2.6665857671321102E-233</v>
      </c>
      <c r="AA109" s="742">
        <v>5.2851864076880798E-48</v>
      </c>
      <c r="AB109" s="742">
        <v>-1.6207117779789301E-44</v>
      </c>
      <c r="AC109" s="742">
        <v>3.5697406797606499E-19</v>
      </c>
      <c r="AD109" s="742">
        <v>-3.9812864722347198E-233</v>
      </c>
      <c r="AE109" s="742">
        <v>1.9430047555028099E-104</v>
      </c>
      <c r="AF109" s="742">
        <v>1.5430898139133001E-104</v>
      </c>
      <c r="AG109" s="742">
        <v>4.1256838865501103E-18</v>
      </c>
      <c r="AH109" s="742">
        <v>-4.1362923806425098E-236</v>
      </c>
      <c r="AI109" s="742">
        <v>2.6191818211959301E-104</v>
      </c>
      <c r="AJ109" s="742">
        <v>1.02036759077781E-104</v>
      </c>
      <c r="AK109" s="742">
        <v>0.23564060482104299</v>
      </c>
      <c r="AL109" s="742">
        <v>-2.6836645759523701E-233</v>
      </c>
      <c r="AM109" s="742">
        <v>8.4078011817879198E-48</v>
      </c>
      <c r="AN109" s="742">
        <v>-2.57860984424964E-44</v>
      </c>
      <c r="AO109" s="742">
        <v>1.89314475178278E-16</v>
      </c>
      <c r="AP109" s="742">
        <v>-3.9425215959181099E-233</v>
      </c>
      <c r="AQ109" s="742">
        <v>-7.8697809079905098E-110</v>
      </c>
      <c r="AR109" s="742">
        <v>5.5147710287449699E-105</v>
      </c>
      <c r="AS109" s="742">
        <v>5.3620073636886503E-18</v>
      </c>
      <c r="AT109" s="742">
        <v>-3.9301436081431402E-235</v>
      </c>
      <c r="AU109" s="742">
        <v>3.2225343632928101E-106</v>
      </c>
      <c r="AV109" s="742">
        <v>5.2608902526705301E-105</v>
      </c>
      <c r="AW109" s="742">
        <v>1.89314475178278E-16</v>
      </c>
      <c r="AX109" s="742">
        <v>-3.9425229894782402E-233</v>
      </c>
      <c r="AY109" s="742">
        <v>-7.8697809596354904E-110</v>
      </c>
      <c r="AZ109" s="742">
        <v>5.5147710632023602E-105</v>
      </c>
      <c r="BA109" s="742">
        <v>0.28559958043617201</v>
      </c>
      <c r="BB109" s="742">
        <v>-1.1813184446314399E-232</v>
      </c>
      <c r="BC109" s="742">
        <v>-1.84439239144494E-116</v>
      </c>
      <c r="BD109" s="742">
        <v>-9.9969097314040499E-233</v>
      </c>
      <c r="BE109" s="742">
        <v>-1.8819113025243601E-232</v>
      </c>
      <c r="BF109" s="742">
        <v>-1.8790729567878399E-116</v>
      </c>
      <c r="BG109" s="742">
        <v>-1.5925681277518099E-232</v>
      </c>
      <c r="BH109" s="742">
        <v>1.13230460519127E-15</v>
      </c>
      <c r="BI109" s="742">
        <v>-1.3156300507534899E-232</v>
      </c>
      <c r="BJ109" s="742">
        <v>-1.0435627887787101E-115</v>
      </c>
      <c r="BK109" s="742">
        <v>-3.7725928957083801E-125</v>
      </c>
      <c r="BL109" s="742">
        <v>2.4464057297648301E-15</v>
      </c>
      <c r="BM109" s="742">
        <v>-1.31562441441646E-232</v>
      </c>
      <c r="BN109" s="742">
        <v>7.7581464563855196E-106</v>
      </c>
      <c r="BO109" s="742">
        <v>7.0112796386555997E-107</v>
      </c>
      <c r="BP109" s="742">
        <v>0.28578046131364199</v>
      </c>
      <c r="BQ109" s="742">
        <v>-1.3208100535878399E-232</v>
      </c>
      <c r="BR109" s="742">
        <v>7.8507805302936104E-44</v>
      </c>
      <c r="BS109" s="742">
        <v>-5.4445666726611202E-40</v>
      </c>
      <c r="BT109" s="742">
        <v>1.1203862529026199E-15</v>
      </c>
      <c r="BU109" s="742">
        <v>-1.33097816099246E-232</v>
      </c>
      <c r="BV109" s="742">
        <v>3.7705279653773101E-104</v>
      </c>
      <c r="BW109" s="742">
        <v>1.6193307419110301E-104</v>
      </c>
      <c r="BX109" s="742">
        <v>2.4363059493938802E-15</v>
      </c>
      <c r="BY109" s="742">
        <v>-1.33097175690305E-232</v>
      </c>
      <c r="BZ109" s="742">
        <v>3.0132693381317002E-103</v>
      </c>
      <c r="CA109" s="742">
        <v>1.23476931558636E-104</v>
      </c>
      <c r="CB109" s="742">
        <v>0.28578042313600199</v>
      </c>
      <c r="CC109" s="742">
        <v>-1.32104212858453E-232</v>
      </c>
      <c r="CD109" s="742">
        <v>1.9705841295404101E-42</v>
      </c>
      <c r="CE109" s="742">
        <v>-9.9060615515951508E-41</v>
      </c>
      <c r="CF109" s="742">
        <v>2.8798730769109602E-15</v>
      </c>
      <c r="CG109" s="742">
        <v>-1.48300113965758E-232</v>
      </c>
      <c r="CH109" s="742">
        <v>-1.77320405504475E-109</v>
      </c>
      <c r="CI109" s="742">
        <v>5.6491807405206196E-105</v>
      </c>
      <c r="CJ109" s="742">
        <v>2.6849992694354199E-15</v>
      </c>
      <c r="CK109" s="742">
        <v>-1.48300166281274E-232</v>
      </c>
      <c r="CL109" s="742">
        <v>8.9074189835072591E-106</v>
      </c>
      <c r="CM109" s="742">
        <v>5.6451822898223497E-105</v>
      </c>
      <c r="CN109" s="742">
        <v>2.8798730769109602E-15</v>
      </c>
      <c r="CO109" s="742">
        <v>-1.48300077759238E-232</v>
      </c>
      <c r="CP109" s="742">
        <v>-1.7732040314233899E-109</v>
      </c>
      <c r="CQ109" s="742">
        <v>5.6491806350059898E-105</v>
      </c>
      <c r="CR109" s="742">
        <v>0.28581954030241002</v>
      </c>
      <c r="CS109" s="742">
        <v>-4.4053349335145999E-232</v>
      </c>
      <c r="CT109" s="742">
        <v>-1.6676817397533899E-115</v>
      </c>
      <c r="CU109" s="742">
        <v>-3.4505495481661699E-232</v>
      </c>
      <c r="CV109" s="742">
        <v>-7.01797263168453E-232</v>
      </c>
      <c r="CW109" s="742">
        <v>-1.69903961407235E-115</v>
      </c>
      <c r="CX109" s="742">
        <v>-5.4959444028894599E-232</v>
      </c>
      <c r="CY109" s="742">
        <v>0.285819441267462</v>
      </c>
      <c r="CZ109" s="742">
        <v>-5.6673461684153999E-232</v>
      </c>
      <c r="DA109" s="742">
        <v>1.8705563745940001E-41</v>
      </c>
      <c r="DB109" s="742">
        <v>-3.1292318055358698E-36</v>
      </c>
      <c r="DC109" s="742">
        <v>0.28581979220294301</v>
      </c>
      <c r="DD109" s="742">
        <v>-5.6682407047941099E-232</v>
      </c>
      <c r="DE109" s="742">
        <v>2.0398492403965801E-38</v>
      </c>
      <c r="DF109" s="742">
        <v>-3.3702693190372903E-33</v>
      </c>
      <c r="DG109" s="742">
        <v>0.28581984049543502</v>
      </c>
      <c r="DH109" s="742">
        <v>-5.6692376060404399E-232</v>
      </c>
      <c r="DI109" s="742">
        <v>4.0085424906995301E-38</v>
      </c>
      <c r="DJ109" s="742">
        <v>-6.6228475592290304E-33</v>
      </c>
      <c r="DK109" s="742">
        <v>1.18548125585767E-13</v>
      </c>
      <c r="DL109" s="742">
        <v>-5.9349842251817297E-232</v>
      </c>
      <c r="DM109" s="742">
        <v>-5.2984063185912601E-109</v>
      </c>
      <c r="DN109" s="742">
        <v>5.8074265251953702E-105</v>
      </c>
      <c r="DO109" s="742">
        <v>0.28581954054215503</v>
      </c>
      <c r="DP109" s="742">
        <v>-2.1617128612224601E-231</v>
      </c>
      <c r="DQ109" s="742">
        <v>-7.3814726233350601E-115</v>
      </c>
      <c r="DR109" s="742">
        <v>-3.7423625037779199E-230</v>
      </c>
      <c r="DS109" s="742">
        <v>-2.4824485219942002E-230</v>
      </c>
      <c r="DT109" s="742">
        <v>-7.7837145064965902E-115</v>
      </c>
      <c r="DU109" s="742">
        <v>3.6021104275010002E-229</v>
      </c>
      <c r="DV109" s="742">
        <v>0.285820236745715</v>
      </c>
      <c r="DW109" s="742">
        <v>-1.0552383795346201E-230</v>
      </c>
      <c r="DX109" s="742">
        <v>5.4969222003097705E-38</v>
      </c>
      <c r="DY109" s="742">
        <v>-7.3505280002420201E-32</v>
      </c>
      <c r="DZ109" s="742">
        <v>0.28582043356960402</v>
      </c>
      <c r="EA109" s="742">
        <v>-1.0553989232252001E-230</v>
      </c>
      <c r="EB109" s="742">
        <v>4.6192161120095301E-35</v>
      </c>
      <c r="EC109" s="742">
        <v>-6.1075202878490704E-29</v>
      </c>
      <c r="ED109" s="742">
        <v>0.28582048190721099</v>
      </c>
      <c r="EE109" s="742">
        <v>-1.05557816311216E-230</v>
      </c>
      <c r="EF109" s="742">
        <v>2.1915701600635401E-28</v>
      </c>
      <c r="EG109" s="742">
        <v>-3.6222456728041201E-23</v>
      </c>
      <c r="EH109" s="742">
        <v>3.4317156633038498E-14</v>
      </c>
      <c r="EI109" s="742">
        <v>-1.44431872878097E-230</v>
      </c>
      <c r="EJ109" s="742">
        <v>1.9514800453354398E-104</v>
      </c>
      <c r="EK109" s="742">
        <v>6.0687666300722296E-105</v>
      </c>
      <c r="EL109" s="742">
        <v>0.28582068498944002</v>
      </c>
      <c r="EM109" s="742">
        <v>-1.5321471072280501E-231</v>
      </c>
      <c r="EN109" s="742">
        <v>-4.3760107051379E-115</v>
      </c>
      <c r="EO109" s="742">
        <v>-1.0297771995856E-231</v>
      </c>
      <c r="EP109" s="742">
        <v>-1.9162799082581E-231</v>
      </c>
      <c r="EQ109" s="742">
        <v>-4.4199356195895899E-115</v>
      </c>
      <c r="ER109" s="742">
        <v>-1.2879330070741E-231</v>
      </c>
      <c r="ES109" s="742">
        <v>0.28582375097302198</v>
      </c>
      <c r="ET109" s="742">
        <v>-1.7446373042671399E-231</v>
      </c>
      <c r="EU109" s="742">
        <v>3.44476629510896E-44</v>
      </c>
      <c r="EV109" s="742">
        <v>-2.8094788092344298E-37</v>
      </c>
      <c r="EW109" s="742">
        <v>0.28582376456501402</v>
      </c>
      <c r="EX109" s="742">
        <v>-1.74489756863487E-231</v>
      </c>
      <c r="EY109" s="742">
        <v>5.0023578446980699E-41</v>
      </c>
      <c r="EZ109" s="742">
        <v>-3.3580870363065601E-34</v>
      </c>
      <c r="FA109" s="742">
        <v>0.28582381291388098</v>
      </c>
      <c r="FB109" s="742">
        <v>-1.7451916720765199E-231</v>
      </c>
      <c r="FC109" s="742">
        <v>7.3541087866229001E-41</v>
      </c>
      <c r="FD109" s="742">
        <v>-6.3920601521822696E-34</v>
      </c>
      <c r="FE109" s="742">
        <v>7.7041095841129904E-12</v>
      </c>
      <c r="FF109" s="742">
        <v>-1.7656229589515199E-231</v>
      </c>
      <c r="FG109" s="742">
        <v>-2.10591757386279E-109</v>
      </c>
      <c r="FH109" s="742">
        <v>5.9385076878170001E-105</v>
      </c>
    </row>
    <row r="110" spans="1:164" ht="12.75" customHeight="1" x14ac:dyDescent="0.2">
      <c r="A110" s="489"/>
      <c r="B110" s="509"/>
      <c r="C110" s="969"/>
      <c r="D110" s="513"/>
      <c r="E110" s="513"/>
      <c r="F110" s="744"/>
      <c r="G110" s="745"/>
      <c r="H110" s="506"/>
      <c r="I110" s="750">
        <v>7454542.6895602299</v>
      </c>
      <c r="J110" s="742">
        <v>0.27036561210163801</v>
      </c>
      <c r="K110" s="742">
        <v>1.36142837235156E-234</v>
      </c>
      <c r="L110" s="742">
        <v>1.62158409371988E-118</v>
      </c>
      <c r="M110" s="742">
        <v>2.02342985318674E-234</v>
      </c>
      <c r="N110" s="742">
        <v>2.1688378025320699E-234</v>
      </c>
      <c r="O110" s="742">
        <v>1.65207510074041E-118</v>
      </c>
      <c r="P110" s="742">
        <v>3.2234496893416202E-234</v>
      </c>
      <c r="Q110" s="742">
        <v>7.4098841008234801E-17</v>
      </c>
      <c r="R110" s="742">
        <v>1.5469091761126101E-234</v>
      </c>
      <c r="S110" s="742">
        <v>5.9577921515649902E-118</v>
      </c>
      <c r="T110" s="742">
        <v>-1.00245512630141E-125</v>
      </c>
      <c r="U110" s="742">
        <v>4.2257856853296097E-18</v>
      </c>
      <c r="V110" s="742">
        <v>1.60713662170117E-237</v>
      </c>
      <c r="W110" s="742">
        <v>-1.9743592185094801E-108</v>
      </c>
      <c r="X110" s="742">
        <v>-3.9789191706688702E-109</v>
      </c>
      <c r="Y110" s="742">
        <v>0.23174545580061801</v>
      </c>
      <c r="Z110" s="742">
        <v>1.1559793727435499E-234</v>
      </c>
      <c r="AA110" s="742">
        <v>-2.2635481358280901E-49</v>
      </c>
      <c r="AB110" s="742">
        <v>6.9413111577963902E-46</v>
      </c>
      <c r="AC110" s="742">
        <v>3.4983810890805801E-19</v>
      </c>
      <c r="AD110" s="742">
        <v>1.72591090223394E-234</v>
      </c>
      <c r="AE110" s="742">
        <v>-8.3632302353591498E-106</v>
      </c>
      <c r="AF110" s="742">
        <v>-6.6418858463176402E-106</v>
      </c>
      <c r="AG110" s="742">
        <v>4.0432109172700902E-18</v>
      </c>
      <c r="AH110" s="742">
        <v>1.79310693737629E-237</v>
      </c>
      <c r="AI110" s="742">
        <v>-1.1273545273530801E-105</v>
      </c>
      <c r="AJ110" s="742">
        <v>-4.3919245607575304E-106</v>
      </c>
      <c r="AK110" s="742">
        <v>0.230930117809208</v>
      </c>
      <c r="AL110" s="742">
        <v>1.1633847107596601E-234</v>
      </c>
      <c r="AM110" s="742">
        <v>-3.5906373178968097E-49</v>
      </c>
      <c r="AN110" s="742">
        <v>1.1012355632465799E-45</v>
      </c>
      <c r="AO110" s="742">
        <v>1.85530053655693E-16</v>
      </c>
      <c r="AP110" s="742">
        <v>1.70910657850497E-234</v>
      </c>
      <c r="AQ110" s="742">
        <v>3.3904366428119501E-111</v>
      </c>
      <c r="AR110" s="742">
        <v>-2.3736594524335799E-106</v>
      </c>
      <c r="AS110" s="742">
        <v>5.2548201237679198E-18</v>
      </c>
      <c r="AT110" s="742">
        <v>1.7037422555404199E-236</v>
      </c>
      <c r="AU110" s="742">
        <v>-1.3876653510468899E-107</v>
      </c>
      <c r="AV110" s="742">
        <v>-2.26438417360059E-106</v>
      </c>
      <c r="AW110" s="742">
        <v>1.85530053655693E-16</v>
      </c>
      <c r="AX110" s="742">
        <v>1.70910966245503E-234</v>
      </c>
      <c r="AY110" s="742">
        <v>3.3904366897326297E-111</v>
      </c>
      <c r="AZ110" s="742">
        <v>-2.3736594324176302E-106</v>
      </c>
      <c r="BA110" s="742">
        <v>0.27989040686121902</v>
      </c>
      <c r="BB110" s="742">
        <v>5.12109215299565E-234</v>
      </c>
      <c r="BC110" s="742">
        <v>7.9544348132646302E-118</v>
      </c>
      <c r="BD110" s="742">
        <v>4.3337231142865099E-234</v>
      </c>
      <c r="BE110" s="742">
        <v>8.1582065455843598E-234</v>
      </c>
      <c r="BF110" s="742">
        <v>8.1040046589732197E-118</v>
      </c>
      <c r="BG110" s="742">
        <v>6.9038731698077295E-234</v>
      </c>
      <c r="BH110" s="742">
        <v>1.10966968562702E-15</v>
      </c>
      <c r="BI110" s="742">
        <v>5.7033370278505196E-234</v>
      </c>
      <c r="BJ110" s="742">
        <v>4.5006432391261002E-117</v>
      </c>
      <c r="BK110" s="742">
        <v>1.628587673346E-126</v>
      </c>
      <c r="BL110" s="742">
        <v>2.3975017540494101E-15</v>
      </c>
      <c r="BM110" s="742">
        <v>5.7033184182999201E-234</v>
      </c>
      <c r="BN110" s="742">
        <v>-3.3405365841085801E-107</v>
      </c>
      <c r="BO110" s="742">
        <v>-3.0181799923571702E-108</v>
      </c>
      <c r="BP110" s="742">
        <v>0.28006767190590598</v>
      </c>
      <c r="BQ110" s="742">
        <v>5.7257882902458002E-234</v>
      </c>
      <c r="BR110" s="742">
        <v>-3.3645744722636599E-45</v>
      </c>
      <c r="BS110" s="742">
        <v>2.3333645501635099E-41</v>
      </c>
      <c r="BT110" s="742">
        <v>1.0979895827848099E-15</v>
      </c>
      <c r="BU110" s="742">
        <v>5.7698752574537704E-234</v>
      </c>
      <c r="BV110" s="742">
        <v>-1.6229393866299401E-105</v>
      </c>
      <c r="BW110" s="742">
        <v>-6.9700469050574501E-106</v>
      </c>
      <c r="BX110" s="742">
        <v>2.3876038696305398E-15</v>
      </c>
      <c r="BY110" s="742">
        <v>5.7698473059185098E-234</v>
      </c>
      <c r="BZ110" s="742">
        <v>-1.29721479577911E-104</v>
      </c>
      <c r="CA110" s="742">
        <v>-5.3155674494357703E-106</v>
      </c>
      <c r="CB110" s="742">
        <v>0.28006763449144201</v>
      </c>
      <c r="CC110" s="742">
        <v>5.7268030552117E-234</v>
      </c>
      <c r="CD110" s="742">
        <v>-8.4783870374360998E-44</v>
      </c>
      <c r="CE110" s="742">
        <v>3.9885268046393799E-42</v>
      </c>
      <c r="CF110" s="742">
        <v>2.8223040313094E-15</v>
      </c>
      <c r="CG110" s="742">
        <v>6.4289055913363995E-234</v>
      </c>
      <c r="CH110" s="742">
        <v>7.6392668569457907E-111</v>
      </c>
      <c r="CI110" s="742">
        <v>-2.4315119317256502E-106</v>
      </c>
      <c r="CJ110" s="742">
        <v>2.6313257771480099E-15</v>
      </c>
      <c r="CK110" s="742">
        <v>6.42891321512504E-234</v>
      </c>
      <c r="CL110" s="742">
        <v>-3.8356511095415499E-107</v>
      </c>
      <c r="CM110" s="742">
        <v>-2.4297905866402002E-106</v>
      </c>
      <c r="CN110" s="742">
        <v>2.8223040313094E-15</v>
      </c>
      <c r="CO110" s="742">
        <v>6.4289042712360601E-234</v>
      </c>
      <c r="CP110" s="742">
        <v>7.6392669708568696E-111</v>
      </c>
      <c r="CQ110" s="742">
        <v>-2.4315117380543698E-106</v>
      </c>
      <c r="CR110" s="742">
        <v>0.28010596970049401</v>
      </c>
      <c r="CS110" s="742">
        <v>1.90974009036202E-233</v>
      </c>
      <c r="CT110" s="742">
        <v>7.1923225379082606E-117</v>
      </c>
      <c r="CU110" s="742">
        <v>1.4958301966053201E-233</v>
      </c>
      <c r="CV110" s="742">
        <v>3.0423302641444701E-233</v>
      </c>
      <c r="CW110" s="742">
        <v>7.32756197757569E-117</v>
      </c>
      <c r="CX110" s="742">
        <v>2.3825209701254598E-233</v>
      </c>
      <c r="CY110" s="742">
        <v>0.28010587264526698</v>
      </c>
      <c r="CZ110" s="742">
        <v>2.4568265468945301E-233</v>
      </c>
      <c r="DA110" s="742">
        <v>-8.0273880103398298E-43</v>
      </c>
      <c r="DB110" s="742">
        <v>1.34289638288004E-37</v>
      </c>
      <c r="DC110" s="742">
        <v>0.280106216565501</v>
      </c>
      <c r="DD110" s="742">
        <v>2.4572150892956102E-233</v>
      </c>
      <c r="DE110" s="742">
        <v>-8.7629173976453905E-40</v>
      </c>
      <c r="DF110" s="742">
        <v>1.4478223981730999E-34</v>
      </c>
      <c r="DG110" s="742">
        <v>0.28010626389262</v>
      </c>
      <c r="DH110" s="742">
        <v>2.4576473089609299E-233</v>
      </c>
      <c r="DI110" s="742">
        <v>-1.7172318635714601E-39</v>
      </c>
      <c r="DJ110" s="742">
        <v>2.8371819158409101E-34</v>
      </c>
      <c r="DK110" s="742">
        <v>1.1617833279783399E-13</v>
      </c>
      <c r="DL110" s="742">
        <v>2.57285082563845E-233</v>
      </c>
      <c r="DM110" s="742">
        <v>2.28264433989095E-110</v>
      </c>
      <c r="DN110" s="742">
        <v>-2.4996236499337599E-106</v>
      </c>
      <c r="DO110" s="742">
        <v>0.28010596993544601</v>
      </c>
      <c r="DP110" s="742">
        <v>9.3711577190020502E-233</v>
      </c>
      <c r="DQ110" s="742">
        <v>3.1834571025796199E-116</v>
      </c>
      <c r="DR110" s="742">
        <v>1.62233286846788E-231</v>
      </c>
      <c r="DS110" s="742">
        <v>1.07611736655635E-231</v>
      </c>
      <c r="DT110" s="742">
        <v>3.3569347104811402E-116</v>
      </c>
      <c r="DU110" s="742">
        <v>-1.56155892772394E-230</v>
      </c>
      <c r="DV110" s="742">
        <v>0.28010665222180398</v>
      </c>
      <c r="DW110" s="742">
        <v>4.5743792034701899E-232</v>
      </c>
      <c r="DX110" s="742">
        <v>-2.3620075022721799E-39</v>
      </c>
      <c r="DY110" s="742">
        <v>3.15850494268394E-33</v>
      </c>
      <c r="DZ110" s="742">
        <v>0.28010684511115702</v>
      </c>
      <c r="EA110" s="742">
        <v>4.5750710288756799E-232</v>
      </c>
      <c r="EB110" s="742">
        <v>-1.9866620527159698E-36</v>
      </c>
      <c r="EC110" s="742">
        <v>2.6267616918283299E-30</v>
      </c>
      <c r="ED110" s="742">
        <v>0.28010689248248899</v>
      </c>
      <c r="EE110" s="742">
        <v>4.5758519879450001E-232</v>
      </c>
      <c r="EF110" s="742">
        <v>-9.4335930537861495E-30</v>
      </c>
      <c r="EG110" s="742">
        <v>1.55919222400148E-24</v>
      </c>
      <c r="EH110" s="742">
        <v>3.3631152110491101E-14</v>
      </c>
      <c r="EI110" s="742">
        <v>6.2610000855949703E-232</v>
      </c>
      <c r="EJ110" s="742">
        <v>-8.4025514784467999E-106</v>
      </c>
      <c r="EK110" s="742">
        <v>-2.6121094006387998E-106</v>
      </c>
      <c r="EL110" s="742">
        <v>0.28010709150507801</v>
      </c>
      <c r="EM110" s="742">
        <v>6.6419335046804902E-233</v>
      </c>
      <c r="EN110" s="742">
        <v>1.8872714796372801E-116</v>
      </c>
      <c r="EO110" s="742">
        <v>4.4641333624655499E-233</v>
      </c>
      <c r="EP110" s="742">
        <v>8.3071808459887705E-233</v>
      </c>
      <c r="EQ110" s="742">
        <v>1.9062152389940399E-116</v>
      </c>
      <c r="ER110" s="742">
        <v>5.5832540051225499E-233</v>
      </c>
      <c r="ES110" s="742">
        <v>0.28011009619923999</v>
      </c>
      <c r="ET110" s="742">
        <v>7.5631073088650201E-233</v>
      </c>
      <c r="EU110" s="742">
        <v>-1.4746561216347501E-45</v>
      </c>
      <c r="EV110" s="742">
        <v>1.20454402225443E-38</v>
      </c>
      <c r="EW110" s="742">
        <v>0.28011010951952697</v>
      </c>
      <c r="EX110" s="742">
        <v>7.5642102380250398E-233</v>
      </c>
      <c r="EY110" s="742">
        <v>-2.14507654865204E-42</v>
      </c>
      <c r="EZ110" s="742">
        <v>1.4410768682444201E-35</v>
      </c>
      <c r="FA110" s="742">
        <v>0.280110156901894</v>
      </c>
      <c r="FB110" s="742">
        <v>7.56548996772744E-233</v>
      </c>
      <c r="FC110" s="742">
        <v>-3.1414841605844199E-42</v>
      </c>
      <c r="FD110" s="742">
        <v>2.73637453674486E-35</v>
      </c>
      <c r="FE110" s="742">
        <v>7.5501034094926204E-12</v>
      </c>
      <c r="FF110" s="742">
        <v>7.6540764971248496E-233</v>
      </c>
      <c r="FG110" s="742">
        <v>9.0783469019068805E-111</v>
      </c>
      <c r="FH110" s="742">
        <v>-2.5560434230006498E-106</v>
      </c>
    </row>
    <row r="111" spans="1:164" ht="12.75" customHeight="1" x14ac:dyDescent="0.2">
      <c r="A111" s="489"/>
      <c r="B111" s="513"/>
      <c r="C111" s="969"/>
      <c r="D111" s="513"/>
      <c r="E111" s="513"/>
      <c r="F111" s="744"/>
      <c r="G111" s="745"/>
      <c r="H111" s="506"/>
      <c r="I111" s="750">
        <v>7538301.5961844996</v>
      </c>
      <c r="J111" s="742">
        <v>0.26496096757955101</v>
      </c>
      <c r="K111" s="742">
        <v>8.8748440415582207E-239</v>
      </c>
      <c r="L111" s="742">
        <v>2.14928024419965E-121</v>
      </c>
      <c r="M111" s="742">
        <v>1.3168690840624899E-238</v>
      </c>
      <c r="N111" s="742">
        <v>1.41254870540608E-238</v>
      </c>
      <c r="O111" s="742">
        <v>2.1896923308991398E-121</v>
      </c>
      <c r="P111" s="742">
        <v>2.09936263825188E-238</v>
      </c>
      <c r="Q111" s="742">
        <v>7.2617595327487395E-17</v>
      </c>
      <c r="R111" s="742">
        <v>1.00854394784744E-238</v>
      </c>
      <c r="S111" s="742">
        <v>7.8966256347752006E-121</v>
      </c>
      <c r="T111" s="742">
        <v>-1.07971990023069E-128</v>
      </c>
      <c r="U111" s="742">
        <v>4.1413116678012797E-18</v>
      </c>
      <c r="V111" s="742">
        <v>1.04664319110215E-241</v>
      </c>
      <c r="W111" s="742">
        <v>-3.3626906861709698E-111</v>
      </c>
      <c r="X111" s="742">
        <v>-7.21846210501903E-112</v>
      </c>
      <c r="Y111" s="742">
        <v>0.227112833336262</v>
      </c>
      <c r="Z111" s="742">
        <v>7.5495944098177602E-239</v>
      </c>
      <c r="AA111" s="742">
        <v>-6.8800946135356605E-52</v>
      </c>
      <c r="AB111" s="742">
        <v>2.1073383345347899E-48</v>
      </c>
      <c r="AC111" s="742">
        <v>3.4284479861156802E-19</v>
      </c>
      <c r="AD111" s="742">
        <v>1.12637980720177E-238</v>
      </c>
      <c r="AE111" s="742">
        <v>-1.5128263967777301E-108</v>
      </c>
      <c r="AF111" s="742">
        <v>-1.2014543035768201E-108</v>
      </c>
      <c r="AG111" s="742">
        <v>3.9623865936225502E-18</v>
      </c>
      <c r="AH111" s="742">
        <v>1.16844869731544E-241</v>
      </c>
      <c r="AI111" s="742">
        <v>-2.04266638542089E-108</v>
      </c>
      <c r="AJ111" s="742">
        <v>-7.9494328164037901E-109</v>
      </c>
      <c r="AK111" s="742">
        <v>0.226313794059672</v>
      </c>
      <c r="AL111" s="742">
        <v>7.5949154827230202E-239</v>
      </c>
      <c r="AM111" s="742">
        <v>-1.3448241229992199E-51</v>
      </c>
      <c r="AN111" s="742">
        <v>4.1210816345534901E-48</v>
      </c>
      <c r="AO111" s="742">
        <v>1.8182128322302499E-16</v>
      </c>
      <c r="AP111" s="742">
        <v>1.1135973825756601E-238</v>
      </c>
      <c r="AQ111" s="742">
        <v>5.3802125756516197E-114</v>
      </c>
      <c r="AR111" s="742">
        <v>-4.3061809499728702E-109</v>
      </c>
      <c r="AS111" s="742">
        <v>5.1497755710390698E-18</v>
      </c>
      <c r="AT111" s="742">
        <v>1.11010071985097E-240</v>
      </c>
      <c r="AU111" s="742">
        <v>-2.3634416303560701E-110</v>
      </c>
      <c r="AV111" s="742">
        <v>-4.10799745742647E-109</v>
      </c>
      <c r="AW111" s="742">
        <v>1.8182128322302499E-16</v>
      </c>
      <c r="AX111" s="742">
        <v>1.1122843095489799E-238</v>
      </c>
      <c r="AY111" s="742">
        <v>5.3801998614809702E-114</v>
      </c>
      <c r="AZ111" s="742">
        <v>-4.3061778063757601E-109</v>
      </c>
      <c r="BA111" s="742">
        <v>0.27429536042588099</v>
      </c>
      <c r="BB111" s="742">
        <v>3.3255833186905398E-238</v>
      </c>
      <c r="BC111" s="742">
        <v>1.05429588134046E-120</v>
      </c>
      <c r="BD111" s="742">
        <v>2.8136298048817499E-238</v>
      </c>
      <c r="BE111" s="742">
        <v>5.2990955834108598E-238</v>
      </c>
      <c r="BF111" s="742">
        <v>1.0741181099502E-120</v>
      </c>
      <c r="BG111" s="742">
        <v>4.4917648092283099E-238</v>
      </c>
      <c r="BH111" s="742">
        <v>1.08748724111741E-15</v>
      </c>
      <c r="BI111" s="742">
        <v>3.7042606693349E-238</v>
      </c>
      <c r="BJ111" s="742">
        <v>5.9652446519056999E-120</v>
      </c>
      <c r="BK111" s="742">
        <v>1.77709675904101E-129</v>
      </c>
      <c r="BL111" s="742">
        <v>2.3495753753173101E-15</v>
      </c>
      <c r="BM111" s="742">
        <v>3.71459987909432E-238</v>
      </c>
      <c r="BN111" s="742">
        <v>-5.7442185945889996E-110</v>
      </c>
      <c r="BO111" s="742">
        <v>-5.3783063698959901E-111</v>
      </c>
      <c r="BP111" s="742">
        <v>0.27446908191876301</v>
      </c>
      <c r="BQ111" s="742">
        <v>3.7232310987848899E-238</v>
      </c>
      <c r="BR111" s="742">
        <v>-9.6764119694719703E-48</v>
      </c>
      <c r="BS111" s="742">
        <v>6.7080649045915697E-44</v>
      </c>
      <c r="BT111" s="742">
        <v>1.0760406250835099E-15</v>
      </c>
      <c r="BU111" s="742">
        <v>3.7467360784949102E-238</v>
      </c>
      <c r="BV111" s="742">
        <v>-2.9357994767518101E-108</v>
      </c>
      <c r="BW111" s="742">
        <v>-1.2608410912391101E-108</v>
      </c>
      <c r="BX111" s="742">
        <v>2.3398753509235701E-15</v>
      </c>
      <c r="BY111" s="742">
        <v>3.7541394467300302E-238</v>
      </c>
      <c r="BZ111" s="742">
        <v>-2.29244001198777E-107</v>
      </c>
      <c r="CA111" s="742">
        <v>-9.4241489985851897E-109</v>
      </c>
      <c r="CB111" s="742">
        <v>0.27446904525221899</v>
      </c>
      <c r="CC111" s="742">
        <v>3.7313153688440801E-238</v>
      </c>
      <c r="CD111" s="742">
        <v>-1.6209140729776101E-46</v>
      </c>
      <c r="CE111" s="742">
        <v>7.4827263954436896E-44</v>
      </c>
      <c r="CF111" s="742">
        <v>2.7658857985914498E-15</v>
      </c>
      <c r="CG111" s="742">
        <v>4.1745692271514802E-238</v>
      </c>
      <c r="CH111" s="742">
        <v>1.21225879270289E-113</v>
      </c>
      <c r="CI111" s="742">
        <v>-4.4111304618923597E-109</v>
      </c>
      <c r="CJ111" s="742">
        <v>2.57872522511499E-15</v>
      </c>
      <c r="CK111" s="742">
        <v>4.1740075268009003E-238</v>
      </c>
      <c r="CL111" s="742">
        <v>-6.5327849300768898E-110</v>
      </c>
      <c r="CM111" s="742">
        <v>-4.40807908555138E-109</v>
      </c>
      <c r="CN111" s="742">
        <v>2.7658857985914498E-15</v>
      </c>
      <c r="CO111" s="742">
        <v>4.1727459121940301E-238</v>
      </c>
      <c r="CP111" s="742">
        <v>1.21226069093776E-113</v>
      </c>
      <c r="CQ111" s="742">
        <v>-4.4111384630229197E-109</v>
      </c>
      <c r="CR111" s="742">
        <v>0.27450661413534699</v>
      </c>
      <c r="CS111" s="742">
        <v>1.2419084207046899E-237</v>
      </c>
      <c r="CT111" s="742">
        <v>9.5328868575169902E-120</v>
      </c>
      <c r="CU111" s="742">
        <v>9.7606275908413505E-238</v>
      </c>
      <c r="CV111" s="742">
        <v>1.9789015080597701E-237</v>
      </c>
      <c r="CW111" s="742">
        <v>9.71208505213846E-120</v>
      </c>
      <c r="CX111" s="742">
        <v>1.5530802835074401E-237</v>
      </c>
      <c r="CY111" s="742">
        <v>0.27450651902026701</v>
      </c>
      <c r="CZ111" s="742">
        <v>1.6008260248018899E-237</v>
      </c>
      <c r="DA111" s="742">
        <v>-2.04160907049965E-45</v>
      </c>
      <c r="DB111" s="742">
        <v>3.4143863507186302E-40</v>
      </c>
      <c r="DC111" s="742">
        <v>0.27450685606549002</v>
      </c>
      <c r="DD111" s="742">
        <v>1.59844237207169E-237</v>
      </c>
      <c r="DE111" s="742">
        <v>-2.0065222698065601E-42</v>
      </c>
      <c r="DF111" s="742">
        <v>3.3151707746897099E-37</v>
      </c>
      <c r="DG111" s="742">
        <v>0.27450690244653297</v>
      </c>
      <c r="DH111" s="742">
        <v>1.5998527922610001E-237</v>
      </c>
      <c r="DI111" s="742">
        <v>-5.1092611153711402E-42</v>
      </c>
      <c r="DJ111" s="742">
        <v>8.4414630338514197E-37</v>
      </c>
      <c r="DK111" s="742">
        <v>1.13855912483134E-13</v>
      </c>
      <c r="DL111" s="742">
        <v>1.6726023218716499E-237</v>
      </c>
      <c r="DM111" s="742">
        <v>3.6222727218861103E-113</v>
      </c>
      <c r="DN111" s="742">
        <v>-4.5347080377214098E-109</v>
      </c>
      <c r="DO111" s="742">
        <v>0.27450661436560198</v>
      </c>
      <c r="DP111" s="742">
        <v>6.1019749582327197E-237</v>
      </c>
      <c r="DQ111" s="742">
        <v>4.21942992212603E-119</v>
      </c>
      <c r="DR111" s="742">
        <v>1.0653112414122201E-235</v>
      </c>
      <c r="DS111" s="742">
        <v>7.9271887191219003E-236</v>
      </c>
      <c r="DT111" s="742">
        <v>4.44935026246847E-119</v>
      </c>
      <c r="DU111" s="742">
        <v>-9.5463188272454202E-235</v>
      </c>
      <c r="DV111" s="742">
        <v>0.27450728301296501</v>
      </c>
      <c r="DW111" s="742">
        <v>3.3196600412908098E-236</v>
      </c>
      <c r="DX111" s="742">
        <v>-5.25992332515473E-42</v>
      </c>
      <c r="DY111" s="742">
        <v>7.0312337231320596E-36</v>
      </c>
      <c r="DZ111" s="742">
        <v>0.274507472046435</v>
      </c>
      <c r="EA111" s="742">
        <v>3.3211246007152499E-236</v>
      </c>
      <c r="EB111" s="742">
        <v>-3.9808274441715301E-39</v>
      </c>
      <c r="EC111" s="742">
        <v>5.2634036991966198E-33</v>
      </c>
      <c r="ED111" s="742">
        <v>0.27450751847080701</v>
      </c>
      <c r="EE111" s="742">
        <v>3.3224028429604798E-236</v>
      </c>
      <c r="EF111" s="742">
        <v>-1.6949386250666199E-32</v>
      </c>
      <c r="EG111" s="742">
        <v>2.80141633239137E-27</v>
      </c>
      <c r="EH111" s="742">
        <v>3.2958860909651801E-14</v>
      </c>
      <c r="EI111" s="742">
        <v>4.5754791285559798E-236</v>
      </c>
      <c r="EJ111" s="742">
        <v>-1.45017134220491E-108</v>
      </c>
      <c r="EK111" s="742">
        <v>-4.7387661433330802E-109</v>
      </c>
      <c r="EL111" s="742">
        <v>0.27450771351490799</v>
      </c>
      <c r="EM111" s="742">
        <v>4.3337735894782299E-237</v>
      </c>
      <c r="EN111" s="742">
        <v>2.50143026513221E-119</v>
      </c>
      <c r="EO111" s="742">
        <v>2.9146749444839501E-237</v>
      </c>
      <c r="EP111" s="742">
        <v>5.41997237496021E-237</v>
      </c>
      <c r="EQ111" s="742">
        <v>2.52654193394932E-119</v>
      </c>
      <c r="ER111" s="742">
        <v>3.64382019800884E-237</v>
      </c>
      <c r="ES111" s="742">
        <v>0.274510658144835</v>
      </c>
      <c r="ET111" s="742">
        <v>4.9243314672302601E-237</v>
      </c>
      <c r="EU111" s="742">
        <v>-4.6485996734228599E-48</v>
      </c>
      <c r="EV111" s="742">
        <v>3.3413753470097699E-41</v>
      </c>
      <c r="EW111" s="742">
        <v>0.27451067119884698</v>
      </c>
      <c r="EX111" s="742">
        <v>4.93979139781694E-237</v>
      </c>
      <c r="EY111" s="742">
        <v>-5.8638231515553694E-45</v>
      </c>
      <c r="EZ111" s="742">
        <v>3.6718234094154397E-38</v>
      </c>
      <c r="FA111" s="742">
        <v>0.27451071763403401</v>
      </c>
      <c r="FB111" s="742">
        <v>4.9354716024217796E-237</v>
      </c>
      <c r="FC111" s="742">
        <v>-1.1558932814923899E-44</v>
      </c>
      <c r="FD111" s="742">
        <v>8.62009910146547E-38</v>
      </c>
      <c r="FE111" s="742">
        <v>7.3991758388000496E-12</v>
      </c>
      <c r="FF111" s="742">
        <v>4.9861395292006995E-237</v>
      </c>
      <c r="FG111" s="742">
        <v>1.3009293920083501E-113</v>
      </c>
      <c r="FH111" s="742">
        <v>-4.6370565165483E-109</v>
      </c>
    </row>
    <row r="112" spans="1:164" ht="12.75" customHeight="1" x14ac:dyDescent="0.2">
      <c r="A112" s="489"/>
      <c r="B112" s="513"/>
      <c r="C112" s="513"/>
      <c r="D112" s="513"/>
      <c r="E112" s="513"/>
      <c r="F112" s="744"/>
      <c r="G112" s="745"/>
      <c r="H112" s="506"/>
      <c r="I112" s="750">
        <v>7622060.5028087702</v>
      </c>
      <c r="J112" s="742">
        <v>0.25966436262077902</v>
      </c>
      <c r="K112" s="742">
        <v>-1.3785126556580399E-239</v>
      </c>
      <c r="L112" s="742">
        <v>-3.3314044396208501E-122</v>
      </c>
      <c r="M112" s="742">
        <v>-2.0488242448239398E-239</v>
      </c>
      <c r="N112" s="742">
        <v>-2.1960557136374398E-239</v>
      </c>
      <c r="O112" s="742">
        <v>-3.39404565482609E-122</v>
      </c>
      <c r="P112" s="742">
        <v>-3.2639020189719602E-239</v>
      </c>
      <c r="Q112" s="742">
        <v>7.1165959945041201E-17</v>
      </c>
      <c r="R112" s="742">
        <v>-1.56632054307778E-239</v>
      </c>
      <c r="S112" s="742">
        <v>-1.22397719626448E-121</v>
      </c>
      <c r="T112" s="742">
        <v>1.6736541087104098E-129</v>
      </c>
      <c r="U112" s="742">
        <v>4.0585262971262203E-18</v>
      </c>
      <c r="V112" s="742">
        <v>-1.6273014344394401E-242</v>
      </c>
      <c r="W112" s="742">
        <v>5.2118834088266601E-112</v>
      </c>
      <c r="X112" s="742">
        <v>1.118785055181E-112</v>
      </c>
      <c r="Y112" s="742">
        <v>0.22257281761153699</v>
      </c>
      <c r="Z112" s="742">
        <v>-1.17048833592495E-239</v>
      </c>
      <c r="AA112" s="742">
        <v>1.06621428428677E-52</v>
      </c>
      <c r="AB112" s="742">
        <v>-3.2657602025508201E-49</v>
      </c>
      <c r="AC112" s="742">
        <v>3.3599128551866301E-19</v>
      </c>
      <c r="AD112" s="742">
        <v>-1.7475715980913999E-239</v>
      </c>
      <c r="AE112" s="742">
        <v>2.3447235744716898E-109</v>
      </c>
      <c r="AF112" s="742">
        <v>1.86212568365389E-109</v>
      </c>
      <c r="AG112" s="742">
        <v>3.8831779589618597E-18</v>
      </c>
      <c r="AH112" s="742">
        <v>-1.81560913447961E-242</v>
      </c>
      <c r="AI112" s="742">
        <v>3.16591838764907E-109</v>
      </c>
      <c r="AJ112" s="742">
        <v>1.2320734240737499E-109</v>
      </c>
      <c r="AK112" s="742">
        <v>0.221789751236289</v>
      </c>
      <c r="AL112" s="742">
        <v>-1.17798374493267E-239</v>
      </c>
      <c r="AM112" s="742">
        <v>2.0839146690515298E-52</v>
      </c>
      <c r="AN112" s="742">
        <v>-6.3859491598150103E-49</v>
      </c>
      <c r="AO112" s="742">
        <v>1.7818665160491599E-16</v>
      </c>
      <c r="AP112" s="742">
        <v>-1.73055538806058E-239</v>
      </c>
      <c r="AQ112" s="742">
        <v>-8.3390285086784508E-115</v>
      </c>
      <c r="AR112" s="742">
        <v>6.6741183641847298E-110</v>
      </c>
      <c r="AS112" s="742">
        <v>5.0468308728999499E-18</v>
      </c>
      <c r="AT112" s="742">
        <v>-1.72512224267854E-241</v>
      </c>
      <c r="AU112" s="742">
        <v>3.6631350687720997E-111</v>
      </c>
      <c r="AV112" s="742">
        <v>6.3669562149707904E-110</v>
      </c>
      <c r="AW112" s="742">
        <v>1.7818665160491599E-16</v>
      </c>
      <c r="AX112" s="742">
        <v>-1.7305559479912199E-239</v>
      </c>
      <c r="AY112" s="742">
        <v>-8.3390286376533196E-115</v>
      </c>
      <c r="AZ112" s="742">
        <v>6.67411830187732E-110</v>
      </c>
      <c r="BA112" s="742">
        <v>0.26881215971344502</v>
      </c>
      <c r="BB112" s="742">
        <v>-5.1853531067362902E-239</v>
      </c>
      <c r="BC112" s="742">
        <v>-1.6341699839676201E-121</v>
      </c>
      <c r="BD112" s="742">
        <v>-4.3881077238645603E-239</v>
      </c>
      <c r="BE112" s="742">
        <v>-8.2605835086564493E-239</v>
      </c>
      <c r="BF112" s="742">
        <v>-1.6648976875731201E-121</v>
      </c>
      <c r="BG112" s="742">
        <v>-6.9905267922913999E-239</v>
      </c>
      <c r="BH112" s="742">
        <v>1.0657482266258799E-15</v>
      </c>
      <c r="BI112" s="742">
        <v>-5.7749130028323496E-239</v>
      </c>
      <c r="BJ112" s="742">
        <v>-9.24618342734973E-121</v>
      </c>
      <c r="BK112" s="742">
        <v>-2.7546043073392199E-130</v>
      </c>
      <c r="BL112" s="742">
        <v>2.3026070512747198E-15</v>
      </c>
      <c r="BM112" s="742">
        <v>-5.77488003937995E-239</v>
      </c>
      <c r="BN112" s="742">
        <v>8.9030356259024007E-111</v>
      </c>
      <c r="BO112" s="742">
        <v>8.3358475804736303E-112</v>
      </c>
      <c r="BP112" s="742">
        <v>0.26898240849059402</v>
      </c>
      <c r="BQ112" s="742">
        <v>-5.7976500456941501E-239</v>
      </c>
      <c r="BR112" s="742">
        <v>1.49958763319401E-48</v>
      </c>
      <c r="BS112" s="742">
        <v>-1.03957135565704E-44</v>
      </c>
      <c r="BT112" s="742">
        <v>1.0545304299679E-15</v>
      </c>
      <c r="BU112" s="742">
        <v>-5.8422812349500501E-239</v>
      </c>
      <c r="BV112" s="742">
        <v>4.5501856965874696E-109</v>
      </c>
      <c r="BW112" s="742">
        <v>1.9541707460621201E-109</v>
      </c>
      <c r="BX112" s="742">
        <v>2.2931009316578799E-15</v>
      </c>
      <c r="BY112" s="742">
        <v>-5.8422489083996901E-239</v>
      </c>
      <c r="BZ112" s="742">
        <v>3.5530626527599698E-108</v>
      </c>
      <c r="CA112" s="742">
        <v>1.4606522685311999E-109</v>
      </c>
      <c r="CB112" s="742">
        <v>0.26898237255702001</v>
      </c>
      <c r="CC112" s="742">
        <v>-5.7986677082658504E-239</v>
      </c>
      <c r="CD112" s="742">
        <v>2.5122013330926199E-47</v>
      </c>
      <c r="CE112" s="742">
        <v>-1.1593506904083801E-44</v>
      </c>
      <c r="CF112" s="742">
        <v>2.7105953738543901E-15</v>
      </c>
      <c r="CG112" s="742">
        <v>-6.5095813478275403E-239</v>
      </c>
      <c r="CH112" s="742">
        <v>-1.8789341369256499E-114</v>
      </c>
      <c r="CI112" s="742">
        <v>6.8367844134999196E-110</v>
      </c>
      <c r="CJ112" s="742">
        <v>2.5271761651178701E-15</v>
      </c>
      <c r="CK112" s="742">
        <v>-6.50958150518174E-239</v>
      </c>
      <c r="CL112" s="742">
        <v>1.0125284753232401E-110</v>
      </c>
      <c r="CM112" s="742">
        <v>6.8320430466826305E-110</v>
      </c>
      <c r="CN112" s="742">
        <v>2.7105953738543901E-15</v>
      </c>
      <c r="CO112" s="742">
        <v>-6.5095811154354196E-239</v>
      </c>
      <c r="CP112" s="742">
        <v>-1.87893415398822E-114</v>
      </c>
      <c r="CQ112" s="742">
        <v>6.8367843208129303E-110</v>
      </c>
      <c r="CR112" s="742">
        <v>0.26901919043318001</v>
      </c>
      <c r="CS112" s="742">
        <v>-1.93370742916176E-238</v>
      </c>
      <c r="CT112" s="742">
        <v>-1.4776007313619E-120</v>
      </c>
      <c r="CU112" s="742">
        <v>-1.5150561535012299E-238</v>
      </c>
      <c r="CV112" s="742">
        <v>-3.0805145052398897E-238</v>
      </c>
      <c r="CW112" s="742">
        <v>-1.5053844138984699E-120</v>
      </c>
      <c r="CX112" s="742">
        <v>-2.4131495649485498E-238</v>
      </c>
      <c r="CY112" s="742">
        <v>0.26901909721946299</v>
      </c>
      <c r="CZ112" s="742">
        <v>-2.4876649094560198E-238</v>
      </c>
      <c r="DA112" s="742">
        <v>3.1640638207667798E-46</v>
      </c>
      <c r="DB112" s="742">
        <v>-5.2915743505176003E-41</v>
      </c>
      <c r="DC112" s="742">
        <v>0.269019427527107</v>
      </c>
      <c r="DD112" s="742">
        <v>-2.4880579684101401E-238</v>
      </c>
      <c r="DE112" s="742">
        <v>3.1097596578547198E-43</v>
      </c>
      <c r="DF112" s="742">
        <v>-5.1379297215800299E-38</v>
      </c>
      <c r="DG112" s="742">
        <v>0.26901947298098799</v>
      </c>
      <c r="DH112" s="742">
        <v>-2.48849404038984E-238</v>
      </c>
      <c r="DI112" s="742">
        <v>7.9178360714910199E-43</v>
      </c>
      <c r="DJ112" s="742">
        <v>-1.30817539762442E-37</v>
      </c>
      <c r="DK112" s="742">
        <v>1.11579917659622E-13</v>
      </c>
      <c r="DL112" s="742">
        <v>-2.6051416206372299E-238</v>
      </c>
      <c r="DM112" s="742">
        <v>-5.6143333138516697E-114</v>
      </c>
      <c r="DN112" s="742">
        <v>7.0282975806278302E-110</v>
      </c>
      <c r="DO112" s="742">
        <v>0.26901919065883301</v>
      </c>
      <c r="DP112" s="742">
        <v>-9.4887640980791205E-238</v>
      </c>
      <c r="DQ112" s="742">
        <v>-6.54013821594775E-120</v>
      </c>
      <c r="DR112" s="742">
        <v>-1.6564829706104601E-236</v>
      </c>
      <c r="DS112" s="742">
        <v>-1.2307329262441601E-236</v>
      </c>
      <c r="DT112" s="742">
        <v>-6.8965329148733404E-120</v>
      </c>
      <c r="DU112" s="742">
        <v>1.48248781794101E-235</v>
      </c>
      <c r="DV112" s="742">
        <v>0.26901984593984701</v>
      </c>
      <c r="DW112" s="742">
        <v>-5.1542222051679796E-237</v>
      </c>
      <c r="DX112" s="742">
        <v>8.1520226366622796E-43</v>
      </c>
      <c r="DY112" s="742">
        <v>-1.08972736045643E-36</v>
      </c>
      <c r="DZ112" s="742">
        <v>0.26902003119451101</v>
      </c>
      <c r="EA112" s="742">
        <v>-5.1550154554310302E-237</v>
      </c>
      <c r="EB112" s="742">
        <v>6.1697572205222003E-40</v>
      </c>
      <c r="EC112" s="742">
        <v>-8.1575849774985704E-34</v>
      </c>
      <c r="ED112" s="742">
        <v>0.26902007669085498</v>
      </c>
      <c r="EE112" s="742">
        <v>-5.1558940542828601E-237</v>
      </c>
      <c r="EF112" s="742">
        <v>2.6269828621188398E-33</v>
      </c>
      <c r="EG112" s="742">
        <v>-4.3419064632611504E-28</v>
      </c>
      <c r="EH112" s="742">
        <v>3.2300008899394401E-14</v>
      </c>
      <c r="EI112" s="742">
        <v>-7.1042635092283695E-237</v>
      </c>
      <c r="EJ112" s="742">
        <v>2.2476436113394198E-109</v>
      </c>
      <c r="EK112" s="742">
        <v>7.34457813745231E-110</v>
      </c>
      <c r="EL112" s="742">
        <v>0.26902026783599797</v>
      </c>
      <c r="EM112" s="742">
        <v>-6.7253120613820806E-238</v>
      </c>
      <c r="EN112" s="742">
        <v>-3.8772364132780901E-120</v>
      </c>
      <c r="EO112" s="742">
        <v>-4.52050854545023E-238</v>
      </c>
      <c r="EP112" s="742">
        <v>-8.4114466095965096E-238</v>
      </c>
      <c r="EQ112" s="742">
        <v>-3.9161549289971101E-120</v>
      </c>
      <c r="ER112" s="742">
        <v>-5.6537627206283598E-238</v>
      </c>
      <c r="ES112" s="742">
        <v>0.26902315360238099</v>
      </c>
      <c r="ET112" s="742">
        <v>-7.6580241814727497E-238</v>
      </c>
      <c r="EU112" s="742">
        <v>7.2039827284702194E-49</v>
      </c>
      <c r="EV112" s="742">
        <v>-5.1782722809995403E-42</v>
      </c>
      <c r="EW112" s="742">
        <v>0.26902316639544199</v>
      </c>
      <c r="EX112" s="742">
        <v>-7.6591698347407699E-238</v>
      </c>
      <c r="EY112" s="742">
        <v>9.0875572926646704E-46</v>
      </c>
      <c r="EZ112" s="742">
        <v>-5.6905147719164003E-39</v>
      </c>
      <c r="FA112" s="742">
        <v>0.26902321190238299</v>
      </c>
      <c r="FB112" s="742">
        <v>-7.6604612827724394E-238</v>
      </c>
      <c r="FC112" s="742">
        <v>1.7911914215925601E-45</v>
      </c>
      <c r="FD112" s="742">
        <v>-1.33582632338031E-38</v>
      </c>
      <c r="FE112" s="742">
        <v>7.2512653303330097E-12</v>
      </c>
      <c r="FF112" s="742">
        <v>-7.7501387533456201E-238</v>
      </c>
      <c r="FG112" s="742">
        <v>-2.01641547968789E-114</v>
      </c>
      <c r="FH112" s="742">
        <v>7.1869354120462001E-110</v>
      </c>
    </row>
    <row r="113" spans="1:164" ht="12.75" customHeight="1" x14ac:dyDescent="0.2">
      <c r="A113" s="489"/>
      <c r="B113" s="513"/>
      <c r="C113" s="513"/>
      <c r="D113" s="513"/>
      <c r="E113" s="513"/>
      <c r="F113" s="744"/>
      <c r="G113" s="745"/>
      <c r="H113" s="506"/>
      <c r="I113" s="750">
        <v>7705819.4094330398</v>
      </c>
      <c r="J113" s="742">
        <v>0.25447363749887097</v>
      </c>
      <c r="K113" s="742">
        <v>1.5380113458152901E-240</v>
      </c>
      <c r="L113" s="742">
        <v>3.7148110933383599E-123</v>
      </c>
      <c r="M113" s="742">
        <v>2.2858805573224401E-240</v>
      </c>
      <c r="N113" s="742">
        <v>2.45014669104993E-240</v>
      </c>
      <c r="O113" s="742">
        <v>3.7846615255400197E-123</v>
      </c>
      <c r="P113" s="742">
        <v>3.6415474892939098E-240</v>
      </c>
      <c r="Q113" s="742">
        <v>6.9743342946762896E-17</v>
      </c>
      <c r="R113" s="742">
        <v>1.7475495209654601E-240</v>
      </c>
      <c r="S113" s="742">
        <v>1.36484295604774E-122</v>
      </c>
      <c r="T113" s="742">
        <v>-1.8664742788288101E-130</v>
      </c>
      <c r="U113" s="742">
        <v>3.9773958170102998E-18</v>
      </c>
      <c r="V113" s="742">
        <v>1.8155858151109199E-243</v>
      </c>
      <c r="W113" s="742">
        <v>-5.8107588441068704E-113</v>
      </c>
      <c r="X113" s="742">
        <v>-1.2472799694762E-113</v>
      </c>
      <c r="Y113" s="742">
        <v>0.21812355740436201</v>
      </c>
      <c r="Z113" s="742">
        <v>1.3059180756198299E-240</v>
      </c>
      <c r="AA113" s="742">
        <v>-1.1882688462393099E-53</v>
      </c>
      <c r="AB113" s="742">
        <v>3.63961136868151E-50</v>
      </c>
      <c r="AC113" s="742">
        <v>3.2927477506308399E-19</v>
      </c>
      <c r="AD113" s="742">
        <v>1.9497713208636501E-240</v>
      </c>
      <c r="AE113" s="742">
        <v>-2.6140261448616501E-110</v>
      </c>
      <c r="AF113" s="742">
        <v>-2.0759996084050599E-110</v>
      </c>
      <c r="AG113" s="742">
        <v>3.8055527154321602E-18</v>
      </c>
      <c r="AH113" s="742">
        <v>2.0256815443081499E-243</v>
      </c>
      <c r="AI113" s="742">
        <v>-3.5295346885459298E-110</v>
      </c>
      <c r="AJ113" s="742">
        <v>-1.3735822207859699E-110</v>
      </c>
      <c r="AK113" s="742">
        <v>0.217356144630037</v>
      </c>
      <c r="AL113" s="742">
        <v>1.31428088159334E-240</v>
      </c>
      <c r="AM113" s="742">
        <v>-2.3219142346573198E-53</v>
      </c>
      <c r="AN113" s="742">
        <v>7.1152826129296397E-50</v>
      </c>
      <c r="AO113" s="742">
        <v>1.7462467675577199E-16</v>
      </c>
      <c r="AP113" s="742">
        <v>1.9307867703559201E-240</v>
      </c>
      <c r="AQ113" s="742">
        <v>9.2976997213066305E-116</v>
      </c>
      <c r="AR113" s="742">
        <v>-7.4406555878227197E-111</v>
      </c>
      <c r="AS113" s="742">
        <v>4.94594405295446E-18</v>
      </c>
      <c r="AT113" s="742">
        <v>1.9247246770277001E-242</v>
      </c>
      <c r="AU113" s="742">
        <v>-4.0840504111228198E-112</v>
      </c>
      <c r="AV113" s="742">
        <v>-7.0982150084847604E-111</v>
      </c>
      <c r="AW113" s="742">
        <v>1.7462467675577199E-16</v>
      </c>
      <c r="AX113" s="742">
        <v>1.9307880265644499E-240</v>
      </c>
      <c r="AY113" s="742">
        <v>9.2976999920837802E-116</v>
      </c>
      <c r="AZ113" s="742">
        <v>-7.4406554916314906E-111</v>
      </c>
      <c r="BA113" s="742">
        <v>0.26343856891178202</v>
      </c>
      <c r="BB113" s="742">
        <v>5.7853195827178195E-240</v>
      </c>
      <c r="BC113" s="742">
        <v>1.8222442741323801E-122</v>
      </c>
      <c r="BD113" s="742">
        <v>4.8958266529426503E-240</v>
      </c>
      <c r="BE113" s="742">
        <v>9.2163667007730396E-240</v>
      </c>
      <c r="BF113" s="742">
        <v>1.8565083770895499E-122</v>
      </c>
      <c r="BG113" s="742">
        <v>7.7993570513297001E-240</v>
      </c>
      <c r="BH113" s="742">
        <v>1.0444437779224001E-15</v>
      </c>
      <c r="BI113" s="742">
        <v>6.4430932400734196E-240</v>
      </c>
      <c r="BJ113" s="742">
        <v>1.0310313715990001E-121</v>
      </c>
      <c r="BK113" s="742">
        <v>3.07194088256444E-131</v>
      </c>
      <c r="BL113" s="742">
        <v>2.2565776302702402E-15</v>
      </c>
      <c r="BM113" s="742">
        <v>6.4430583510146604E-240</v>
      </c>
      <c r="BN113" s="742">
        <v>-9.9259735855199394E-112</v>
      </c>
      <c r="BO113" s="742">
        <v>-9.2933666741770801E-113</v>
      </c>
      <c r="BP113" s="742">
        <v>0.26360541439324697</v>
      </c>
      <c r="BQ113" s="742">
        <v>6.4684588343014796E-240</v>
      </c>
      <c r="BR113" s="742">
        <v>-1.67133065494426E-49</v>
      </c>
      <c r="BS113" s="742">
        <v>1.15863062136503E-45</v>
      </c>
      <c r="BT113" s="742">
        <v>1.0334502265106199E-15</v>
      </c>
      <c r="BU113" s="742">
        <v>6.5182567908645403E-240</v>
      </c>
      <c r="BV113" s="742">
        <v>-5.0727959647786999E-110</v>
      </c>
      <c r="BW113" s="742">
        <v>-2.1786164689318201E-110</v>
      </c>
      <c r="BX113" s="742">
        <v>2.2472615392480301E-15</v>
      </c>
      <c r="BY113" s="742">
        <v>6.5182192304830605E-240</v>
      </c>
      <c r="BZ113" s="742">
        <v>-3.9612204323924901E-109</v>
      </c>
      <c r="CA113" s="742">
        <v>-1.6284404289925499E-110</v>
      </c>
      <c r="CB113" s="742">
        <v>0.26360537917798899</v>
      </c>
      <c r="CC113" s="742">
        <v>6.4695961225757501E-240</v>
      </c>
      <c r="CD113" s="742">
        <v>-2.8005731122838003E-48</v>
      </c>
      <c r="CE113" s="742">
        <v>1.2912584124634101E-45</v>
      </c>
      <c r="CF113" s="742">
        <v>2.6564102120540302E-15</v>
      </c>
      <c r="CG113" s="742">
        <v>7.2627671426801695E-240</v>
      </c>
      <c r="CH113" s="742">
        <v>2.0949401074443999E-115</v>
      </c>
      <c r="CI113" s="742">
        <v>-7.6220041080070107E-111</v>
      </c>
      <c r="CJ113" s="742">
        <v>2.4766575776791999E-15</v>
      </c>
      <c r="CK113" s="742">
        <v>7.2627651902817104E-240</v>
      </c>
      <c r="CL113" s="742">
        <v>-1.1288738503833101E-111</v>
      </c>
      <c r="CM113" s="742">
        <v>-7.6167181206397905E-111</v>
      </c>
      <c r="CN113" s="742">
        <v>2.6564102120540302E-15</v>
      </c>
      <c r="CO113" s="742">
        <v>7.2627667784026703E-240</v>
      </c>
      <c r="CP113" s="742">
        <v>2.0949401465103298E-115</v>
      </c>
      <c r="CQ113" s="742">
        <v>-7.6220039287840407E-111</v>
      </c>
      <c r="CR113" s="742">
        <v>0.26364146105991199</v>
      </c>
      <c r="CS113" s="742">
        <v>2.1574438900365398E-239</v>
      </c>
      <c r="CT113" s="742">
        <v>1.64765566248916E-121</v>
      </c>
      <c r="CU113" s="742">
        <v>1.69035228082255E-239</v>
      </c>
      <c r="CV113" s="742">
        <v>3.4369410503138398E-239</v>
      </c>
      <c r="CW113" s="742">
        <v>1.6786369023347401E-121</v>
      </c>
      <c r="CX113" s="742">
        <v>2.6923577647275501E-239</v>
      </c>
      <c r="CY113" s="742">
        <v>0.26364136970954999</v>
      </c>
      <c r="CZ113" s="742">
        <v>2.77549655684178E-239</v>
      </c>
      <c r="DA113" s="742">
        <v>-3.5267872627662098E-47</v>
      </c>
      <c r="DB113" s="742">
        <v>5.8981937806324794E-42</v>
      </c>
      <c r="DC113" s="742">
        <v>0.26364169341429999</v>
      </c>
      <c r="DD113" s="742">
        <v>2.7759349364147601E-239</v>
      </c>
      <c r="DE113" s="742">
        <v>-3.4665060514949002E-44</v>
      </c>
      <c r="DF113" s="742">
        <v>5.7273444558362899E-39</v>
      </c>
      <c r="DG113" s="742">
        <v>0.26364173795955098</v>
      </c>
      <c r="DH113" s="742">
        <v>2.77642093092537E-239</v>
      </c>
      <c r="DI113" s="742">
        <v>-8.8241206849347699E-44</v>
      </c>
      <c r="DJ113" s="742">
        <v>1.45791066075248E-38</v>
      </c>
      <c r="DK113" s="742">
        <v>1.09349420275035E-13</v>
      </c>
      <c r="DL113" s="742">
        <v>2.9065650181119299E-239</v>
      </c>
      <c r="DM113" s="742">
        <v>6.2597681633435903E-115</v>
      </c>
      <c r="DN113" s="742">
        <v>-7.8355129206489598E-111</v>
      </c>
      <c r="DO113" s="742">
        <v>0.26364146128105398</v>
      </c>
      <c r="DP113" s="742">
        <v>1.05866450587822E-238</v>
      </c>
      <c r="DQ113" s="742">
        <v>7.2928332735806303E-121</v>
      </c>
      <c r="DR113" s="742">
        <v>1.84814244538581E-237</v>
      </c>
      <c r="DS113" s="742">
        <v>1.3731277494523E-237</v>
      </c>
      <c r="DT113" s="742">
        <v>7.69024494938926E-121</v>
      </c>
      <c r="DU113" s="742">
        <v>-1.6540190854523599E-236</v>
      </c>
      <c r="DV113" s="742">
        <v>0.263642103462912</v>
      </c>
      <c r="DW113" s="742">
        <v>5.75056399713221E-238</v>
      </c>
      <c r="DX113" s="742">
        <v>-9.0873944058898094E-44</v>
      </c>
      <c r="DY113" s="742">
        <v>1.2147641518395201E-37</v>
      </c>
      <c r="DZ113" s="742">
        <v>0.26364228501431197</v>
      </c>
      <c r="EA113" s="742">
        <v>5.751450124278E-238</v>
      </c>
      <c r="EB113" s="742">
        <v>-6.8780820703562802E-41</v>
      </c>
      <c r="EC113" s="742">
        <v>9.0941244531555002E-35</v>
      </c>
      <c r="ED113" s="742">
        <v>0.26364232960117701</v>
      </c>
      <c r="EE113" s="742">
        <v>5.7524293321440599E-238</v>
      </c>
      <c r="EF113" s="742">
        <v>-2.9287196915146502E-34</v>
      </c>
      <c r="EG113" s="742">
        <v>4.8406204193869302E-29</v>
      </c>
      <c r="EH113" s="742">
        <v>3.1654327428361001E-14</v>
      </c>
      <c r="EI113" s="742">
        <v>7.9262235648050999E-238</v>
      </c>
      <c r="EJ113" s="742">
        <v>-2.5058862387379199E-110</v>
      </c>
      <c r="EK113" s="742">
        <v>-8.18811902354509E-111</v>
      </c>
      <c r="EL113" s="742">
        <v>0.26364251692530399</v>
      </c>
      <c r="EM113" s="742">
        <v>7.5034490270390003E-239</v>
      </c>
      <c r="EN113" s="742">
        <v>4.3234620278868001E-121</v>
      </c>
      <c r="EO113" s="742">
        <v>5.0435440390551403E-239</v>
      </c>
      <c r="EP113" s="742">
        <v>9.3846723347121705E-239</v>
      </c>
      <c r="EQ113" s="742">
        <v>4.3668596245783799E-121</v>
      </c>
      <c r="ER113" s="742">
        <v>6.3079174279002096E-239</v>
      </c>
      <c r="ES113" s="742">
        <v>0.263645345004834</v>
      </c>
      <c r="ET113" s="742">
        <v>8.5440795921220298E-239</v>
      </c>
      <c r="EU113" s="742">
        <v>-8.0286725261648698E-50</v>
      </c>
      <c r="EV113" s="742">
        <v>5.7714082902693997E-43</v>
      </c>
      <c r="EW113" s="742">
        <v>0.26364535754216001</v>
      </c>
      <c r="EX113" s="742">
        <v>8.5453525064772492E-239</v>
      </c>
      <c r="EY113" s="742">
        <v>-1.0128939400249899E-46</v>
      </c>
      <c r="EZ113" s="742">
        <v>6.3427829529670001E-40</v>
      </c>
      <c r="FA113" s="742">
        <v>0.26364540213941101</v>
      </c>
      <c r="FB113" s="742">
        <v>8.5467953893413107E-239</v>
      </c>
      <c r="FC113" s="742">
        <v>-1.9958917394671998E-46</v>
      </c>
      <c r="FD113" s="742">
        <v>1.4886275367613001E-39</v>
      </c>
      <c r="FE113" s="742">
        <v>7.1063115725824697E-12</v>
      </c>
      <c r="FF113" s="742">
        <v>8.6468509029995994E-239</v>
      </c>
      <c r="FG113" s="742">
        <v>2.2483767194973E-115</v>
      </c>
      <c r="FH113" s="742">
        <v>-8.0123707133525907E-111</v>
      </c>
    </row>
    <row r="114" spans="1:164" ht="12.75" customHeight="1" x14ac:dyDescent="0.2">
      <c r="A114" s="489"/>
      <c r="B114" s="513"/>
      <c r="C114" s="969"/>
      <c r="D114" s="513"/>
      <c r="E114" s="513"/>
      <c r="F114" s="744"/>
      <c r="G114" s="745"/>
      <c r="H114" s="506"/>
      <c r="I114" s="750">
        <v>7789578.3160573198</v>
      </c>
      <c r="J114" s="742">
        <v>0.24938667566171599</v>
      </c>
      <c r="K114" s="742">
        <v>-1.0971334419986E-241</v>
      </c>
      <c r="L114" s="742">
        <v>-2.6442457721159102E-124</v>
      </c>
      <c r="M114" s="742">
        <v>-1.63062310486517E-241</v>
      </c>
      <c r="N114" s="742">
        <v>-1.7478003692722901E-241</v>
      </c>
      <c r="O114" s="742">
        <v>-2.6939661076140998E-124</v>
      </c>
      <c r="P114" s="742">
        <v>-2.5976810196028801E-241</v>
      </c>
      <c r="Q114" s="742">
        <v>6.8349164251268998E-17</v>
      </c>
      <c r="R114" s="742">
        <v>-1.24660694263477E-241</v>
      </c>
      <c r="S114" s="742">
        <v>-9.7151106186356903E-124</v>
      </c>
      <c r="T114" s="742">
        <v>1.3291396771425699E-131</v>
      </c>
      <c r="U114" s="742">
        <v>3.8978871459697504E-18</v>
      </c>
      <c r="V114" s="742">
        <v>-1.2951403825027E-244</v>
      </c>
      <c r="W114" s="742">
        <v>4.1335132927975698E-114</v>
      </c>
      <c r="X114" s="742">
        <v>8.8709214047430404E-115</v>
      </c>
      <c r="Y114" s="742">
        <v>0.21376323849979501</v>
      </c>
      <c r="Z114" s="742">
        <v>-9.3157096718498203E-242</v>
      </c>
      <c r="AA114" s="742">
        <v>8.4400151009990899E-55</v>
      </c>
      <c r="AB114" s="742">
        <v>-2.5851485485056899E-51</v>
      </c>
      <c r="AC114" s="742">
        <v>3.2269252854377199E-19</v>
      </c>
      <c r="AD114" s="742">
        <v>-1.3908598255724199E-241</v>
      </c>
      <c r="AE114" s="742">
        <v>1.8591677274593601E-111</v>
      </c>
      <c r="AF114" s="742">
        <v>1.47650839183419E-111</v>
      </c>
      <c r="AG114" s="742">
        <v>3.7294792108328101E-18</v>
      </c>
      <c r="AH114" s="742">
        <v>-1.4450091286467E-244</v>
      </c>
      <c r="AI114" s="742">
        <v>2.5102907483644801E-111</v>
      </c>
      <c r="AJ114" s="742">
        <v>9.76927864755278E-112</v>
      </c>
      <c r="AK114" s="742">
        <v>0.213011166408829</v>
      </c>
      <c r="AL114" s="742">
        <v>-9.3753691884213301E-242</v>
      </c>
      <c r="AM114" s="742">
        <v>1.64765667837591E-54</v>
      </c>
      <c r="AN114" s="742">
        <v>-5.0491059872125898E-51</v>
      </c>
      <c r="AO114" s="742">
        <v>1.71133906257055E-16</v>
      </c>
      <c r="AP114" s="742">
        <v>-1.377318458185E-241</v>
      </c>
      <c r="AQ114" s="742">
        <v>-6.6152721448308802E-117</v>
      </c>
      <c r="AR114" s="742">
        <v>5.2919532463523998E-112</v>
      </c>
      <c r="AS114" s="742">
        <v>4.8470739739420798E-18</v>
      </c>
      <c r="AT114" s="742">
        <v>-1.37299233807025E-243</v>
      </c>
      <c r="AU114" s="742">
        <v>2.9052103665650102E-113</v>
      </c>
      <c r="AV114" s="742">
        <v>5.0484018370174E-112</v>
      </c>
      <c r="AW114" s="742">
        <v>1.71133906257055E-16</v>
      </c>
      <c r="AX114" s="742">
        <v>-1.37731900082988E-241</v>
      </c>
      <c r="AY114" s="742">
        <v>-6.6152723972330404E-117</v>
      </c>
      <c r="AZ114" s="742">
        <v>5.2919532499748399E-112</v>
      </c>
      <c r="BA114" s="742">
        <v>0.25817239690410199</v>
      </c>
      <c r="BB114" s="742">
        <v>-4.1269311227010503E-241</v>
      </c>
      <c r="BC114" s="742">
        <v>-1.29709467374712E-123</v>
      </c>
      <c r="BD114" s="742">
        <v>-3.4924151906183403E-241</v>
      </c>
      <c r="BE114" s="742">
        <v>-6.5744575930927094E-241</v>
      </c>
      <c r="BF114" s="742">
        <v>-1.3214842847550999E-123</v>
      </c>
      <c r="BG114" s="742">
        <v>-5.5636374018822599E-241</v>
      </c>
      <c r="BH114" s="742">
        <v>1.02356520797871E-15</v>
      </c>
      <c r="BI114" s="742">
        <v>-4.5961528829925601E-241</v>
      </c>
      <c r="BJ114" s="742">
        <v>-7.33900139501152E-123</v>
      </c>
      <c r="BK114" s="742">
        <v>-2.18751492569761E-132</v>
      </c>
      <c r="BL114" s="742">
        <v>2.2114683435064401E-15</v>
      </c>
      <c r="BM114" s="742">
        <v>-4.5961313781790902E-241</v>
      </c>
      <c r="BN114" s="742">
        <v>7.0606918074016998E-113</v>
      </c>
      <c r="BO114" s="742">
        <v>6.6099991732449995E-114</v>
      </c>
      <c r="BP114" s="742">
        <v>0.25833590712221699</v>
      </c>
      <c r="BQ114" s="742">
        <v>-4.61424197313664E-241</v>
      </c>
      <c r="BR114" s="742">
        <v>1.1873275147853301E-50</v>
      </c>
      <c r="BS114" s="742">
        <v>-8.2310233404455696E-47</v>
      </c>
      <c r="BT114" s="742">
        <v>1.0127914191208699E-15</v>
      </c>
      <c r="BU114" s="742">
        <v>-4.64976986162707E-241</v>
      </c>
      <c r="BV114" s="742">
        <v>3.60791272634803E-111</v>
      </c>
      <c r="BW114" s="742">
        <v>1.5494922543502E-111</v>
      </c>
      <c r="BX114" s="742">
        <v>2.2023384823820299E-15</v>
      </c>
      <c r="BY114" s="742">
        <v>-4.6497448627049497E-241</v>
      </c>
      <c r="BZ114" s="742">
        <v>2.8175293962522798E-110</v>
      </c>
      <c r="CA114" s="742">
        <v>1.1582624366478599E-111</v>
      </c>
      <c r="CB114" s="742">
        <v>0.25833587261091701</v>
      </c>
      <c r="CC114" s="742">
        <v>-4.6150567442869597E-241</v>
      </c>
      <c r="CD114" s="742">
        <v>1.9913817250934799E-49</v>
      </c>
      <c r="CE114" s="742">
        <v>-9.1490055299045608E-47</v>
      </c>
      <c r="CF114" s="742">
        <v>2.6033082188363399E-15</v>
      </c>
      <c r="CG114" s="742">
        <v>-5.1808640210720301E-241</v>
      </c>
      <c r="CH114" s="742">
        <v>-1.49054059596751E-116</v>
      </c>
      <c r="CI114" s="742">
        <v>5.4209322563916297E-112</v>
      </c>
      <c r="CJ114" s="742">
        <v>2.4271488635146098E-15</v>
      </c>
      <c r="CK114" s="742">
        <v>-5.1808628499640199E-241</v>
      </c>
      <c r="CL114" s="742">
        <v>8.0303026522772102E-113</v>
      </c>
      <c r="CM114" s="742">
        <v>5.4171724274332603E-112</v>
      </c>
      <c r="CN114" s="742">
        <v>2.6033082188363399E-15</v>
      </c>
      <c r="CO114" s="742">
        <v>-5.1808647891578701E-241</v>
      </c>
      <c r="CP114" s="742">
        <v>-1.4905405989607699E-116</v>
      </c>
      <c r="CQ114" s="742">
        <v>5.4209320286745195E-112</v>
      </c>
      <c r="CR114" s="742">
        <v>0.25837123321122402</v>
      </c>
      <c r="CS114" s="742">
        <v>-1.5390026411635499E-240</v>
      </c>
      <c r="CT114" s="742">
        <v>-1.17282043626511E-122</v>
      </c>
      <c r="CU114" s="742">
        <v>-1.2058039054100701E-240</v>
      </c>
      <c r="CV114" s="742">
        <v>-2.4517266731034001E-240</v>
      </c>
      <c r="CW114" s="742">
        <v>-1.19487320903524E-122</v>
      </c>
      <c r="CX114" s="742">
        <v>-1.9205791981569901E-240</v>
      </c>
      <c r="CY114" s="742">
        <v>0.25837114368696801</v>
      </c>
      <c r="CZ114" s="742">
        <v>-1.9798882925280699E-240</v>
      </c>
      <c r="DA114" s="742">
        <v>2.50644355171156E-48</v>
      </c>
      <c r="DB114" s="742">
        <v>-4.1917764708929599E-43</v>
      </c>
      <c r="DC114" s="742">
        <v>0.25837146092081698</v>
      </c>
      <c r="DD114" s="742">
        <v>-1.9802003831169701E-240</v>
      </c>
      <c r="DE114" s="742">
        <v>2.4642940352594999E-45</v>
      </c>
      <c r="DF114" s="742">
        <v>-4.0714947496011901E-40</v>
      </c>
      <c r="DG114" s="742">
        <v>0.25837150457560298</v>
      </c>
      <c r="DH114" s="742">
        <v>-1.9805469090909101E-240</v>
      </c>
      <c r="DI114" s="742">
        <v>6.2672821930852406E-45</v>
      </c>
      <c r="DJ114" s="742">
        <v>-1.03547285246415E-39</v>
      </c>
      <c r="DK114" s="742">
        <v>1.07163510829478E-13</v>
      </c>
      <c r="DL114" s="742">
        <v>-2.0733855805629201E-240</v>
      </c>
      <c r="DM114" s="742">
        <v>-4.45379737807133E-116</v>
      </c>
      <c r="DN114" s="742">
        <v>5.5727841244600803E-112</v>
      </c>
      <c r="DO114" s="742">
        <v>0.25837123342794499</v>
      </c>
      <c r="DP114" s="742">
        <v>-7.5519335618091705E-240</v>
      </c>
      <c r="DQ114" s="742">
        <v>-5.1911234710817299E-122</v>
      </c>
      <c r="DR114" s="742">
        <v>-1.31836208963154E-238</v>
      </c>
      <c r="DS114" s="742">
        <v>-9.7950070020373794E-239</v>
      </c>
      <c r="DT114" s="742">
        <v>-5.4740058063743004E-122</v>
      </c>
      <c r="DU114" s="742">
        <v>1.179894978644E-237</v>
      </c>
      <c r="DV114" s="742">
        <v>0.25837186277250401</v>
      </c>
      <c r="DW114" s="742">
        <v>-4.1020881057009102E-239</v>
      </c>
      <c r="DX114" s="742">
        <v>6.4606270080048104E-45</v>
      </c>
      <c r="DY114" s="742">
        <v>-8.63629902754584E-39</v>
      </c>
      <c r="DZ114" s="742">
        <v>0.25837204069466702</v>
      </c>
      <c r="EA114" s="742">
        <v>-4.1027177371172002E-239</v>
      </c>
      <c r="EB114" s="742">
        <v>4.8910447326247299E-42</v>
      </c>
      <c r="EC114" s="742">
        <v>-6.4668859197723203E-36</v>
      </c>
      <c r="ED114" s="742">
        <v>0.25837208439023501</v>
      </c>
      <c r="EE114" s="742">
        <v>-4.1034176584666103E-239</v>
      </c>
      <c r="EF114" s="742">
        <v>2.08302952069447E-35</v>
      </c>
      <c r="EG114" s="742">
        <v>-3.4428544982902798E-30</v>
      </c>
      <c r="EH114" s="742">
        <v>3.1021553215709699E-14</v>
      </c>
      <c r="EI114" s="742">
        <v>-5.6540579917797396E-239</v>
      </c>
      <c r="EJ114" s="742">
        <v>1.78250663240952E-111</v>
      </c>
      <c r="EK114" s="742">
        <v>5.8235651793900104E-112</v>
      </c>
      <c r="EL114" s="742">
        <v>0.25837226796972601</v>
      </c>
      <c r="EM114" s="742">
        <v>-5.3525434695888204E-240</v>
      </c>
      <c r="EN114" s="742">
        <v>-3.0774906314128602E-122</v>
      </c>
      <c r="EO114" s="742">
        <v>-3.5977845889580498E-240</v>
      </c>
      <c r="EP114" s="742">
        <v>-6.6945029273878204E-240</v>
      </c>
      <c r="EQ114" s="742">
        <v>-3.10838143185092E-122</v>
      </c>
      <c r="ER114" s="742">
        <v>-4.4997170763809597E-240</v>
      </c>
      <c r="ES114" s="742">
        <v>0.258375039515571</v>
      </c>
      <c r="ET114" s="742">
        <v>-6.0948745807780496E-240</v>
      </c>
      <c r="EU114" s="742">
        <v>5.70263608568952E-51</v>
      </c>
      <c r="EV114" s="742">
        <v>-4.1002940717620198E-44</v>
      </c>
      <c r="EW114" s="742">
        <v>0.25837505180227399</v>
      </c>
      <c r="EX114" s="742">
        <v>-6.0957782336061404E-240</v>
      </c>
      <c r="EY114" s="742">
        <v>7.1973922491786901E-48</v>
      </c>
      <c r="EZ114" s="742">
        <v>-4.5075032884172598E-41</v>
      </c>
      <c r="FA114" s="742">
        <v>0.25837509550802001</v>
      </c>
      <c r="FB114" s="742">
        <v>-6.0968083959007396E-240</v>
      </c>
      <c r="FC114" s="742">
        <v>1.4166753333565E-47</v>
      </c>
      <c r="FD114" s="742">
        <v>-1.05701359281482E-40</v>
      </c>
      <c r="FE114" s="742">
        <v>6.9642554597058799E-12</v>
      </c>
      <c r="FF114" s="742">
        <v>-6.1681855724116703E-240</v>
      </c>
      <c r="FG114" s="742">
        <v>-1.60012807935636E-116</v>
      </c>
      <c r="FH114" s="742">
        <v>5.69856920290821E-112</v>
      </c>
    </row>
    <row r="115" spans="1:164" ht="12.75" customHeight="1" x14ac:dyDescent="0.2">
      <c r="A115" s="489"/>
      <c r="B115" s="514"/>
      <c r="C115" s="514"/>
      <c r="D115" s="514"/>
      <c r="E115" s="514"/>
      <c r="F115" s="744"/>
      <c r="G115" s="745"/>
      <c r="H115" s="506"/>
      <c r="I115" s="750">
        <v>7873337.2226815904</v>
      </c>
      <c r="J115" s="742">
        <v>0.244401402867854</v>
      </c>
      <c r="K115" s="742">
        <v>3.7401167098731801E-243</v>
      </c>
      <c r="L115" s="742">
        <v>8.8804452425233101E-126</v>
      </c>
      <c r="M115" s="742">
        <v>5.5587901206906596E-243</v>
      </c>
      <c r="N115" s="742">
        <v>5.9582386471180597E-243</v>
      </c>
      <c r="O115" s="742">
        <v>9.0474259829393195E-126</v>
      </c>
      <c r="P115" s="742">
        <v>8.8554989930089902E-243</v>
      </c>
      <c r="Q115" s="742">
        <v>6.6982855373214603E-17</v>
      </c>
      <c r="R115" s="742">
        <v>4.2496756985257198E-243</v>
      </c>
      <c r="S115" s="742">
        <v>3.2627258635364899E-125</v>
      </c>
      <c r="T115" s="742">
        <v>-4.4770034200234703E-133</v>
      </c>
      <c r="U115" s="742">
        <v>3.81996786383173E-18</v>
      </c>
      <c r="V115" s="742">
        <v>4.4151244495627202E-246</v>
      </c>
      <c r="W115" s="742">
        <v>-1.38195838894123E-115</v>
      </c>
      <c r="X115" s="742">
        <v>-2.9618859250375997E-116</v>
      </c>
      <c r="Y115" s="742">
        <v>0.20949008294971</v>
      </c>
      <c r="Z115" s="742">
        <v>3.1757288274828802E-243</v>
      </c>
      <c r="AA115" s="742">
        <v>-2.7916184377570798E-56</v>
      </c>
      <c r="AB115" s="742">
        <v>8.5509118877484793E-53</v>
      </c>
      <c r="AC115" s="742">
        <v>3.16241862007304E-19</v>
      </c>
      <c r="AD115" s="742">
        <v>4.7414195126781005E-243</v>
      </c>
      <c r="AE115" s="742">
        <v>-6.2079117896107805E-113</v>
      </c>
      <c r="AF115" s="742">
        <v>-4.9301812999886002E-113</v>
      </c>
      <c r="AG115" s="742">
        <v>3.6549264257022202E-18</v>
      </c>
      <c r="AH115" s="742">
        <v>4.9260186471290202E-246</v>
      </c>
      <c r="AI115" s="742">
        <v>-8.3817809245700005E-113</v>
      </c>
      <c r="AJ115" s="742">
        <v>-3.2619978963952E-113</v>
      </c>
      <c r="AK115" s="742">
        <v>0.20875304487980501</v>
      </c>
      <c r="AL115" s="742">
        <v>3.1960667039538E-243</v>
      </c>
      <c r="AM115" s="742">
        <v>-5.4132709736045199E-56</v>
      </c>
      <c r="AN115" s="742">
        <v>1.65890062052632E-52</v>
      </c>
      <c r="AO115" s="742">
        <v>1.6771291672460799E-16</v>
      </c>
      <c r="AP115" s="742">
        <v>4.6952807844380997E-243</v>
      </c>
      <c r="AQ115" s="742">
        <v>2.2147590541115901E-118</v>
      </c>
      <c r="AR115" s="742">
        <v>-1.76691540596608E-113</v>
      </c>
      <c r="AS115" s="742">
        <v>4.7501803209511301E-18</v>
      </c>
      <c r="AT115" s="742">
        <v>4.6805318240133797E-245</v>
      </c>
      <c r="AU115" s="742">
        <v>-9.7129963245559392E-115</v>
      </c>
      <c r="AV115" s="742">
        <v>-1.6855960391732901E-113</v>
      </c>
      <c r="AW115" s="742">
        <v>1.6771291672460799E-16</v>
      </c>
      <c r="AX115" s="742">
        <v>4.6952787727414103E-243</v>
      </c>
      <c r="AY115" s="742">
        <v>2.2147589941816701E-118</v>
      </c>
      <c r="AZ115" s="742">
        <v>-1.7669153652039399E-113</v>
      </c>
      <c r="BA115" s="742">
        <v>0.25301149637484499</v>
      </c>
      <c r="BB115" s="742">
        <v>1.4068692757142499E-242</v>
      </c>
      <c r="BC115" s="742">
        <v>4.3561677597747301E-125</v>
      </c>
      <c r="BD115" s="742">
        <v>1.1905639732407901E-242</v>
      </c>
      <c r="BE115" s="742">
        <v>2.2412339887942798E-242</v>
      </c>
      <c r="BF115" s="742">
        <v>4.4380779184504298E-125</v>
      </c>
      <c r="BG115" s="742">
        <v>1.89664469700864E-242</v>
      </c>
      <c r="BH115" s="742">
        <v>1.0031040034234099E-15</v>
      </c>
      <c r="BI115" s="742">
        <v>1.5668238832311E-242</v>
      </c>
      <c r="BJ115" s="742">
        <v>2.4647328651439002E-124</v>
      </c>
      <c r="BK115" s="742">
        <v>7.3670722095938397E-134</v>
      </c>
      <c r="BL115" s="742">
        <v>2.16726079738107E-15</v>
      </c>
      <c r="BM115" s="742">
        <v>1.56682173067781E-242</v>
      </c>
      <c r="BN115" s="742">
        <v>-2.3601295953056002E-114</v>
      </c>
      <c r="BO115" s="742">
        <v>-2.20783781904843E-115</v>
      </c>
      <c r="BP115" s="742">
        <v>0.25317173800196702</v>
      </c>
      <c r="BQ115" s="742">
        <v>1.57299525621854E-242</v>
      </c>
      <c r="BR115" s="742">
        <v>-3.9323372411831802E-52</v>
      </c>
      <c r="BS115" s="742">
        <v>2.72608179073752E-48</v>
      </c>
      <c r="BT115" s="742">
        <v>9.92545584036841E-16</v>
      </c>
      <c r="BU115" s="742">
        <v>1.5851048622237201E-242</v>
      </c>
      <c r="BV115" s="742">
        <v>-1.20471082929528E-112</v>
      </c>
      <c r="BW115" s="742">
        <v>-5.1738782766264902E-113</v>
      </c>
      <c r="BX115" s="742">
        <v>2.1583134433940302E-15</v>
      </c>
      <c r="BY115" s="742">
        <v>1.5850984197245001E-242</v>
      </c>
      <c r="BZ115" s="742">
        <v>-9.4126639007846397E-112</v>
      </c>
      <c r="CA115" s="742">
        <v>-3.8691933302408398E-113</v>
      </c>
      <c r="CB115" s="742">
        <v>0.25317170418055202</v>
      </c>
      <c r="CC115" s="742">
        <v>1.5732735335935601E-242</v>
      </c>
      <c r="CD115" s="742">
        <v>-6.6384705820780101E-51</v>
      </c>
      <c r="CE115" s="742">
        <v>2.9730115310101203E-48</v>
      </c>
      <c r="CF115" s="742">
        <v>2.5512677415214699E-15</v>
      </c>
      <c r="CG115" s="742">
        <v>1.7661570985376401E-242</v>
      </c>
      <c r="CH115" s="742">
        <v>4.9902528598828204E-118</v>
      </c>
      <c r="CI115" s="742">
        <v>-1.8099798013935199E-113</v>
      </c>
      <c r="CJ115" s="742">
        <v>2.3786298351269599E-15</v>
      </c>
      <c r="CK115" s="742">
        <v>1.7661587060657599E-242</v>
      </c>
      <c r="CL115" s="742">
        <v>-2.6847733449654398E-114</v>
      </c>
      <c r="CM115" s="742">
        <v>-1.80872372424376E-113</v>
      </c>
      <c r="CN115" s="742">
        <v>2.5512677415214699E-15</v>
      </c>
      <c r="CO115" s="742">
        <v>1.7661545053536101E-242</v>
      </c>
      <c r="CP115" s="742">
        <v>4.9902531011098304E-118</v>
      </c>
      <c r="CQ115" s="742">
        <v>-1.8099796030373001E-113</v>
      </c>
      <c r="CR115" s="742">
        <v>0.25320635791775897</v>
      </c>
      <c r="CS115" s="742">
        <v>5.2464593981672796E-242</v>
      </c>
      <c r="CT115" s="742">
        <v>3.9388041557483201E-124</v>
      </c>
      <c r="CU115" s="742">
        <v>4.11057351819172E-242</v>
      </c>
      <c r="CV115" s="742">
        <v>8.3579275494386293E-242</v>
      </c>
      <c r="CW115" s="742">
        <v>4.0128661782270497E-124</v>
      </c>
      <c r="CX115" s="742">
        <v>6.5472337489159699E-242</v>
      </c>
      <c r="CY115" s="742">
        <v>0.25320627018310399</v>
      </c>
      <c r="CZ115" s="742">
        <v>6.7494438659812297E-242</v>
      </c>
      <c r="DA115" s="742">
        <v>-8.3243467514753701E-50</v>
      </c>
      <c r="DB115" s="742">
        <v>1.3921733573309901E-44</v>
      </c>
      <c r="DC115" s="742">
        <v>0.253206581075407</v>
      </c>
      <c r="DD115" s="742">
        <v>6.7505080978523901E-242</v>
      </c>
      <c r="DE115" s="742">
        <v>-8.2006617622417002E-47</v>
      </c>
      <c r="DF115" s="742">
        <v>1.35490969823165E-41</v>
      </c>
      <c r="DG115" s="742">
        <v>0.25320662385752801</v>
      </c>
      <c r="DH115" s="742">
        <v>6.7516894292677603E-242</v>
      </c>
      <c r="DI115" s="742">
        <v>-2.0722609238864701E-46</v>
      </c>
      <c r="DJ115" s="742">
        <v>3.4237648905306501E-41</v>
      </c>
      <c r="DK115" s="742">
        <v>1.0502129800429201E-13</v>
      </c>
      <c r="DL115" s="742">
        <v>7.0681687960858898E-242</v>
      </c>
      <c r="DM115" s="742">
        <v>1.49110859992415E-117</v>
      </c>
      <c r="DN115" s="742">
        <v>-1.8606810910515501E-113</v>
      </c>
      <c r="DO115" s="742">
        <v>0.25320635813014802</v>
      </c>
      <c r="DP115" s="742">
        <v>2.5744565873520699E-241</v>
      </c>
      <c r="DQ115" s="742">
        <v>1.74338863009415E-123</v>
      </c>
      <c r="DR115" s="742">
        <v>4.4942616508960902E-240</v>
      </c>
      <c r="DS115" s="742">
        <v>3.33879823351128E-240</v>
      </c>
      <c r="DT115" s="742">
        <v>1.83839205312158E-123</v>
      </c>
      <c r="DU115" s="742">
        <v>-4.0224678140132396E-239</v>
      </c>
      <c r="DV115" s="742">
        <v>0.25320697489402499</v>
      </c>
      <c r="DW115" s="742">
        <v>1.39828550695937E-240</v>
      </c>
      <c r="DX115" s="742">
        <v>-2.1511807658718099E-46</v>
      </c>
      <c r="DY115" s="742">
        <v>2.87562867562628E-40</v>
      </c>
      <c r="DZ115" s="742">
        <v>0.2532071492595</v>
      </c>
      <c r="EA115" s="742">
        <v>1.39849991051474E-240</v>
      </c>
      <c r="EB115" s="742">
        <v>-1.6311870705712501E-43</v>
      </c>
      <c r="EC115" s="742">
        <v>2.1567379877357101E-37</v>
      </c>
      <c r="ED115" s="742">
        <v>0.25320719208158798</v>
      </c>
      <c r="EE115" s="742">
        <v>1.39874155106559E-240</v>
      </c>
      <c r="EF115" s="742">
        <v>-6.9564185233812501E-37</v>
      </c>
      <c r="EG115" s="742">
        <v>1.14976463426106E-31</v>
      </c>
      <c r="EH115" s="742">
        <v>3.0401428243678702E-14</v>
      </c>
      <c r="EI115" s="742">
        <v>1.9272945010617601E-240</v>
      </c>
      <c r="EJ115" s="742">
        <v>-5.9578438921347004E-113</v>
      </c>
      <c r="EK115" s="742">
        <v>-1.94441370525595E-113</v>
      </c>
      <c r="EL115" s="742">
        <v>0.253207371991301</v>
      </c>
      <c r="EM115" s="742">
        <v>1.82467789699912E-241</v>
      </c>
      <c r="EN115" s="742">
        <v>1.0335455177571599E-123</v>
      </c>
      <c r="EO115" s="742">
        <v>1.22648097416001E-241</v>
      </c>
      <c r="EP115" s="742">
        <v>2.2821482856768999E-241</v>
      </c>
      <c r="EQ115" s="742">
        <v>1.04391975332372E-123</v>
      </c>
      <c r="ER115" s="742">
        <v>1.5339502192981401E-241</v>
      </c>
      <c r="ES115" s="742">
        <v>0.25321008813357598</v>
      </c>
      <c r="ET115" s="742">
        <v>2.0777377829600499E-241</v>
      </c>
      <c r="EU115" s="742">
        <v>-1.8863085617916099E-52</v>
      </c>
      <c r="EV115" s="742">
        <v>1.3585434144268999E-45</v>
      </c>
      <c r="EW115" s="742">
        <v>0.253210100174666</v>
      </c>
      <c r="EX115" s="742">
        <v>2.0780418907328201E-241</v>
      </c>
      <c r="EY115" s="742">
        <v>-2.38774715182511E-49</v>
      </c>
      <c r="EZ115" s="742">
        <v>1.49647282164808E-42</v>
      </c>
      <c r="FA115" s="742">
        <v>0.253210143006729</v>
      </c>
      <c r="FB115" s="742">
        <v>2.0783957885022601E-241</v>
      </c>
      <c r="FC115" s="742">
        <v>-4.6630806586148201E-49</v>
      </c>
      <c r="FD115" s="742">
        <v>3.4884859108069603E-42</v>
      </c>
      <c r="FE115" s="742">
        <v>6.8250390674080302E-12</v>
      </c>
      <c r="FF115" s="742">
        <v>2.1027297880913099E-241</v>
      </c>
      <c r="FG115" s="742">
        <v>5.3669893060946097E-118</v>
      </c>
      <c r="FH115" s="742">
        <v>-1.90267910875653E-113</v>
      </c>
    </row>
    <row r="116" spans="1:164" ht="12.75" customHeight="1" x14ac:dyDescent="0.2">
      <c r="A116" s="489"/>
      <c r="B116" s="514"/>
      <c r="C116" s="514"/>
      <c r="D116" s="514"/>
      <c r="E116" s="514"/>
      <c r="F116" s="744"/>
      <c r="G116" s="745"/>
      <c r="H116" s="506"/>
      <c r="I116" s="750">
        <v>7957096.12930586</v>
      </c>
      <c r="J116" s="742">
        <v>0.23951578633998399</v>
      </c>
      <c r="K116" s="742">
        <v>5.5938854090720898E-247</v>
      </c>
      <c r="L116" s="742">
        <v>2.7273765468287298E-128</v>
      </c>
      <c r="M116" s="742">
        <v>8.3088324174334905E-247</v>
      </c>
      <c r="N116" s="742">
        <v>8.9028666995678006E-247</v>
      </c>
      <c r="O116" s="742">
        <v>2.7786612282550001E-128</v>
      </c>
      <c r="P116" s="742">
        <v>1.3239325748080299E-246</v>
      </c>
      <c r="Q116" s="742">
        <v>6.5643859191297296E-17</v>
      </c>
      <c r="R116" s="742">
        <v>6.3519108765918695E-247</v>
      </c>
      <c r="S116" s="742">
        <v>1.0020552358964699E-127</v>
      </c>
      <c r="T116" s="742">
        <v>-1.1148001110930001E-135</v>
      </c>
      <c r="U116" s="742">
        <v>3.7436061985038198E-18</v>
      </c>
      <c r="V116" s="742">
        <v>6.5994642958022097E-250</v>
      </c>
      <c r="W116" s="742">
        <v>-5.4730467220375796E-118</v>
      </c>
      <c r="X116" s="742">
        <v>-1.2507472063871201E-118</v>
      </c>
      <c r="Y116" s="742">
        <v>0.20530234834723199</v>
      </c>
      <c r="Z116" s="742">
        <v>4.7471159901621803E-247</v>
      </c>
      <c r="AA116" s="742">
        <v>-1.70141035786882E-58</v>
      </c>
      <c r="AB116" s="742">
        <v>5.2059800145529299E-55</v>
      </c>
      <c r="AC116" s="742">
        <v>3.09920145152583E-19</v>
      </c>
      <c r="AD116" s="742">
        <v>7.0948144145667404E-247</v>
      </c>
      <c r="AE116" s="742">
        <v>-2.6137319881478501E-115</v>
      </c>
      <c r="AF116" s="742">
        <v>-2.0757679179847099E-115</v>
      </c>
      <c r="AG116" s="742">
        <v>3.5818639606589497E-18</v>
      </c>
      <c r="AH116" s="742">
        <v>7.3609407607339504E-250</v>
      </c>
      <c r="AI116" s="742">
        <v>-3.5346124478937298E-115</v>
      </c>
      <c r="AJ116" s="742">
        <v>-1.37426015032284E-115</v>
      </c>
      <c r="AK116" s="742">
        <v>0.20458004376630801</v>
      </c>
      <c r="AL116" s="742">
        <v>4.7757972963523102E-247</v>
      </c>
      <c r="AM116" s="742">
        <v>-4.0289251010981498E-58</v>
      </c>
      <c r="AN116" s="742">
        <v>1.2336799689262E-54</v>
      </c>
      <c r="AO116" s="742">
        <v>1.6436031322776899E-16</v>
      </c>
      <c r="AP116" s="742">
        <v>7.0155341003239001E-247</v>
      </c>
      <c r="AQ116" s="742">
        <v>8.1634992654052505E-121</v>
      </c>
      <c r="AR116" s="742">
        <v>-7.4612381686314696E-116</v>
      </c>
      <c r="AS116" s="742">
        <v>4.65522358496649E-18</v>
      </c>
      <c r="AT116" s="742">
        <v>6.9943146023283403E-249</v>
      </c>
      <c r="AU116" s="742">
        <v>-3.8466905631391701E-117</v>
      </c>
      <c r="AV116" s="742">
        <v>-7.1179519007997297E-116</v>
      </c>
      <c r="AW116" s="742">
        <v>1.6436031322776899E-16</v>
      </c>
      <c r="AX116" s="742">
        <v>7.0175708902434206E-247</v>
      </c>
      <c r="AY116" s="742">
        <v>8.1634891292488997E-121</v>
      </c>
      <c r="AZ116" s="742">
        <v>-7.4612335441432499E-116</v>
      </c>
      <c r="BA116" s="742">
        <v>0.24795376293336299</v>
      </c>
      <c r="BB116" s="742">
        <v>2.10003413775384E-246</v>
      </c>
      <c r="BC116" s="742">
        <v>1.33787276399478E-127</v>
      </c>
      <c r="BD116" s="742">
        <v>1.77860866857567E-246</v>
      </c>
      <c r="BE116" s="742">
        <v>3.3421253983332998E-246</v>
      </c>
      <c r="BF116" s="742">
        <v>1.36302840046215E-127</v>
      </c>
      <c r="BG116" s="742">
        <v>2.83087740044602E-246</v>
      </c>
      <c r="BH116" s="742">
        <v>9.8305182106770207E-16</v>
      </c>
      <c r="BI116" s="742">
        <v>2.3397105647468901E-246</v>
      </c>
      <c r="BJ116" s="742">
        <v>7.5697226100908805E-127</v>
      </c>
      <c r="BK116" s="742">
        <v>1.8587119020362899E-136</v>
      </c>
      <c r="BL116" s="742">
        <v>2.1239369659805799E-15</v>
      </c>
      <c r="BM116" s="742">
        <v>2.3390676928169598E-246</v>
      </c>
      <c r="BN116" s="742">
        <v>-9.4405389237473695E-117</v>
      </c>
      <c r="BO116" s="742">
        <v>-9.1560768176590899E-118</v>
      </c>
      <c r="BP116" s="742">
        <v>0.24811080130905999</v>
      </c>
      <c r="BQ116" s="742">
        <v>2.3446803606007E-246</v>
      </c>
      <c r="BR116" s="742">
        <v>-2.29404324607528E-54</v>
      </c>
      <c r="BS116" s="742">
        <v>1.5897316892997001E-50</v>
      </c>
      <c r="BT116" s="742">
        <v>9.7270446588803708E-16</v>
      </c>
      <c r="BU116" s="742">
        <v>2.36716760137497E-246</v>
      </c>
      <c r="BV116" s="742">
        <v>-5.0723307428508196E-115</v>
      </c>
      <c r="BW116" s="742">
        <v>-2.1784185248885901E-115</v>
      </c>
      <c r="BX116" s="742">
        <v>2.1151684707889799E-15</v>
      </c>
      <c r="BY116" s="742">
        <v>2.3650775295463803E-246</v>
      </c>
      <c r="BZ116" s="742">
        <v>-3.8699054934239E-114</v>
      </c>
      <c r="CA116" s="742">
        <v>-1.5961763906725099E-115</v>
      </c>
      <c r="CB116" s="742">
        <v>0.24811076816374</v>
      </c>
      <c r="CC116" s="742">
        <v>2.3487563775528499E-246</v>
      </c>
      <c r="CD116" s="742">
        <v>-3.0110943530666299E-53</v>
      </c>
      <c r="CE116" s="742">
        <v>2.87337294271758E-50</v>
      </c>
      <c r="CF116" s="742">
        <v>2.5002675602674498E-15</v>
      </c>
      <c r="CG116" s="742">
        <v>2.6352738116908101E-246</v>
      </c>
      <c r="CH116" s="742">
        <v>1.8393818611915799E-120</v>
      </c>
      <c r="CI116" s="742">
        <v>-7.6430858378203904E-116</v>
      </c>
      <c r="CJ116" s="742">
        <v>2.3310807085678801E-15</v>
      </c>
      <c r="CK116" s="742">
        <v>2.6355866812880498E-246</v>
      </c>
      <c r="CL116" s="742">
        <v>-1.06326363994347E-116</v>
      </c>
      <c r="CM116" s="742">
        <v>-7.6378992014661802E-116</v>
      </c>
      <c r="CN116" s="742">
        <v>2.5002675602674498E-15</v>
      </c>
      <c r="CO116" s="742">
        <v>2.6360571547936799E-246</v>
      </c>
      <c r="CP116" s="742">
        <v>1.8393832981950799E-120</v>
      </c>
      <c r="CQ116" s="742">
        <v>-7.6430902443490402E-116</v>
      </c>
      <c r="CR116" s="742">
        <v>0.24814472916813399</v>
      </c>
      <c r="CS116" s="742">
        <v>7.8352061379975598E-246</v>
      </c>
      <c r="CT116" s="742">
        <v>1.20969461505358E-126</v>
      </c>
      <c r="CU116" s="742">
        <v>6.1443637422221495E-246</v>
      </c>
      <c r="CV116" s="742">
        <v>1.24845665929844E-245</v>
      </c>
      <c r="CW116" s="742">
        <v>1.2324405153652101E-126</v>
      </c>
      <c r="CX116" s="742">
        <v>9.78811123612243E-246</v>
      </c>
      <c r="CY116" s="742">
        <v>0.248144643187307</v>
      </c>
      <c r="CZ116" s="742">
        <v>1.00825931158795E-245</v>
      </c>
      <c r="DA116" s="742">
        <v>-4.3932213844892999E-52</v>
      </c>
      <c r="DB116" s="742">
        <v>7.3453652954361302E-47</v>
      </c>
      <c r="DC116" s="742">
        <v>0.24814494786483099</v>
      </c>
      <c r="DD116" s="742">
        <v>1.00828963097775E-245</v>
      </c>
      <c r="DE116" s="742">
        <v>-4.0034699491994297E-49</v>
      </c>
      <c r="DF116" s="742">
        <v>6.6144388003259495E-44</v>
      </c>
      <c r="DG116" s="742">
        <v>0.248144989791731</v>
      </c>
      <c r="DH116" s="742">
        <v>1.00805274259297E-245</v>
      </c>
      <c r="DI116" s="742">
        <v>-1.27705438557471E-48</v>
      </c>
      <c r="DJ116" s="742">
        <v>2.1099293905526801E-43</v>
      </c>
      <c r="DK116" s="742">
        <v>1.02921908298311E-13</v>
      </c>
      <c r="DL116" s="742">
        <v>1.0555045010863E-245</v>
      </c>
      <c r="DM116" s="742">
        <v>5.49614929356615E-120</v>
      </c>
      <c r="DN116" s="742">
        <v>-7.8571940014386703E-116</v>
      </c>
      <c r="DO116" s="742">
        <v>0.24814472937627699</v>
      </c>
      <c r="DP116" s="742">
        <v>3.8452089108496201E-245</v>
      </c>
      <c r="DQ116" s="742">
        <v>5.3543320397228802E-126</v>
      </c>
      <c r="DR116" s="742">
        <v>6.7707388805669301E-244</v>
      </c>
      <c r="DS116" s="742">
        <v>5.5913464474997498E-244</v>
      </c>
      <c r="DT116" s="742">
        <v>5.64611010283939E-126</v>
      </c>
      <c r="DU116" s="742">
        <v>-5.5909387421858096E-243</v>
      </c>
      <c r="DV116" s="742">
        <v>0.24814533381096199</v>
      </c>
      <c r="DW116" s="742">
        <v>2.3127450906330499E-244</v>
      </c>
      <c r="DX116" s="742">
        <v>-1.02599570398153E-48</v>
      </c>
      <c r="DY116" s="742">
        <v>1.37113864870342E-42</v>
      </c>
      <c r="DZ116" s="742">
        <v>0.24814550469084801</v>
      </c>
      <c r="EA116" s="742">
        <v>2.3116967493457599E-244</v>
      </c>
      <c r="EB116" s="742">
        <v>-7.2583667034875902E-46</v>
      </c>
      <c r="EC116" s="742">
        <v>9.5968793599914908E-40</v>
      </c>
      <c r="ED116" s="742">
        <v>0.24814554665691699</v>
      </c>
      <c r="EE116" s="742">
        <v>2.31139196726687E-244</v>
      </c>
      <c r="EF116" s="742">
        <v>-2.9088003192405501E-39</v>
      </c>
      <c r="EG116" s="742">
        <v>4.8077085620730297E-34</v>
      </c>
      <c r="EH116" s="742">
        <v>2.9793699652290599E-14</v>
      </c>
      <c r="EI116" s="742">
        <v>3.2060248034903503E-244</v>
      </c>
      <c r="EJ116" s="742">
        <v>-2.3914588069163698E-115</v>
      </c>
      <c r="EK116" s="742">
        <v>-8.2107690027931901E-116</v>
      </c>
      <c r="EL116" s="742">
        <v>0.24814572297021101</v>
      </c>
      <c r="EM116" s="742">
        <v>2.7293094313565E-245</v>
      </c>
      <c r="EN116" s="742">
        <v>3.1742424204332003E-126</v>
      </c>
      <c r="EO116" s="742">
        <v>1.8342058316039402E-245</v>
      </c>
      <c r="EP116" s="742">
        <v>3.4143100511089701E-245</v>
      </c>
      <c r="EQ116" s="742">
        <v>3.20610895350521E-126</v>
      </c>
      <c r="ER116" s="742">
        <v>2.2939795913654198E-245</v>
      </c>
      <c r="ES116" s="742">
        <v>0.24814838481644</v>
      </c>
      <c r="ET116" s="742">
        <v>3.1064424351294302E-245</v>
      </c>
      <c r="EU116" s="742">
        <v>-1.14755051756922E-54</v>
      </c>
      <c r="EV116" s="742">
        <v>7.8141369816513999E-48</v>
      </c>
      <c r="EW116" s="742">
        <v>0.248148396616828</v>
      </c>
      <c r="EX116" s="742">
        <v>3.1098454553570199E-245</v>
      </c>
      <c r="EY116" s="742">
        <v>-1.31260337469228E-51</v>
      </c>
      <c r="EZ116" s="742">
        <v>8.0070584875614904E-45</v>
      </c>
      <c r="FA116" s="742">
        <v>0.24814843859267199</v>
      </c>
      <c r="FB116" s="742">
        <v>3.1092783632673201E-245</v>
      </c>
      <c r="FC116" s="742">
        <v>-3.2958951221496603E-51</v>
      </c>
      <c r="FD116" s="742">
        <v>2.2798050717102499E-44</v>
      </c>
      <c r="FE116" s="742">
        <v>6.68860562930246E-12</v>
      </c>
      <c r="FF116" s="742">
        <v>3.1434006780669398E-245</v>
      </c>
      <c r="FG116" s="742">
        <v>1.7838801526454E-120</v>
      </c>
      <c r="FH116" s="742">
        <v>-8.0345360021229899E-116</v>
      </c>
    </row>
    <row r="117" spans="1:164" ht="12.75" customHeight="1" x14ac:dyDescent="0.2">
      <c r="A117" s="489"/>
      <c r="B117" s="514"/>
      <c r="C117" s="514"/>
      <c r="D117" s="514"/>
      <c r="E117" s="514"/>
      <c r="F117" s="744"/>
      <c r="G117" s="745"/>
      <c r="H117" s="506"/>
      <c r="I117" s="750">
        <v>8040855.0359301297</v>
      </c>
      <c r="J117" s="742">
        <v>0.23472783393587601</v>
      </c>
      <c r="K117" s="742">
        <v>-6.9600796119550998E-248</v>
      </c>
      <c r="L117" s="742">
        <v>-3.3911516311475703E-129</v>
      </c>
      <c r="M117" s="742">
        <v>-1.03444714844426E-247</v>
      </c>
      <c r="N117" s="742">
        <v>-1.1087837553319801E-247</v>
      </c>
      <c r="O117" s="742">
        <v>-3.4549163185592899E-129</v>
      </c>
      <c r="P117" s="742">
        <v>-1.6479375563781801E-247</v>
      </c>
      <c r="Q117" s="742">
        <v>6.4331629721028602E-17</v>
      </c>
      <c r="R117" s="742">
        <v>-7.9083157257351495E-248</v>
      </c>
      <c r="S117" s="742">
        <v>-1.24592863604664E-128</v>
      </c>
      <c r="T117" s="742">
        <v>1.38624428445745E-136</v>
      </c>
      <c r="U117" s="742">
        <v>3.6687710130153902E-18</v>
      </c>
      <c r="V117" s="742">
        <v>-8.2162061055952603E-251</v>
      </c>
      <c r="W117" s="742">
        <v>6.8041334974508596E-119</v>
      </c>
      <c r="X117" s="742">
        <v>1.5548788766400001E-119</v>
      </c>
      <c r="Y117" s="742">
        <v>0.201198327116068</v>
      </c>
      <c r="Z117" s="742">
        <v>-5.9097695900266903E-248</v>
      </c>
      <c r="AA117" s="742">
        <v>2.11472880484172E-59</v>
      </c>
      <c r="AB117" s="742">
        <v>-6.4706557833002903E-56</v>
      </c>
      <c r="AC117" s="742">
        <v>3.0372480025803599E-19</v>
      </c>
      <c r="AD117" s="742">
        <v>-8.8234474360627393E-248</v>
      </c>
      <c r="AE117" s="742">
        <v>3.24929423621772E-116</v>
      </c>
      <c r="AF117" s="742">
        <v>2.5805149915747702E-116</v>
      </c>
      <c r="AG117" s="742">
        <v>3.5102620240029602E-18</v>
      </c>
      <c r="AH117" s="742">
        <v>-9.1669698929959007E-251</v>
      </c>
      <c r="AI117" s="742">
        <v>4.3940972861191098E-116</v>
      </c>
      <c r="AJ117" s="742">
        <v>1.70842638556083E-116</v>
      </c>
      <c r="AK117" s="742">
        <v>0.20049046149972199</v>
      </c>
      <c r="AL117" s="742">
        <v>-5.9476151385910698E-248</v>
      </c>
      <c r="AM117" s="742">
        <v>5.0068379650604603E-59</v>
      </c>
      <c r="AN117" s="742">
        <v>-1.5331230037837799E-55</v>
      </c>
      <c r="AO117" s="742">
        <v>1.6107472872044299E-16</v>
      </c>
      <c r="AP117" s="742">
        <v>-8.7375375913226693E-248</v>
      </c>
      <c r="AQ117" s="742">
        <v>-1.01493431781267E-121</v>
      </c>
      <c r="AR117" s="742">
        <v>9.27551022782568E-117</v>
      </c>
      <c r="AS117" s="742">
        <v>4.5621650467553102E-18</v>
      </c>
      <c r="AT117" s="742">
        <v>-8.7100991609843995E-250</v>
      </c>
      <c r="AU117" s="742">
        <v>4.7822333822996004E-118</v>
      </c>
      <c r="AV117" s="742">
        <v>8.8487506633842397E-117</v>
      </c>
      <c r="AW117" s="742">
        <v>1.6107472872044201E-16</v>
      </c>
      <c r="AX117" s="742">
        <v>-8.7375366358681796E-248</v>
      </c>
      <c r="AY117" s="742">
        <v>-1.01493435335721E-121</v>
      </c>
      <c r="AZ117" s="742">
        <v>9.2755101663044793E-117</v>
      </c>
      <c r="BA117" s="742">
        <v>0.242997134255622</v>
      </c>
      <c r="BB117" s="742">
        <v>-2.6180741732397899E-247</v>
      </c>
      <c r="BC117" s="742">
        <v>-1.6634780598932501E-128</v>
      </c>
      <c r="BD117" s="742">
        <v>-2.2155468848717299E-247</v>
      </c>
      <c r="BE117" s="742">
        <v>-4.1707539517796198E-247</v>
      </c>
      <c r="BF117" s="742">
        <v>-1.69475684059203E-128</v>
      </c>
      <c r="BG117" s="742">
        <v>-3.5295016632611999E-247</v>
      </c>
      <c r="BH117" s="742">
        <v>9.6340048450250995E-16</v>
      </c>
      <c r="BI117" s="742">
        <v>-2.9157414204624899E-247</v>
      </c>
      <c r="BJ117" s="742">
        <v>-9.412009569528309E-128</v>
      </c>
      <c r="BK117" s="742">
        <v>-2.3112654485565302E-137</v>
      </c>
      <c r="BL117" s="742">
        <v>2.08147918372816E-15</v>
      </c>
      <c r="BM117" s="742">
        <v>-2.9157258323683003E-247</v>
      </c>
      <c r="BN117" s="742">
        <v>1.17364894003126E-117</v>
      </c>
      <c r="BO117" s="742">
        <v>1.1382605880488601E-118</v>
      </c>
      <c r="BP117" s="742">
        <v>0.24315103341331601</v>
      </c>
      <c r="BQ117" s="742">
        <v>-2.9272200696940603E-247</v>
      </c>
      <c r="BR117" s="742">
        <v>2.8514059372728299E-55</v>
      </c>
      <c r="BS117" s="742">
        <v>-1.97597333457113E-51</v>
      </c>
      <c r="BT117" s="742">
        <v>9.5325997432820195E-16</v>
      </c>
      <c r="BU117" s="742">
        <v>-2.9497565460466798E-247</v>
      </c>
      <c r="BV117" s="742">
        <v>6.3057343955012199E-116</v>
      </c>
      <c r="BW117" s="742">
        <v>2.7081271876264E-116</v>
      </c>
      <c r="BX117" s="742">
        <v>2.0728859719209E-15</v>
      </c>
      <c r="BY117" s="742">
        <v>-2.94973829310819E-247</v>
      </c>
      <c r="BZ117" s="742">
        <v>4.8110014358547299E-115</v>
      </c>
      <c r="CA117" s="742">
        <v>1.9843342107707401E-116</v>
      </c>
      <c r="CB117" s="742">
        <v>0.24315100093057501</v>
      </c>
      <c r="CC117" s="742">
        <v>-2.9277339298134998E-247</v>
      </c>
      <c r="CD117" s="742">
        <v>3.7430710570005801E-54</v>
      </c>
      <c r="CE117" s="742">
        <v>-3.5704870518746398E-51</v>
      </c>
      <c r="CF117" s="742">
        <v>2.4502868794153602E-15</v>
      </c>
      <c r="CG117" s="742">
        <v>-3.2866747828442697E-247</v>
      </c>
      <c r="CH117" s="742">
        <v>-2.2868309348171101E-121</v>
      </c>
      <c r="CI117" s="742">
        <v>9.5015790798240606E-117</v>
      </c>
      <c r="CJ117" s="742">
        <v>2.2844820953686899E-15</v>
      </c>
      <c r="CK117" s="742">
        <v>-3.2866760472287498E-247</v>
      </c>
      <c r="CL117" s="742">
        <v>1.3218588411553601E-117</v>
      </c>
      <c r="CM117" s="742">
        <v>9.4951251156491406E-117</v>
      </c>
      <c r="CN117" s="742">
        <v>2.4502868794153602E-15</v>
      </c>
      <c r="CO117" s="742">
        <v>-3.2866742772522299E-247</v>
      </c>
      <c r="CP117" s="742">
        <v>-2.2868309095941299E-121</v>
      </c>
      <c r="CQ117" s="742">
        <v>9.5015789113626501E-117</v>
      </c>
      <c r="CR117" s="742">
        <v>0.243184283049978</v>
      </c>
      <c r="CS117" s="742">
        <v>-9.7632512118692606E-247</v>
      </c>
      <c r="CT117" s="742">
        <v>-1.5041007921645099E-127</v>
      </c>
      <c r="CU117" s="742">
        <v>-7.6517055239732506E-247</v>
      </c>
      <c r="CV117" s="742">
        <v>-1.5553459873434601E-246</v>
      </c>
      <c r="CW117" s="742">
        <v>-1.5323827643820101E-127</v>
      </c>
      <c r="CX117" s="742">
        <v>-1.21875147254025E-246</v>
      </c>
      <c r="CY117" s="742">
        <v>0.243184198787918</v>
      </c>
      <c r="CZ117" s="742">
        <v>-1.2560167090636E-246</v>
      </c>
      <c r="DA117" s="742">
        <v>5.4609309958311496E-53</v>
      </c>
      <c r="DB117" s="742">
        <v>-9.1305444230244304E-48</v>
      </c>
      <c r="DC117" s="742">
        <v>0.243184497374898</v>
      </c>
      <c r="DD117" s="742">
        <v>-1.2562151943233999E-246</v>
      </c>
      <c r="DE117" s="742">
        <v>4.9766549784664304E-50</v>
      </c>
      <c r="DF117" s="742">
        <v>-8.2223036173565303E-45</v>
      </c>
      <c r="DG117" s="742">
        <v>0.24318453846367399</v>
      </c>
      <c r="DH117" s="742">
        <v>-1.25643580546653E-246</v>
      </c>
      <c r="DI117" s="742">
        <v>1.5872407589741101E-49</v>
      </c>
      <c r="DJ117" s="742">
        <v>-2.6224135340641798E-44</v>
      </c>
      <c r="DK117" s="742">
        <v>1.00864485671592E-13</v>
      </c>
      <c r="DL117" s="742">
        <v>-1.31533129954104E-246</v>
      </c>
      <c r="DM117" s="742">
        <v>-6.8331467847362498E-121</v>
      </c>
      <c r="DN117" s="742">
        <v>9.7677388363175502E-117</v>
      </c>
      <c r="DO117" s="742">
        <v>0.24318428325395999</v>
      </c>
      <c r="DP117" s="742">
        <v>-4.7908556850623997E-246</v>
      </c>
      <c r="DQ117" s="742">
        <v>-6.6574323246665502E-127</v>
      </c>
      <c r="DR117" s="742">
        <v>-8.4317422886454307E-245</v>
      </c>
      <c r="DS117" s="742">
        <v>-6.9563441296388599E-245</v>
      </c>
      <c r="DT117" s="742">
        <v>-7.0202187625450404E-127</v>
      </c>
      <c r="DU117" s="742">
        <v>6.95908698342099E-244</v>
      </c>
      <c r="DV117" s="742">
        <v>0.24318487560591501</v>
      </c>
      <c r="DW117" s="742">
        <v>-2.87721511742896E-245</v>
      </c>
      <c r="DX117" s="742">
        <v>1.2754165866975601E-49</v>
      </c>
      <c r="DY117" s="742">
        <v>-1.70446424821327E-43</v>
      </c>
      <c r="DZ117" s="742">
        <v>0.24318504306989</v>
      </c>
      <c r="EA117" s="742">
        <v>-2.8776592505882402E-245</v>
      </c>
      <c r="EB117" s="742">
        <v>9.0231574094246508E-47</v>
      </c>
      <c r="EC117" s="742">
        <v>-1.19302478108412E-40</v>
      </c>
      <c r="ED117" s="742">
        <v>0.24318508419705101</v>
      </c>
      <c r="EE117" s="742">
        <v>-2.8781537704321202E-245</v>
      </c>
      <c r="EF117" s="742">
        <v>3.6161267506197301E-40</v>
      </c>
      <c r="EG117" s="742">
        <v>-5.9767848509324705E-35</v>
      </c>
      <c r="EH117" s="742">
        <v>2.9198119636220298E-14</v>
      </c>
      <c r="EI117" s="742">
        <v>-3.9892393516946503E-245</v>
      </c>
      <c r="EJ117" s="742">
        <v>2.9730626353840899E-116</v>
      </c>
      <c r="EK117" s="742">
        <v>1.02072971852626E-116</v>
      </c>
      <c r="EL117" s="742">
        <v>0.24318525698582</v>
      </c>
      <c r="EM117" s="742">
        <v>-3.39559292855292E-246</v>
      </c>
      <c r="EN117" s="742">
        <v>-3.9467727433279902E-127</v>
      </c>
      <c r="EO117" s="742">
        <v>-2.2825600640438899E-246</v>
      </c>
      <c r="EP117" s="742">
        <v>-4.2469216223652501E-246</v>
      </c>
      <c r="EQ117" s="742">
        <v>-3.9863892228207797E-127</v>
      </c>
      <c r="ER117" s="742">
        <v>-2.8547799048702402E-246</v>
      </c>
      <c r="ES117" s="742">
        <v>0.243187865621389</v>
      </c>
      <c r="ET117" s="742">
        <v>-3.8665190327474702E-246</v>
      </c>
      <c r="EU117" s="742">
        <v>1.4263352444380299E-55</v>
      </c>
      <c r="EV117" s="742">
        <v>-9.7126998128273793E-49</v>
      </c>
      <c r="EW117" s="742">
        <v>0.243187877185885</v>
      </c>
      <c r="EX117" s="742">
        <v>-3.8670961275729301E-246</v>
      </c>
      <c r="EY117" s="742">
        <v>1.6315790508273801E-52</v>
      </c>
      <c r="EZ117" s="742">
        <v>-9.95293760575559E-46</v>
      </c>
      <c r="FA117" s="742">
        <v>0.24318791832262601</v>
      </c>
      <c r="FB117" s="742">
        <v>-3.8677479130812E-246</v>
      </c>
      <c r="FC117" s="742">
        <v>4.0960978908642099E-52</v>
      </c>
      <c r="FD117" s="742">
        <v>-2.83342246853525E-45</v>
      </c>
      <c r="FE117" s="742">
        <v>6.5548995137586199E-12</v>
      </c>
      <c r="FF117" s="742">
        <v>-3.91302875692525E-246</v>
      </c>
      <c r="FG117" s="742">
        <v>-2.2179449870081399E-121</v>
      </c>
      <c r="FH117" s="742">
        <v>9.9882095780826096E-117</v>
      </c>
    </row>
    <row r="118" spans="1:164" ht="12.75" customHeight="1" x14ac:dyDescent="0.2">
      <c r="A118" s="489"/>
      <c r="B118" s="514"/>
      <c r="C118" s="514"/>
      <c r="D118" s="514"/>
      <c r="E118" s="514"/>
      <c r="F118" s="744"/>
      <c r="G118" s="745"/>
      <c r="H118" s="506"/>
      <c r="I118" s="750">
        <v>8124613.9425544096</v>
      </c>
      <c r="J118" s="742">
        <v>0.230035593336823</v>
      </c>
      <c r="K118" s="742">
        <v>6.2840386201499704E-249</v>
      </c>
      <c r="L118" s="742">
        <v>3.0577496145072102E-130</v>
      </c>
      <c r="M118" s="742">
        <v>9.33970029380182E-249</v>
      </c>
      <c r="N118" s="742">
        <v>1.0010863722934999E-248</v>
      </c>
      <c r="O118" s="742">
        <v>3.11524525973355E-130</v>
      </c>
      <c r="P118" s="742">
        <v>1.48787177455629E-248</v>
      </c>
      <c r="Q118" s="742">
        <v>6.3045631892314604E-17</v>
      </c>
      <c r="R118" s="742">
        <v>7.1401749220352799E-249</v>
      </c>
      <c r="S118" s="742">
        <v>1.1234347920249001E-129</v>
      </c>
      <c r="T118" s="742">
        <v>-1.2502771244024201E-137</v>
      </c>
      <c r="U118" s="742">
        <v>3.5954317928332401E-18</v>
      </c>
      <c r="V118" s="742">
        <v>7.4181608961784E-252</v>
      </c>
      <c r="W118" s="742">
        <v>-6.1327867468554303E-120</v>
      </c>
      <c r="X118" s="742">
        <v>-1.40130232794555E-120</v>
      </c>
      <c r="Y118" s="742">
        <v>0.19717634581489199</v>
      </c>
      <c r="Z118" s="742">
        <v>5.3357455642345703E-249</v>
      </c>
      <c r="AA118" s="742">
        <v>-1.90481543870465E-60</v>
      </c>
      <c r="AB118" s="742">
        <v>5.8283745033359201E-57</v>
      </c>
      <c r="AC118" s="742">
        <v>2.97653301131522E-19</v>
      </c>
      <c r="AD118" s="742">
        <v>7.9664135173461799E-249</v>
      </c>
      <c r="AE118" s="742">
        <v>-2.92837490007685E-117</v>
      </c>
      <c r="AF118" s="742">
        <v>-2.3256482056915702E-117</v>
      </c>
      <c r="AG118" s="742">
        <v>3.4400914195792802E-18</v>
      </c>
      <c r="AH118" s="742">
        <v>8.27657430450962E-252</v>
      </c>
      <c r="AI118" s="742">
        <v>-3.96009955075606E-117</v>
      </c>
      <c r="AJ118" s="742">
        <v>-1.53969040820042E-117</v>
      </c>
      <c r="AK118" s="742">
        <v>0.19648263052630099</v>
      </c>
      <c r="AL118" s="742">
        <v>5.36991641816208E-249</v>
      </c>
      <c r="AM118" s="742">
        <v>-4.5076764460163098E-60</v>
      </c>
      <c r="AN118" s="742">
        <v>1.3802795790952299E-56</v>
      </c>
      <c r="AO118" s="742">
        <v>1.5785482348419301E-16</v>
      </c>
      <c r="AP118" s="742">
        <v>7.8888459435747099E-249</v>
      </c>
      <c r="AQ118" s="742">
        <v>9.1490322069736806E-123</v>
      </c>
      <c r="AR118" s="742">
        <v>-8.3593613482756199E-118</v>
      </c>
      <c r="AS118" s="742">
        <v>4.4709667610938903E-18</v>
      </c>
      <c r="AT118" s="742">
        <v>7.8640764566702896E-251</v>
      </c>
      <c r="AU118" s="742">
        <v>-4.3103824109288201E-119</v>
      </c>
      <c r="AV118" s="742">
        <v>-7.9747527850971191E-118</v>
      </c>
      <c r="AW118" s="742">
        <v>1.5785482348419301E-16</v>
      </c>
      <c r="AX118" s="742">
        <v>7.8888498267973504E-249</v>
      </c>
      <c r="AY118" s="742">
        <v>9.1490327877886596E-123</v>
      </c>
      <c r="AZ118" s="742">
        <v>-8.3593612950375997E-118</v>
      </c>
      <c r="BA118" s="742">
        <v>0.238139589244069</v>
      </c>
      <c r="BB118" s="742">
        <v>2.3637788023102999E-248</v>
      </c>
      <c r="BC118" s="742">
        <v>1.49993273537012E-129</v>
      </c>
      <c r="BD118" s="742">
        <v>2.0003475460091701E-248</v>
      </c>
      <c r="BE118" s="742">
        <v>3.76564490508575E-248</v>
      </c>
      <c r="BF118" s="742">
        <v>1.528136350202E-129</v>
      </c>
      <c r="BG118" s="742">
        <v>3.1866768718352302E-248</v>
      </c>
      <c r="BH118" s="742">
        <v>9.4414198076764492E-16</v>
      </c>
      <c r="BI118" s="742">
        <v>2.6325321638235499E-248</v>
      </c>
      <c r="BJ118" s="742">
        <v>8.4866653313598405E-129</v>
      </c>
      <c r="BK118" s="742">
        <v>2.0845388776969599E-138</v>
      </c>
      <c r="BL118" s="742">
        <v>2.0398701381871702E-15</v>
      </c>
      <c r="BM118" s="742">
        <v>2.6325192346970101E-248</v>
      </c>
      <c r="BN118" s="742">
        <v>-1.0578291653187601E-118</v>
      </c>
      <c r="BO118" s="742">
        <v>-1.02586742581593E-119</v>
      </c>
      <c r="BP118" s="742">
        <v>0.23829041193714501</v>
      </c>
      <c r="BQ118" s="742">
        <v>2.6428964453129601E-248</v>
      </c>
      <c r="BR118" s="742">
        <v>-2.56857074998405E-56</v>
      </c>
      <c r="BS118" s="742">
        <v>1.7799749932873298E-52</v>
      </c>
      <c r="BT118" s="742">
        <v>9.3420418073954005E-16</v>
      </c>
      <c r="BU118" s="742">
        <v>2.6632429829021901E-248</v>
      </c>
      <c r="BV118" s="742">
        <v>-5.6829429272066799E-117</v>
      </c>
      <c r="BW118" s="742">
        <v>-2.4406566169035198E-117</v>
      </c>
      <c r="BX118" s="742">
        <v>2.0314487058261E-15</v>
      </c>
      <c r="BY118" s="742">
        <v>2.6632284705629601E-248</v>
      </c>
      <c r="BZ118" s="742">
        <v>-4.33602642426454E-116</v>
      </c>
      <c r="CA118" s="742">
        <v>-1.7884160132770599E-117</v>
      </c>
      <c r="CB118" s="742">
        <v>0.23829038010373799</v>
      </c>
      <c r="CC118" s="742">
        <v>2.6433604227247501E-248</v>
      </c>
      <c r="CD118" s="742">
        <v>-3.3728206574148103E-55</v>
      </c>
      <c r="CE118" s="742">
        <v>3.21369169444547E-52</v>
      </c>
      <c r="CF118" s="742">
        <v>2.4013053190177901E-15</v>
      </c>
      <c r="CG118" s="742">
        <v>2.9674375740180901E-248</v>
      </c>
      <c r="CH118" s="742">
        <v>2.0614427457889099E-122</v>
      </c>
      <c r="CI118" s="742">
        <v>-8.56310111193831E-118</v>
      </c>
      <c r="CJ118" s="742">
        <v>2.23881499464203E-15</v>
      </c>
      <c r="CK118" s="742">
        <v>2.9674407363447301E-248</v>
      </c>
      <c r="CL118" s="742">
        <v>-1.1914343637837699E-118</v>
      </c>
      <c r="CM118" s="742">
        <v>-8.5572844178624192E-118</v>
      </c>
      <c r="CN118" s="742">
        <v>2.4013053190177901E-15</v>
      </c>
      <c r="CO118" s="742">
        <v>2.96743730733216E-248</v>
      </c>
      <c r="CP118" s="742">
        <v>2.06144273581918E-122</v>
      </c>
      <c r="CQ118" s="742">
        <v>-8.5631009300515405E-118</v>
      </c>
      <c r="CR118" s="742">
        <v>0.23832299690914999</v>
      </c>
      <c r="CS118" s="742">
        <v>8.81493627214383E-248</v>
      </c>
      <c r="CT118" s="742">
        <v>1.35622470647772E-128</v>
      </c>
      <c r="CU118" s="742">
        <v>6.9084842295185E-248</v>
      </c>
      <c r="CV118" s="742">
        <v>1.4042725156138699E-247</v>
      </c>
      <c r="CW118" s="742">
        <v>1.3817261379828501E-128</v>
      </c>
      <c r="CX118" s="742">
        <v>1.1003717273987799E-247</v>
      </c>
      <c r="CY118" s="742">
        <v>0.23832291433150099</v>
      </c>
      <c r="CZ118" s="742">
        <v>1.13401789520512E-247</v>
      </c>
      <c r="DA118" s="742">
        <v>-4.9201190036508201E-54</v>
      </c>
      <c r="DB118" s="742">
        <v>8.2263236541987894E-49</v>
      </c>
      <c r="DC118" s="742">
        <v>0.23832320694968701</v>
      </c>
      <c r="DD118" s="742">
        <v>1.13419818384132E-247</v>
      </c>
      <c r="DE118" s="742">
        <v>-4.4843291643295298E-51</v>
      </c>
      <c r="DF118" s="742">
        <v>7.4088954418468299E-46</v>
      </c>
      <c r="DG118" s="742">
        <v>0.238323247217093</v>
      </c>
      <c r="DH118" s="742">
        <v>1.13439763726307E-247</v>
      </c>
      <c r="DI118" s="742">
        <v>-1.4295687326976701E-50</v>
      </c>
      <c r="DJ118" s="742">
        <v>2.36191036307635E-45</v>
      </c>
      <c r="DK118" s="742">
        <v>9.8848191196688703E-14</v>
      </c>
      <c r="DL118" s="742">
        <v>1.18757169814827E-247</v>
      </c>
      <c r="DM118" s="742">
        <v>6.1596775437148805E-122</v>
      </c>
      <c r="DN118" s="742">
        <v>-8.8029720459988097E-118</v>
      </c>
      <c r="DO118" s="742">
        <v>0.238322997109055</v>
      </c>
      <c r="DP118" s="742">
        <v>4.3255120957013101E-247</v>
      </c>
      <c r="DQ118" s="742">
        <v>6.0029050909634404E-128</v>
      </c>
      <c r="DR118" s="742">
        <v>7.6127471892967297E-246</v>
      </c>
      <c r="DS118" s="742">
        <v>6.2806138690491502E-246</v>
      </c>
      <c r="DT118" s="742">
        <v>6.3300240086953499E-128</v>
      </c>
      <c r="DU118" s="742">
        <v>-6.2831681947768801E-245</v>
      </c>
      <c r="DV118" s="742">
        <v>0.23832357761981601</v>
      </c>
      <c r="DW118" s="742">
        <v>2.5977276535298298E-246</v>
      </c>
      <c r="DX118" s="742">
        <v>-1.1492860552649201E-50</v>
      </c>
      <c r="DY118" s="742">
        <v>1.53590433271841E-44</v>
      </c>
      <c r="DZ118" s="742">
        <v>0.238323741736164</v>
      </c>
      <c r="EA118" s="742">
        <v>2.5981280512318101E-246</v>
      </c>
      <c r="EB118" s="742">
        <v>-8.1315343135349798E-48</v>
      </c>
      <c r="EC118" s="742">
        <v>1.0751361004338701E-41</v>
      </c>
      <c r="ED118" s="742">
        <v>0.23832378204118701</v>
      </c>
      <c r="EE118" s="742">
        <v>2.59857481226612E-246</v>
      </c>
      <c r="EF118" s="742">
        <v>-3.2590178562165998E-41</v>
      </c>
      <c r="EG118" s="742">
        <v>5.3865502601298599E-36</v>
      </c>
      <c r="EH118" s="742">
        <v>2.8614445343845901E-14</v>
      </c>
      <c r="EI118" s="742">
        <v>3.6017319342407902E-246</v>
      </c>
      <c r="EJ118" s="742">
        <v>-2.67965530037021E-117</v>
      </c>
      <c r="EK118" s="742">
        <v>-9.1991148766337792E-118</v>
      </c>
      <c r="EL118" s="742">
        <v>0.238323951375885</v>
      </c>
      <c r="EM118" s="742">
        <v>3.0657723117413702E-247</v>
      </c>
      <c r="EN118" s="742">
        <v>3.5587447718793598E-128</v>
      </c>
      <c r="EO118" s="742">
        <v>2.06085008699945E-247</v>
      </c>
      <c r="EP118" s="742">
        <v>3.8344093783910498E-247</v>
      </c>
      <c r="EQ118" s="742">
        <v>3.5944663178166E-128</v>
      </c>
      <c r="ER118" s="742">
        <v>2.5774891057471501E-247</v>
      </c>
      <c r="ES118" s="742">
        <v>0.23832650786448301</v>
      </c>
      <c r="ET118" s="742">
        <v>3.49095820938116E-247</v>
      </c>
      <c r="EU118" s="742">
        <v>-1.28478939403577E-56</v>
      </c>
      <c r="EV118" s="742">
        <v>8.7493790179321308E-50</v>
      </c>
      <c r="EW118" s="742">
        <v>0.23832651919780301</v>
      </c>
      <c r="EX118" s="742">
        <v>3.4914771244480101E-247</v>
      </c>
      <c r="EY118" s="742">
        <v>-1.46991170800619E-53</v>
      </c>
      <c r="EZ118" s="742">
        <v>8.9669659745988291E-47</v>
      </c>
      <c r="FA118" s="742">
        <v>0.23832655951221501</v>
      </c>
      <c r="FB118" s="742">
        <v>3.4920667903246902E-247</v>
      </c>
      <c r="FC118" s="742">
        <v>-3.6882974200606602E-53</v>
      </c>
      <c r="FD118" s="742">
        <v>2.5516237383481801E-46</v>
      </c>
      <c r="FE118" s="742">
        <v>6.4238662012389796E-12</v>
      </c>
      <c r="FF118" s="742">
        <v>3.5329500194068699E-247</v>
      </c>
      <c r="FG118" s="742">
        <v>1.99966439968668E-122</v>
      </c>
      <c r="FH118" s="742">
        <v>-9.0016668582029007E-118</v>
      </c>
    </row>
    <row r="119" spans="1:164" ht="12.75" customHeight="1" x14ac:dyDescent="0.2">
      <c r="A119" s="489"/>
      <c r="B119" s="514"/>
      <c r="C119" s="514"/>
      <c r="D119" s="514"/>
      <c r="E119" s="514"/>
      <c r="F119" s="744"/>
      <c r="G119" s="745"/>
      <c r="H119" s="506"/>
      <c r="I119" s="750">
        <v>8208372.8491786802</v>
      </c>
      <c r="J119" s="742">
        <v>0.22543715125101699</v>
      </c>
      <c r="K119" s="742">
        <v>-3.6581436193535499E-250</v>
      </c>
      <c r="L119" s="742">
        <v>-1.7708747297960701E-131</v>
      </c>
      <c r="M119" s="742">
        <v>-5.4369442320405097E-250</v>
      </c>
      <c r="N119" s="742">
        <v>-5.8276507544368502E-250</v>
      </c>
      <c r="O119" s="742">
        <v>-1.8041729024594601E-131</v>
      </c>
      <c r="P119" s="742">
        <v>-8.6614034194670206E-250</v>
      </c>
      <c r="Q119" s="742">
        <v>6.1785341331125903E-17</v>
      </c>
      <c r="R119" s="742">
        <v>-4.1565318999178297E-250</v>
      </c>
      <c r="S119" s="742">
        <v>-6.5062952113703298E-131</v>
      </c>
      <c r="T119" s="742">
        <v>7.2482352810931003E-139</v>
      </c>
      <c r="U119" s="742">
        <v>3.5235586334104697E-18</v>
      </c>
      <c r="V119" s="742">
        <v>-4.31835935657237E-253</v>
      </c>
      <c r="W119" s="742">
        <v>3.5462951828854201E-121</v>
      </c>
      <c r="X119" s="742">
        <v>8.0993928032600401E-122</v>
      </c>
      <c r="Y119" s="742">
        <v>0.19323476445451099</v>
      </c>
      <c r="Z119" s="742">
        <v>-3.1061119349495401E-250</v>
      </c>
      <c r="AA119" s="742">
        <v>1.0985918072090399E-61</v>
      </c>
      <c r="AB119" s="742">
        <v>-3.3615116539960399E-58</v>
      </c>
      <c r="AC119" s="742">
        <v>2.91703172079545E-19</v>
      </c>
      <c r="AD119" s="742">
        <v>-4.6375086761899401E-250</v>
      </c>
      <c r="AE119" s="742">
        <v>1.69260883504332E-118</v>
      </c>
      <c r="AF119" s="742">
        <v>1.34423114801851E-118</v>
      </c>
      <c r="AG119" s="742">
        <v>3.3713235348648001E-18</v>
      </c>
      <c r="AH119" s="742">
        <v>-4.8180694094669598E-253</v>
      </c>
      <c r="AI119" s="742">
        <v>2.2889237443657199E-118</v>
      </c>
      <c r="AJ119" s="742">
        <v>8.8994132045772698E-119</v>
      </c>
      <c r="AK119" s="742">
        <v>0.19255491662674501</v>
      </c>
      <c r="AL119" s="742">
        <v>-3.1260068760891302E-250</v>
      </c>
      <c r="AM119" s="742">
        <v>2.5948234355534901E-61</v>
      </c>
      <c r="AN119" s="742">
        <v>-7.9455793912437803E-58</v>
      </c>
      <c r="AO119" s="742">
        <v>1.5469928458159299E-16</v>
      </c>
      <c r="AP119" s="742">
        <v>-4.59235880737766E-250</v>
      </c>
      <c r="AQ119" s="742">
        <v>-5.2929530869420201E-124</v>
      </c>
      <c r="AR119" s="742">
        <v>4.83163109499587E-119</v>
      </c>
      <c r="AS119" s="742">
        <v>4.3815915412845503E-18</v>
      </c>
      <c r="AT119" s="742">
        <v>-4.5779427740984102E-252</v>
      </c>
      <c r="AU119" s="742">
        <v>2.4924865013834201E-120</v>
      </c>
      <c r="AV119" s="742">
        <v>4.6093303722977299E-119</v>
      </c>
      <c r="AW119" s="742">
        <v>1.5469928458159299E-16</v>
      </c>
      <c r="AX119" s="742">
        <v>-4.5923640644985599E-250</v>
      </c>
      <c r="AY119" s="742">
        <v>-5.2929532933020096E-124</v>
      </c>
      <c r="AZ119" s="742">
        <v>4.8316309965930899E-119</v>
      </c>
      <c r="BA119" s="742">
        <v>0.23337914720294101</v>
      </c>
      <c r="BB119" s="742">
        <v>-1.3760350032295799E-249</v>
      </c>
      <c r="BC119" s="742">
        <v>-8.6867575211741596E-131</v>
      </c>
      <c r="BD119" s="742">
        <v>-1.1644689065518701E-249</v>
      </c>
      <c r="BE119" s="742">
        <v>-2.19210748205729E-249</v>
      </c>
      <c r="BF119" s="742">
        <v>-8.8500970597839002E-131</v>
      </c>
      <c r="BG119" s="742">
        <v>-1.8550724233728001E-249</v>
      </c>
      <c r="BH119" s="742">
        <v>9.2526845708220194E-16</v>
      </c>
      <c r="BI119" s="742">
        <v>-1.53248481130888E-249</v>
      </c>
      <c r="BJ119" s="742">
        <v>-4.9149939028873498E-130</v>
      </c>
      <c r="BK119" s="742">
        <v>-1.2084006833394701E-139</v>
      </c>
      <c r="BL119" s="742">
        <v>1.9990928629970599E-15</v>
      </c>
      <c r="BM119" s="742">
        <v>-1.53247756790444E-249</v>
      </c>
      <c r="BN119" s="742">
        <v>6.1164879945496802E-120</v>
      </c>
      <c r="BO119" s="742">
        <v>5.9301831200665304E-121</v>
      </c>
      <c r="BP119" s="742">
        <v>0.23352695493033601</v>
      </c>
      <c r="BQ119" s="742">
        <v>-1.5385168159887301E-249</v>
      </c>
      <c r="BR119" s="742">
        <v>1.48187163874227E-57</v>
      </c>
      <c r="BS119" s="742">
        <v>-1.02691456000692E-53</v>
      </c>
      <c r="BT119" s="742">
        <v>9.1552931499753307E-16</v>
      </c>
      <c r="BU119" s="742">
        <v>-1.5503620606808999E-249</v>
      </c>
      <c r="BV119" s="742">
        <v>3.2847564457339699E-118</v>
      </c>
      <c r="BW119" s="742">
        <v>1.41070616872908E-118</v>
      </c>
      <c r="BX119" s="742">
        <v>1.9908397761882102E-15</v>
      </c>
      <c r="BY119" s="742">
        <v>-1.5503537046589101E-249</v>
      </c>
      <c r="BZ119" s="742">
        <v>2.5066637208499E-117</v>
      </c>
      <c r="CA119" s="742">
        <v>1.0338605308656399E-118</v>
      </c>
      <c r="CB119" s="742">
        <v>0.23352692373328399</v>
      </c>
      <c r="CC119" s="742">
        <v>-1.53878823020153E-249</v>
      </c>
      <c r="CD119" s="742">
        <v>1.94821543748709E-56</v>
      </c>
      <c r="CE119" s="742">
        <v>-1.8480460872039799E-53</v>
      </c>
      <c r="CF119" s="742">
        <v>2.3533029065229899E-15</v>
      </c>
      <c r="CG119" s="742">
        <v>-1.7274435835054901E-249</v>
      </c>
      <c r="CH119" s="742">
        <v>-1.1925982383822901E-123</v>
      </c>
      <c r="CI119" s="742">
        <v>4.9493905808270898E-119</v>
      </c>
      <c r="CJ119" s="742">
        <v>2.1940607853287801E-15</v>
      </c>
      <c r="CK119" s="742">
        <v>-1.7274469224908899E-249</v>
      </c>
      <c r="CL119" s="742">
        <v>6.8894912776529707E-120</v>
      </c>
      <c r="CM119" s="742">
        <v>4.9460280991921498E-119</v>
      </c>
      <c r="CN119" s="742">
        <v>2.3533029065229899E-15</v>
      </c>
      <c r="CO119" s="742">
        <v>-1.7274455988406199E-249</v>
      </c>
      <c r="CP119" s="742">
        <v>-1.19259823648697E-123</v>
      </c>
      <c r="CQ119" s="742">
        <v>4.9493904575332699E-119</v>
      </c>
      <c r="CR119" s="742">
        <v>0.23355888852442</v>
      </c>
      <c r="CS119" s="742">
        <v>-5.1314739575405395E-249</v>
      </c>
      <c r="CT119" s="742">
        <v>-7.8544819682484996E-130</v>
      </c>
      <c r="CU119" s="742">
        <v>-4.0216587617793999E-249</v>
      </c>
      <c r="CV119" s="742">
        <v>-8.1747414084438601E-249</v>
      </c>
      <c r="CW119" s="742">
        <v>-8.0021716498507098E-130</v>
      </c>
      <c r="CX119" s="742">
        <v>-6.40562942487117E-249</v>
      </c>
      <c r="CY119" s="742">
        <v>0.23355880759750899</v>
      </c>
      <c r="CZ119" s="742">
        <v>-6.6015043141264804E-249</v>
      </c>
      <c r="DA119" s="742">
        <v>2.84051433380615E-55</v>
      </c>
      <c r="DB119" s="742">
        <v>-4.7492819092058699E-50</v>
      </c>
      <c r="DC119" s="742">
        <v>0.23355909436621899</v>
      </c>
      <c r="DD119" s="742">
        <v>-6.6025558160467801E-249</v>
      </c>
      <c r="DE119" s="742">
        <v>2.5901242300082101E-52</v>
      </c>
      <c r="DF119" s="742">
        <v>-4.2793380796399E-47</v>
      </c>
      <c r="DG119" s="742">
        <v>0.23355913382867399</v>
      </c>
      <c r="DH119" s="742">
        <v>-6.6037204563014904E-249</v>
      </c>
      <c r="DI119" s="742">
        <v>8.2422546637745405E-52</v>
      </c>
      <c r="DJ119" s="742">
        <v>-1.3617720463870401E-46</v>
      </c>
      <c r="DK119" s="742">
        <v>9.6872202716336406E-14</v>
      </c>
      <c r="DL119" s="742">
        <v>-6.9132533352374603E-249</v>
      </c>
      <c r="DM119" s="742">
        <v>-3.5635336802094499E-123</v>
      </c>
      <c r="DN119" s="742">
        <v>5.0880337343467998E-119</v>
      </c>
      <c r="DO119" s="742">
        <v>0.23355888872032901</v>
      </c>
      <c r="DP119" s="742">
        <v>-2.51802364501369E-248</v>
      </c>
      <c r="DQ119" s="742">
        <v>-3.4765410293378299E-129</v>
      </c>
      <c r="DR119" s="742">
        <v>-4.4316182951563298E-247</v>
      </c>
      <c r="DS119" s="742">
        <v>-3.6560415463968497E-247</v>
      </c>
      <c r="DT119" s="742">
        <v>-3.6659898282423303E-129</v>
      </c>
      <c r="DU119" s="742">
        <v>3.6577164412839501E-246</v>
      </c>
      <c r="DV119" s="742">
        <v>0.23355945762660199</v>
      </c>
      <c r="DW119" s="742">
        <v>-1.5121830332671201E-247</v>
      </c>
      <c r="DX119" s="742">
        <v>6.6391881971581199E-52</v>
      </c>
      <c r="DY119" s="742">
        <v>-8.8726171744321702E-46</v>
      </c>
      <c r="DZ119" s="742">
        <v>0.23355961846224199</v>
      </c>
      <c r="EA119" s="742">
        <v>-1.51241447280119E-247</v>
      </c>
      <c r="EB119" s="742">
        <v>4.6990385583128298E-49</v>
      </c>
      <c r="EC119" s="742">
        <v>-6.2129803325069902E-43</v>
      </c>
      <c r="ED119" s="742">
        <v>0.233559657961563</v>
      </c>
      <c r="EE119" s="742">
        <v>-1.5126745727605201E-247</v>
      </c>
      <c r="EF119" s="742">
        <v>1.8838149747188501E-42</v>
      </c>
      <c r="EG119" s="742">
        <v>-3.1135957842976199E-37</v>
      </c>
      <c r="EH119" s="742">
        <v>2.8042438778155601E-14</v>
      </c>
      <c r="EI119" s="742">
        <v>-2.0966275475788E-247</v>
      </c>
      <c r="EJ119" s="742">
        <v>1.5493724575558399E-118</v>
      </c>
      <c r="EK119" s="742">
        <v>5.3170004170801704E-119</v>
      </c>
      <c r="EL119" s="742">
        <v>0.233559823911238</v>
      </c>
      <c r="EM119" s="742">
        <v>-1.78468676118212E-248</v>
      </c>
      <c r="EN119" s="742">
        <v>-2.06102263066181E-129</v>
      </c>
      <c r="EO119" s="742">
        <v>-1.1996883987202599E-248</v>
      </c>
      <c r="EP119" s="742">
        <v>-2.2321353779918301E-248</v>
      </c>
      <c r="EQ119" s="742">
        <v>-2.0817105081391401E-129</v>
      </c>
      <c r="ER119" s="742">
        <v>-1.5004409465856299E-248</v>
      </c>
      <c r="ES119" s="742">
        <v>0.233562329295289</v>
      </c>
      <c r="ET119" s="742">
        <v>-2.0322030330455702E-248</v>
      </c>
      <c r="EU119" s="742">
        <v>7.4107701663857804E-58</v>
      </c>
      <c r="EV119" s="742">
        <v>-5.0479519511957097E-51</v>
      </c>
      <c r="EW119" s="742">
        <v>0.23356234040205501</v>
      </c>
      <c r="EX119" s="742">
        <v>-2.03250436239963E-248</v>
      </c>
      <c r="EY119" s="742">
        <v>8.4841955016518398E-55</v>
      </c>
      <c r="EZ119" s="742">
        <v>-5.1761742124460301E-48</v>
      </c>
      <c r="FA119" s="742">
        <v>0.23356237991057699</v>
      </c>
      <c r="FB119" s="742">
        <v>-2.0328468326340699E-248</v>
      </c>
      <c r="FC119" s="742">
        <v>2.1244396759534201E-54</v>
      </c>
      <c r="FD119" s="742">
        <v>-1.4703885572719801E-47</v>
      </c>
      <c r="FE119" s="742">
        <v>6.2954522620530299E-12</v>
      </c>
      <c r="FF119" s="742">
        <v>-2.0566461248071601E-248</v>
      </c>
      <c r="FG119" s="742">
        <v>-1.15758386393814E-123</v>
      </c>
      <c r="FH119" s="742">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O2378"/>
  <sheetViews>
    <sheetView zoomScaleNormal="100" workbookViewId="0">
      <pane ySplit="4" topLeftCell="A5" activePane="bottomLeft" state="frozen"/>
      <selection pane="bottomLeft" activeCell="D24" sqref="D24"/>
    </sheetView>
  </sheetViews>
  <sheetFormatPr defaultColWidth="9.140625" defaultRowHeight="12.75" customHeight="1" x14ac:dyDescent="0.2"/>
  <cols>
    <col min="1" max="1" width="5.85546875" style="24" customWidth="1" collapsed="1"/>
    <col min="2" max="2" width="31.42578125" style="11" customWidth="1" collapsed="1"/>
    <col min="3" max="3" width="11.28515625" style="23" bestFit="1" customWidth="1" collapsed="1"/>
    <col min="4" max="4" width="10.28515625" style="19" customWidth="1" collapsed="1"/>
    <col min="5" max="5" width="8.140625" style="536" customWidth="1" collapsed="1"/>
    <col min="6" max="6" width="6.7109375" style="24" customWidth="1" collapsed="1"/>
    <col min="7" max="7" width="7.85546875" style="24" bestFit="1" customWidth="1" collapsed="1"/>
    <col min="8" max="11" width="8.140625" style="12" customWidth="1" collapsed="1"/>
    <col min="12" max="16" width="8" style="12" customWidth="1" collapsed="1"/>
    <col min="17" max="17" width="8.85546875" style="12" customWidth="1" collapsed="1"/>
    <col min="18" max="18" width="12" style="12" customWidth="1" collapsed="1"/>
    <col min="19" max="19" width="10" style="12" customWidth="1" collapsed="1"/>
    <col min="20" max="20" width="9.5703125" style="12" customWidth="1" collapsed="1"/>
    <col min="21" max="21" width="10.85546875" style="248" bestFit="1" customWidth="1" collapsed="1"/>
    <col min="22" max="22" width="11.7109375" style="249" customWidth="1" collapsed="1"/>
    <col min="23" max="23" width="11.7109375" style="245" customWidth="1" collapsed="1"/>
    <col min="24" max="24" width="9.7109375" style="253" customWidth="1" collapsed="1"/>
    <col min="25" max="25" width="12" style="254" customWidth="1" collapsed="1"/>
    <col min="26" max="26" width="9.28515625" style="254" customWidth="1" collapsed="1"/>
    <col min="27" max="27" width="5.140625" style="292" hidden="1" customWidth="1" collapsed="1"/>
    <col min="28" max="28" width="5.140625" style="292" customWidth="1"/>
    <col min="29" max="29" width="3.7109375" style="11" customWidth="1" collapsed="1"/>
    <col min="30" max="31" width="9.140625" style="11" collapsed="1"/>
    <col min="32" max="32" width="11.7109375" style="11" customWidth="1" collapsed="1"/>
    <col min="33" max="82" width="9.140625" style="11" collapsed="1"/>
    <col min="83" max="83" width="9.140625" style="11"/>
    <col min="84" max="16384" width="9.140625" style="11" collapsed="1"/>
  </cols>
  <sheetData>
    <row r="1" spans="1:93" ht="12.75" customHeight="1" x14ac:dyDescent="0.25">
      <c r="A1" s="516" t="s">
        <v>4224</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93" ht="12.75" customHeight="1" thickBot="1" x14ac:dyDescent="0.2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93" ht="12.75" customHeight="1" x14ac:dyDescent="0.2">
      <c r="A3" s="255" t="s">
        <v>4225</v>
      </c>
      <c r="B3" s="219" t="s">
        <v>4226</v>
      </c>
      <c r="C3" s="220" t="s">
        <v>4227</v>
      </c>
      <c r="D3" s="518" t="s">
        <v>530</v>
      </c>
      <c r="E3" s="519" t="s">
        <v>548</v>
      </c>
      <c r="F3" s="519" t="s">
        <v>533</v>
      </c>
      <c r="G3" s="221" t="s">
        <v>591</v>
      </c>
      <c r="H3" s="222" t="s">
        <v>577</v>
      </c>
      <c r="I3" s="222" t="s">
        <v>585</v>
      </c>
      <c r="J3" s="223" t="s">
        <v>4228</v>
      </c>
      <c r="K3" s="223" t="s">
        <v>544</v>
      </c>
      <c r="L3" s="223" t="s">
        <v>4229</v>
      </c>
      <c r="M3" s="223" t="s">
        <v>4230</v>
      </c>
      <c r="N3" s="223" t="s">
        <v>4231</v>
      </c>
      <c r="O3" s="223" t="s">
        <v>4232</v>
      </c>
      <c r="P3" s="223" t="s">
        <v>4233</v>
      </c>
      <c r="Q3" s="222" t="s">
        <v>4234</v>
      </c>
      <c r="R3" s="222" t="s">
        <v>4235</v>
      </c>
      <c r="S3" s="222" t="s">
        <v>4236</v>
      </c>
      <c r="T3" s="222" t="s">
        <v>4237</v>
      </c>
      <c r="U3" s="247" t="s">
        <v>4238</v>
      </c>
      <c r="V3" s="247" t="s">
        <v>4239</v>
      </c>
      <c r="W3" s="223" t="s">
        <v>4240</v>
      </c>
      <c r="X3" s="252" t="s">
        <v>4241</v>
      </c>
      <c r="Y3" s="252" t="s">
        <v>4242</v>
      </c>
      <c r="Z3" s="252" t="s">
        <v>4243</v>
      </c>
      <c r="AA3" s="290"/>
      <c r="AB3" s="738"/>
      <c r="AC3" s="224"/>
      <c r="AD3" s="786" t="s">
        <v>282</v>
      </c>
      <c r="AE3" s="786" t="s">
        <v>286</v>
      </c>
      <c r="AF3" s="605" t="s">
        <v>290</v>
      </c>
      <c r="AG3" s="675" t="s">
        <v>295</v>
      </c>
      <c r="AH3" s="675" t="s">
        <v>299</v>
      </c>
      <c r="AI3" s="605" t="s">
        <v>301</v>
      </c>
      <c r="AJ3" s="605" t="s">
        <v>303</v>
      </c>
      <c r="AK3" s="605" t="s">
        <v>305</v>
      </c>
      <c r="AL3" s="605" t="s">
        <v>307</v>
      </c>
      <c r="AM3" s="605" t="s">
        <v>309</v>
      </c>
      <c r="AN3" s="605" t="s">
        <v>311</v>
      </c>
      <c r="AO3" s="605" t="s">
        <v>313</v>
      </c>
      <c r="AP3" s="605" t="s">
        <v>315</v>
      </c>
      <c r="AQ3" s="605" t="s">
        <v>317</v>
      </c>
      <c r="AR3" s="605" t="s">
        <v>319</v>
      </c>
      <c r="AS3" s="605" t="s">
        <v>321</v>
      </c>
      <c r="AT3" s="605" t="s">
        <v>323</v>
      </c>
      <c r="AU3" s="605" t="s">
        <v>325</v>
      </c>
      <c r="AV3" s="605" t="s">
        <v>327</v>
      </c>
      <c r="AW3" s="605" t="s">
        <v>329</v>
      </c>
      <c r="AX3" s="605" t="s">
        <v>331</v>
      </c>
      <c r="AY3" s="605" t="s">
        <v>333</v>
      </c>
      <c r="AZ3" s="677" t="s">
        <v>335</v>
      </c>
      <c r="BA3" s="605" t="s">
        <v>339</v>
      </c>
      <c r="BB3" s="605" t="s">
        <v>362</v>
      </c>
      <c r="BC3" s="605" t="s">
        <v>364</v>
      </c>
      <c r="BD3" s="605" t="s">
        <v>343</v>
      </c>
      <c r="BE3" s="605" t="s">
        <v>366</v>
      </c>
      <c r="BF3" s="605" t="s">
        <v>368</v>
      </c>
      <c r="BG3" s="605" t="s">
        <v>345</v>
      </c>
      <c r="BH3" s="605" t="s">
        <v>370</v>
      </c>
      <c r="BI3" s="605" t="s">
        <v>372</v>
      </c>
      <c r="BJ3" s="605" t="s">
        <v>347</v>
      </c>
      <c r="BK3" s="605" t="s">
        <v>374</v>
      </c>
      <c r="BL3" s="605" t="s">
        <v>376</v>
      </c>
      <c r="BM3" s="605" t="s">
        <v>349</v>
      </c>
      <c r="BN3" s="605" t="s">
        <v>378</v>
      </c>
      <c r="BO3" s="605" t="s">
        <v>380</v>
      </c>
      <c r="BP3" s="605" t="s">
        <v>351</v>
      </c>
      <c r="BQ3" s="605" t="s">
        <v>382</v>
      </c>
      <c r="BR3" s="605" t="s">
        <v>384</v>
      </c>
      <c r="BS3" s="605" t="s">
        <v>353</v>
      </c>
      <c r="BT3" s="605" t="s">
        <v>386</v>
      </c>
      <c r="BU3" s="605" t="s">
        <v>388</v>
      </c>
      <c r="BV3" s="605" t="s">
        <v>355</v>
      </c>
      <c r="BW3" s="605" t="s">
        <v>390</v>
      </c>
      <c r="BX3" s="605" t="s">
        <v>392</v>
      </c>
      <c r="BY3" s="605" t="s">
        <v>357</v>
      </c>
      <c r="BZ3" s="605" t="s">
        <v>394</v>
      </c>
      <c r="CA3" s="605" t="s">
        <v>396</v>
      </c>
      <c r="CB3" s="605" t="s">
        <v>359</v>
      </c>
      <c r="CC3" s="605" t="s">
        <v>398</v>
      </c>
      <c r="CD3" s="677" t="s">
        <v>400</v>
      </c>
      <c r="CE3" s="568" t="s">
        <v>403</v>
      </c>
      <c r="CF3" s="568" t="s">
        <v>409</v>
      </c>
      <c r="CG3" s="568" t="s">
        <v>411</v>
      </c>
      <c r="CH3" s="568" t="s">
        <v>417</v>
      </c>
      <c r="CI3" s="568" t="s">
        <v>423</v>
      </c>
      <c r="CJ3" s="568" t="s">
        <v>425</v>
      </c>
      <c r="CK3" s="568" t="s">
        <v>427</v>
      </c>
      <c r="CL3" s="568" t="s">
        <v>433</v>
      </c>
      <c r="CM3" s="568" t="s">
        <v>435</v>
      </c>
      <c r="CN3" s="568" t="s">
        <v>437</v>
      </c>
      <c r="CO3" s="568" t="s">
        <v>443</v>
      </c>
    </row>
    <row r="4" spans="1:93" ht="12.75" customHeight="1" x14ac:dyDescent="0.2">
      <c r="A4" s="520"/>
      <c r="B4" s="521"/>
      <c r="C4" s="522"/>
      <c r="D4" s="523"/>
      <c r="E4" s="524" t="s">
        <v>297</v>
      </c>
      <c r="F4" s="520" t="s">
        <v>4244</v>
      </c>
      <c r="G4" s="525" t="s">
        <v>4245</v>
      </c>
      <c r="H4" s="523" t="s">
        <v>579</v>
      </c>
      <c r="I4" s="523" t="s">
        <v>4246</v>
      </c>
      <c r="J4" s="523" t="s">
        <v>297</v>
      </c>
      <c r="K4" s="523" t="s">
        <v>297</v>
      </c>
      <c r="L4" s="523" t="s">
        <v>297</v>
      </c>
      <c r="M4" s="526" t="s">
        <v>1098</v>
      </c>
      <c r="N4" s="526" t="s">
        <v>1098</v>
      </c>
      <c r="O4" s="526" t="s">
        <v>1098</v>
      </c>
      <c r="P4" s="526" t="s">
        <v>1098</v>
      </c>
      <c r="Q4" s="523" t="s">
        <v>1048</v>
      </c>
      <c r="R4" s="523" t="s">
        <v>1048</v>
      </c>
      <c r="S4" s="523" t="s">
        <v>1048</v>
      </c>
      <c r="T4" s="523" t="s">
        <v>1048</v>
      </c>
      <c r="U4" s="527" t="s">
        <v>139</v>
      </c>
      <c r="V4" s="527" t="s">
        <v>139</v>
      </c>
      <c r="W4" s="526" t="s">
        <v>4247</v>
      </c>
      <c r="X4" s="528" t="s">
        <v>297</v>
      </c>
      <c r="Y4" s="528" t="s">
        <v>297</v>
      </c>
      <c r="Z4" s="528" t="s">
        <v>297</v>
      </c>
      <c r="AA4" s="529"/>
      <c r="AB4" s="739"/>
      <c r="AC4" s="224"/>
      <c r="AD4" s="786" t="s">
        <v>283</v>
      </c>
      <c r="AE4" s="786" t="s">
        <v>287</v>
      </c>
      <c r="AF4" s="605" t="s">
        <v>291</v>
      </c>
      <c r="AG4" s="605" t="s">
        <v>296</v>
      </c>
      <c r="AH4" s="605" t="s">
        <v>296</v>
      </c>
      <c r="AI4" s="605" t="s">
        <v>296</v>
      </c>
      <c r="AJ4" s="605" t="s">
        <v>296</v>
      </c>
      <c r="AK4" s="605" t="s">
        <v>296</v>
      </c>
      <c r="AL4" s="605" t="s">
        <v>296</v>
      </c>
      <c r="AM4" s="605" t="s">
        <v>296</v>
      </c>
      <c r="AN4" s="605" t="s">
        <v>296</v>
      </c>
      <c r="AO4" s="605" t="s">
        <v>296</v>
      </c>
      <c r="AP4" s="605" t="s">
        <v>296</v>
      </c>
      <c r="AQ4" s="605" t="s">
        <v>296</v>
      </c>
      <c r="AR4" s="605" t="s">
        <v>296</v>
      </c>
      <c r="AS4" s="605" t="s">
        <v>296</v>
      </c>
      <c r="AT4" s="605" t="s">
        <v>296</v>
      </c>
      <c r="AU4" s="605" t="s">
        <v>296</v>
      </c>
      <c r="AV4" s="605" t="s">
        <v>296</v>
      </c>
      <c r="AW4" s="605" t="s">
        <v>296</v>
      </c>
      <c r="AX4" s="605" t="s">
        <v>296</v>
      </c>
      <c r="AY4" s="605" t="s">
        <v>296</v>
      </c>
      <c r="AZ4" s="677" t="s">
        <v>296</v>
      </c>
      <c r="BA4" s="605" t="s">
        <v>340</v>
      </c>
      <c r="BB4" s="605" t="s">
        <v>340</v>
      </c>
      <c r="BC4" s="605" t="s">
        <v>340</v>
      </c>
      <c r="BD4" s="605" t="s">
        <v>340</v>
      </c>
      <c r="BE4" s="605" t="s">
        <v>340</v>
      </c>
      <c r="BF4" s="605" t="s">
        <v>340</v>
      </c>
      <c r="BG4" s="605" t="s">
        <v>340</v>
      </c>
      <c r="BH4" s="605" t="s">
        <v>340</v>
      </c>
      <c r="BI4" s="605" t="s">
        <v>340</v>
      </c>
      <c r="BJ4" s="605" t="s">
        <v>340</v>
      </c>
      <c r="BK4" s="605" t="s">
        <v>340</v>
      </c>
      <c r="BL4" s="605" t="s">
        <v>340</v>
      </c>
      <c r="BM4" s="605" t="s">
        <v>340</v>
      </c>
      <c r="BN4" s="605" t="s">
        <v>340</v>
      </c>
      <c r="BO4" s="605" t="s">
        <v>340</v>
      </c>
      <c r="BP4" s="605" t="s">
        <v>340</v>
      </c>
      <c r="BQ4" s="605" t="s">
        <v>340</v>
      </c>
      <c r="BR4" s="605" t="s">
        <v>340</v>
      </c>
      <c r="BS4" s="605" t="s">
        <v>340</v>
      </c>
      <c r="BT4" s="605" t="s">
        <v>340</v>
      </c>
      <c r="BU4" s="605" t="s">
        <v>340</v>
      </c>
      <c r="BV4" s="605" t="s">
        <v>340</v>
      </c>
      <c r="BW4" s="605" t="s">
        <v>340</v>
      </c>
      <c r="BX4" s="605" t="s">
        <v>340</v>
      </c>
      <c r="BY4" s="605" t="s">
        <v>340</v>
      </c>
      <c r="BZ4" s="605" t="s">
        <v>340</v>
      </c>
      <c r="CA4" s="605" t="s">
        <v>340</v>
      </c>
      <c r="CB4" s="605" t="s">
        <v>340</v>
      </c>
      <c r="CC4" s="605" t="s">
        <v>340</v>
      </c>
      <c r="CD4" s="677" t="s">
        <v>340</v>
      </c>
      <c r="CE4" s="568" t="s">
        <v>340</v>
      </c>
      <c r="CF4" s="568" t="s">
        <v>340</v>
      </c>
      <c r="CG4" s="568" t="s">
        <v>340</v>
      </c>
      <c r="CH4" s="568" t="s">
        <v>340</v>
      </c>
      <c r="CI4" s="568" t="s">
        <v>340</v>
      </c>
      <c r="CJ4" s="568" t="s">
        <v>340</v>
      </c>
      <c r="CK4" s="568" t="s">
        <v>340</v>
      </c>
      <c r="CL4" s="568" t="s">
        <v>340</v>
      </c>
      <c r="CM4" s="568" t="s">
        <v>340</v>
      </c>
      <c r="CN4" s="568" t="s">
        <v>340</v>
      </c>
      <c r="CO4" s="568" t="s">
        <v>340</v>
      </c>
    </row>
    <row r="5" spans="1:93" ht="12.75" customHeight="1" x14ac:dyDescent="0.2">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93" ht="12.75" customHeight="1" x14ac:dyDescent="0.2">
      <c r="A6" s="532">
        <f>ChemRowNr</f>
        <v>10</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53" t="e">
        <f t="shared" si="0"/>
        <v>#N/A</v>
      </c>
      <c r="AE6" s="853" t="e">
        <f t="shared" si="0"/>
        <v>#N/A</v>
      </c>
      <c r="AF6" s="853" t="e">
        <f t="shared" si="0"/>
        <v>#N/A</v>
      </c>
      <c r="AG6" s="853" t="e">
        <f t="shared" si="0"/>
        <v>#N/A</v>
      </c>
      <c r="AH6" s="853" t="e">
        <f t="shared" ref="AH6:BM6" si="1">IF(ISBLANK(VLOOKUP($A6,$A$8:$CD$57,COLUMN(),0)),"",VLOOKUP($A6,$A$8:$CD$57,COLUMN(),0))</f>
        <v>#N/A</v>
      </c>
      <c r="AI6" s="853" t="e">
        <f t="shared" si="1"/>
        <v>#N/A</v>
      </c>
      <c r="AJ6" s="853" t="e">
        <f t="shared" si="1"/>
        <v>#N/A</v>
      </c>
      <c r="AK6" s="853" t="e">
        <f t="shared" si="1"/>
        <v>#N/A</v>
      </c>
      <c r="AL6" s="853" t="e">
        <f t="shared" si="1"/>
        <v>#N/A</v>
      </c>
      <c r="AM6" s="853" t="e">
        <f t="shared" si="1"/>
        <v>#N/A</v>
      </c>
      <c r="AN6" s="853" t="e">
        <f t="shared" si="1"/>
        <v>#N/A</v>
      </c>
      <c r="AO6" s="853" t="e">
        <f t="shared" si="1"/>
        <v>#N/A</v>
      </c>
      <c r="AP6" s="853" t="e">
        <f t="shared" si="1"/>
        <v>#N/A</v>
      </c>
      <c r="AQ6" s="853" t="e">
        <f t="shared" si="1"/>
        <v>#N/A</v>
      </c>
      <c r="AR6" s="853" t="e">
        <f t="shared" si="1"/>
        <v>#N/A</v>
      </c>
      <c r="AS6" s="853" t="e">
        <f t="shared" si="1"/>
        <v>#N/A</v>
      </c>
      <c r="AT6" s="853" t="e">
        <f t="shared" si="1"/>
        <v>#N/A</v>
      </c>
      <c r="AU6" s="853" t="e">
        <f t="shared" si="1"/>
        <v>#N/A</v>
      </c>
      <c r="AV6" s="853" t="e">
        <f t="shared" si="1"/>
        <v>#N/A</v>
      </c>
      <c r="AW6" s="853" t="e">
        <f t="shared" si="1"/>
        <v>#N/A</v>
      </c>
      <c r="AX6" s="853" t="e">
        <f t="shared" si="1"/>
        <v>#N/A</v>
      </c>
      <c r="AY6" s="853" t="e">
        <f t="shared" si="1"/>
        <v>#N/A</v>
      </c>
      <c r="AZ6" s="853" t="e">
        <f t="shared" si="1"/>
        <v>#N/A</v>
      </c>
      <c r="BA6" s="853" t="e">
        <f t="shared" si="1"/>
        <v>#N/A</v>
      </c>
      <c r="BB6" s="853" t="e">
        <f t="shared" si="1"/>
        <v>#N/A</v>
      </c>
      <c r="BC6" s="853" t="e">
        <f t="shared" si="1"/>
        <v>#N/A</v>
      </c>
      <c r="BD6" s="853" t="e">
        <f t="shared" si="1"/>
        <v>#N/A</v>
      </c>
      <c r="BE6" s="853" t="e">
        <f t="shared" si="1"/>
        <v>#N/A</v>
      </c>
      <c r="BF6" s="853" t="e">
        <f t="shared" si="1"/>
        <v>#N/A</v>
      </c>
      <c r="BG6" s="853" t="e">
        <f t="shared" si="1"/>
        <v>#N/A</v>
      </c>
      <c r="BH6" s="853" t="e">
        <f t="shared" si="1"/>
        <v>#N/A</v>
      </c>
      <c r="BI6" s="853" t="e">
        <f t="shared" si="1"/>
        <v>#N/A</v>
      </c>
      <c r="BJ6" s="853" t="e">
        <f t="shared" si="1"/>
        <v>#N/A</v>
      </c>
      <c r="BK6" s="853" t="e">
        <f t="shared" si="1"/>
        <v>#N/A</v>
      </c>
      <c r="BL6" s="853" t="e">
        <f t="shared" si="1"/>
        <v>#N/A</v>
      </c>
      <c r="BM6" s="853" t="e">
        <f t="shared" si="1"/>
        <v>#N/A</v>
      </c>
      <c r="BN6" s="853" t="e">
        <f t="shared" ref="BN6:CC6" si="2">IF(ISBLANK(VLOOKUP($A6,$A$8:$CD$57,COLUMN(),0)),"",VLOOKUP($A6,$A$8:$CD$57,COLUMN(),0))</f>
        <v>#N/A</v>
      </c>
      <c r="BO6" s="853" t="e">
        <f t="shared" si="2"/>
        <v>#N/A</v>
      </c>
      <c r="BP6" s="853" t="e">
        <f t="shared" si="2"/>
        <v>#N/A</v>
      </c>
      <c r="BQ6" s="853" t="e">
        <f t="shared" si="2"/>
        <v>#N/A</v>
      </c>
      <c r="BR6" s="853" t="e">
        <f t="shared" si="2"/>
        <v>#N/A</v>
      </c>
      <c r="BS6" s="853" t="e">
        <f t="shared" si="2"/>
        <v>#N/A</v>
      </c>
      <c r="BT6" s="853" t="e">
        <f t="shared" si="2"/>
        <v>#N/A</v>
      </c>
      <c r="BU6" s="853" t="e">
        <f t="shared" si="2"/>
        <v>#N/A</v>
      </c>
      <c r="BV6" s="853" t="e">
        <f t="shared" si="2"/>
        <v>#N/A</v>
      </c>
      <c r="BW6" s="853" t="e">
        <f t="shared" si="2"/>
        <v>#N/A</v>
      </c>
      <c r="BX6" s="853" t="e">
        <f t="shared" si="2"/>
        <v>#N/A</v>
      </c>
      <c r="BY6" s="853" t="e">
        <f t="shared" si="2"/>
        <v>#N/A</v>
      </c>
      <c r="BZ6" s="853" t="e">
        <f t="shared" si="2"/>
        <v>#N/A</v>
      </c>
      <c r="CA6" s="853" t="e">
        <f t="shared" si="2"/>
        <v>#N/A</v>
      </c>
      <c r="CB6" s="853" t="e">
        <f t="shared" si="2"/>
        <v>#N/A</v>
      </c>
      <c r="CC6" s="853" t="e">
        <f t="shared" si="2"/>
        <v>#N/A</v>
      </c>
      <c r="CD6" s="853" t="e">
        <f t="shared" ref="CD6:CO6" si="3">IF(ISBLANK(VLOOKUP($A6,$A$8:$CO$57,COLUMN(),0)),"",VLOOKUP($A6,$A$8:$CO$57,COLUMN(),0))</f>
        <v>#N/A</v>
      </c>
      <c r="CE6" s="853" t="e">
        <f t="shared" si="3"/>
        <v>#N/A</v>
      </c>
      <c r="CF6" s="853" t="e">
        <f t="shared" si="3"/>
        <v>#N/A</v>
      </c>
      <c r="CG6" s="853" t="e">
        <f t="shared" si="3"/>
        <v>#N/A</v>
      </c>
      <c r="CH6" s="853" t="e">
        <f t="shared" si="3"/>
        <v>#N/A</v>
      </c>
      <c r="CI6" s="853" t="e">
        <f t="shared" si="3"/>
        <v>#N/A</v>
      </c>
      <c r="CJ6" s="853" t="e">
        <f t="shared" si="3"/>
        <v>#N/A</v>
      </c>
      <c r="CK6" s="853" t="e">
        <f t="shared" si="3"/>
        <v>#N/A</v>
      </c>
      <c r="CL6" s="853" t="e">
        <f t="shared" si="3"/>
        <v>#N/A</v>
      </c>
      <c r="CM6" s="853" t="e">
        <f t="shared" si="3"/>
        <v>#N/A</v>
      </c>
      <c r="CN6" s="853" t="e">
        <f t="shared" si="3"/>
        <v>#N/A</v>
      </c>
      <c r="CO6" s="853" t="e">
        <f t="shared" si="3"/>
        <v>#N/A</v>
      </c>
    </row>
    <row r="7" spans="1:93" ht="12.75" customHeight="1" x14ac:dyDescent="0.2">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7"/>
      <c r="AF7" s="788"/>
    </row>
    <row r="8" spans="1:93" ht="12.75" customHeight="1" x14ac:dyDescent="0.2">
      <c r="A8" s="242">
        <v>1</v>
      </c>
      <c r="B8" s="260" t="s">
        <v>272</v>
      </c>
      <c r="C8" s="260"/>
      <c r="D8" s="260" t="s">
        <v>4248</v>
      </c>
      <c r="E8" s="263" t="s">
        <v>4249</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4">A8</f>
        <v>1</v>
      </c>
      <c r="AB8" s="291">
        <v>1</v>
      </c>
      <c r="AC8" s="224"/>
      <c r="AE8" s="787"/>
      <c r="AF8" s="788"/>
    </row>
    <row r="9" spans="1:93" ht="12.75" customHeight="1" x14ac:dyDescent="0.2">
      <c r="A9" s="241">
        <v>2</v>
      </c>
      <c r="B9" s="260" t="s">
        <v>4250</v>
      </c>
      <c r="C9" s="260"/>
      <c r="D9" s="260" t="s">
        <v>4248</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5">1/3</f>
        <v>0.33333333333333331</v>
      </c>
      <c r="Y9" s="224">
        <f t="shared" si="5"/>
        <v>0.33333333333333331</v>
      </c>
      <c r="Z9" s="224">
        <f t="shared" si="5"/>
        <v>0.33333333333333331</v>
      </c>
      <c r="AA9" s="291">
        <f t="shared" si="4"/>
        <v>2</v>
      </c>
      <c r="AB9" s="291">
        <v>2</v>
      </c>
      <c r="AC9" s="224"/>
      <c r="AE9" s="790"/>
      <c r="AF9"/>
    </row>
    <row r="10" spans="1:93" ht="12.75" customHeight="1" x14ac:dyDescent="0.2">
      <c r="A10" s="241">
        <v>3</v>
      </c>
      <c r="B10" s="260" t="s">
        <v>4251</v>
      </c>
      <c r="C10" s="260"/>
      <c r="D10" s="260" t="s">
        <v>4252</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5"/>
        <v>0.33333333333333331</v>
      </c>
      <c r="Y10" s="224">
        <f t="shared" si="5"/>
        <v>0.33333333333333331</v>
      </c>
      <c r="Z10" s="224">
        <f t="shared" si="5"/>
        <v>0.33333333333333331</v>
      </c>
      <c r="AA10" s="291">
        <f t="shared" si="4"/>
        <v>3</v>
      </c>
      <c r="AB10" s="291">
        <v>3</v>
      </c>
      <c r="AC10" s="215"/>
      <c r="AD10" s="793"/>
      <c r="AE10" s="791"/>
      <c r="AF10" s="172"/>
    </row>
    <row r="11" spans="1:93" ht="12.75" customHeight="1" x14ac:dyDescent="0.2">
      <c r="A11" s="241">
        <v>4</v>
      </c>
      <c r="B11" s="260" t="s">
        <v>4253</v>
      </c>
      <c r="C11" s="260"/>
      <c r="D11" s="260" t="s">
        <v>4254</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5"/>
        <v>0.33333333333333331</v>
      </c>
      <c r="Y11" s="224">
        <f t="shared" si="5"/>
        <v>0.33333333333333331</v>
      </c>
      <c r="Z11" s="224">
        <f t="shared" si="5"/>
        <v>0.33333333333333331</v>
      </c>
      <c r="AA11" s="291">
        <f t="shared" si="4"/>
        <v>4</v>
      </c>
      <c r="AB11" s="291">
        <v>4</v>
      </c>
      <c r="AC11" s="215"/>
      <c r="AD11" s="793"/>
      <c r="AE11" s="791"/>
      <c r="AF11" s="172"/>
    </row>
    <row r="12" spans="1:93" ht="12.75" customHeight="1" x14ac:dyDescent="0.2">
      <c r="A12" s="241">
        <v>5</v>
      </c>
      <c r="B12" s="260" t="s">
        <v>4255</v>
      </c>
      <c r="C12" s="260"/>
      <c r="D12" s="260" t="s">
        <v>4256</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5"/>
        <v>0.33333333333333331</v>
      </c>
      <c r="Y12" s="224">
        <f t="shared" si="5"/>
        <v>0.33333333333333331</v>
      </c>
      <c r="Z12" s="224">
        <f t="shared" si="5"/>
        <v>0.33333333333333331</v>
      </c>
      <c r="AA12" s="291">
        <f t="shared" si="4"/>
        <v>5</v>
      </c>
      <c r="AB12" s="291">
        <v>5</v>
      </c>
      <c r="AC12" s="215"/>
      <c r="AD12" s="793"/>
      <c r="AE12" s="789"/>
      <c r="AF12" s="172"/>
    </row>
    <row r="13" spans="1:93" ht="12.75" customHeight="1" x14ac:dyDescent="0.2">
      <c r="A13" s="241">
        <v>6</v>
      </c>
      <c r="B13" s="216" t="s">
        <v>271</v>
      </c>
      <c r="C13" s="260"/>
      <c r="D13" s="609" t="s">
        <v>602</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5"/>
        <v>0.33333333333333331</v>
      </c>
      <c r="Y13" s="224">
        <f t="shared" si="5"/>
        <v>0.33333333333333331</v>
      </c>
      <c r="Z13" s="224">
        <f t="shared" si="5"/>
        <v>0.33333333333333331</v>
      </c>
      <c r="AA13" s="291">
        <f t="shared" ref="AA13:AA14" si="6">A13</f>
        <v>6</v>
      </c>
      <c r="AB13" s="291">
        <v>6</v>
      </c>
      <c r="AC13" s="215"/>
      <c r="AD13" s="794">
        <f>AVERAGE(AD17:AD25)</f>
        <v>35.642857142857146</v>
      </c>
      <c r="AE13" s="794">
        <f t="shared" ref="AE13:CO13" si="7">AVERAGE(AE17:AE25)</f>
        <v>5850</v>
      </c>
      <c r="AF13" s="794">
        <f t="shared" si="7"/>
        <v>1.6957142857142856E-20</v>
      </c>
      <c r="AG13" s="794">
        <f t="shared" si="7"/>
        <v>0.18914285714285714</v>
      </c>
      <c r="AH13" s="794">
        <f t="shared" si="7"/>
        <v>0.44428571428571423</v>
      </c>
      <c r="AI13" s="794">
        <f t="shared" si="7"/>
        <v>0.24571428571428575</v>
      </c>
      <c r="AJ13" s="794">
        <f t="shared" si="7"/>
        <v>0.44285714285714278</v>
      </c>
      <c r="AK13" s="794">
        <f t="shared" si="7"/>
        <v>1</v>
      </c>
      <c r="AL13" s="794">
        <f t="shared" si="7"/>
        <v>1</v>
      </c>
      <c r="AM13" s="794">
        <f t="shared" si="7"/>
        <v>1</v>
      </c>
      <c r="AN13" s="794">
        <f t="shared" si="7"/>
        <v>1</v>
      </c>
      <c r="AO13" s="794">
        <f t="shared" si="7"/>
        <v>0.29774285714285714</v>
      </c>
      <c r="AP13" s="794">
        <f t="shared" si="7"/>
        <v>0.34774285714285719</v>
      </c>
      <c r="AQ13" s="794">
        <f t="shared" si="7"/>
        <v>0.14645714285714287</v>
      </c>
      <c r="AR13" s="794">
        <f t="shared" si="7"/>
        <v>0.33917142857142857</v>
      </c>
      <c r="AS13" s="794">
        <f t="shared" si="7"/>
        <v>0.14502857142857145</v>
      </c>
      <c r="AT13" s="794">
        <f t="shared" si="7"/>
        <v>0.33774285714285712</v>
      </c>
      <c r="AU13" s="794">
        <f t="shared" si="7"/>
        <v>0.10057194285714287</v>
      </c>
      <c r="AV13" s="794">
        <f t="shared" si="7"/>
        <v>0.47857142857142854</v>
      </c>
      <c r="AW13" s="794">
        <f t="shared" si="7"/>
        <v>0.15714337142857143</v>
      </c>
      <c r="AX13" s="794">
        <f t="shared" si="7"/>
        <v>0.47714285714285715</v>
      </c>
      <c r="AY13" s="794">
        <f t="shared" si="7"/>
        <v>0.9</v>
      </c>
      <c r="AZ13" s="794">
        <f t="shared" si="7"/>
        <v>1</v>
      </c>
      <c r="BA13" s="794">
        <f t="shared" si="7"/>
        <v>2.7342858571428572E-7</v>
      </c>
      <c r="BB13" s="794">
        <f t="shared" si="7"/>
        <v>4.400001666666666E-8</v>
      </c>
      <c r="BC13" s="794">
        <f t="shared" si="7"/>
        <v>4.400001666666666E-8</v>
      </c>
      <c r="BD13" s="794">
        <f t="shared" si="7"/>
        <v>2.7342858571428572E-7</v>
      </c>
      <c r="BE13" s="794">
        <f t="shared" si="7"/>
        <v>4.400001666666666E-8</v>
      </c>
      <c r="BF13" s="794">
        <f t="shared" si="7"/>
        <v>4.400001666666666E-8</v>
      </c>
      <c r="BG13" s="794">
        <f t="shared" si="7"/>
        <v>3.6071428714285719E-6</v>
      </c>
      <c r="BH13" s="794">
        <f t="shared" si="7"/>
        <v>3.9333333500000002E-6</v>
      </c>
      <c r="BI13" s="794">
        <f t="shared" si="7"/>
        <v>3.9333333500000002E-6</v>
      </c>
      <c r="BJ13" s="794">
        <f t="shared" si="7"/>
        <v>1.5342857285714283E-6</v>
      </c>
      <c r="BK13" s="794">
        <f t="shared" si="7"/>
        <v>1.62333335E-6</v>
      </c>
      <c r="BL13" s="794">
        <f t="shared" si="7"/>
        <v>1.62333335E-6</v>
      </c>
      <c r="BM13" s="794">
        <f t="shared" si="7"/>
        <v>1.5342857285714283E-6</v>
      </c>
      <c r="BN13" s="794">
        <f t="shared" si="7"/>
        <v>1.62333335E-6</v>
      </c>
      <c r="BO13" s="794">
        <f t="shared" si="7"/>
        <v>1.62333335E-6</v>
      </c>
      <c r="BP13" s="794">
        <f t="shared" si="7"/>
        <v>1.5342857285714283E-6</v>
      </c>
      <c r="BQ13" s="794">
        <f t="shared" si="7"/>
        <v>1.62333335E-6</v>
      </c>
      <c r="BR13" s="794">
        <f t="shared" si="7"/>
        <v>1.62333335E-6</v>
      </c>
      <c r="BS13" s="794">
        <f t="shared" si="7"/>
        <v>1.8057144285714284E-7</v>
      </c>
      <c r="BT13" s="794">
        <f t="shared" si="7"/>
        <v>4.400001666666666E-8</v>
      </c>
      <c r="BU13" s="794">
        <f t="shared" si="7"/>
        <v>4.400001666666666E-8</v>
      </c>
      <c r="BV13" s="794">
        <f t="shared" si="7"/>
        <v>1.8057144285714284E-7</v>
      </c>
      <c r="BW13" s="794">
        <f t="shared" si="7"/>
        <v>4.400001666666666E-8</v>
      </c>
      <c r="BX13" s="794">
        <f t="shared" si="7"/>
        <v>4.400001666666666E-8</v>
      </c>
      <c r="BY13" s="794">
        <f t="shared" si="7"/>
        <v>3.514285728571429E-6</v>
      </c>
      <c r="BZ13" s="794">
        <f t="shared" si="7"/>
        <v>3.9333333500000002E-6</v>
      </c>
      <c r="CA13" s="794">
        <f t="shared" si="7"/>
        <v>3.9333333500000002E-6</v>
      </c>
      <c r="CB13" s="794">
        <f t="shared" si="7"/>
        <v>3.6071428714285719E-6</v>
      </c>
      <c r="CC13" s="794">
        <f t="shared" si="7"/>
        <v>3.9333333500000002E-6</v>
      </c>
      <c r="CD13" s="794">
        <f t="shared" si="7"/>
        <v>3.9333333500000002E-6</v>
      </c>
      <c r="CE13" s="794">
        <f t="shared" si="7"/>
        <v>0</v>
      </c>
      <c r="CF13" s="794">
        <f t="shared" si="7"/>
        <v>0</v>
      </c>
      <c r="CG13" s="794">
        <f t="shared" si="7"/>
        <v>0</v>
      </c>
      <c r="CH13" s="794">
        <f t="shared" si="7"/>
        <v>0</v>
      </c>
      <c r="CI13" s="794">
        <f t="shared" si="7"/>
        <v>0</v>
      </c>
      <c r="CJ13" s="794">
        <f t="shared" si="7"/>
        <v>0</v>
      </c>
      <c r="CK13" s="794">
        <f t="shared" si="7"/>
        <v>0</v>
      </c>
      <c r="CL13" s="794">
        <f t="shared" si="7"/>
        <v>0</v>
      </c>
      <c r="CM13" s="794">
        <f t="shared" si="7"/>
        <v>0</v>
      </c>
      <c r="CN13" s="794">
        <f t="shared" si="7"/>
        <v>0</v>
      </c>
      <c r="CO13" s="794">
        <f t="shared" si="7"/>
        <v>0</v>
      </c>
    </row>
    <row r="14" spans="1:93" s="386" customFormat="1" ht="12.75" customHeight="1" x14ac:dyDescent="0.2">
      <c r="A14" s="905">
        <v>7</v>
      </c>
      <c r="B14" s="609" t="s">
        <v>4257</v>
      </c>
      <c r="C14" s="609"/>
      <c r="D14" s="609" t="s">
        <v>602</v>
      </c>
      <c r="E14" s="906"/>
      <c r="F14" s="905"/>
      <c r="G14" s="905"/>
      <c r="H14" s="907"/>
      <c r="I14" s="907"/>
      <c r="J14" s="907"/>
      <c r="K14" s="907"/>
      <c r="L14" s="907"/>
      <c r="M14" s="907"/>
      <c r="N14" s="907"/>
      <c r="O14" s="907"/>
      <c r="P14" s="907"/>
      <c r="Q14" s="907"/>
      <c r="R14" s="907"/>
      <c r="S14" s="907"/>
      <c r="T14" s="907"/>
      <c r="U14" s="908"/>
      <c r="V14" s="909"/>
      <c r="W14" s="910"/>
      <c r="X14" s="911"/>
      <c r="Y14" s="911"/>
      <c r="Z14" s="911"/>
      <c r="AA14" s="912">
        <f t="shared" si="6"/>
        <v>7</v>
      </c>
      <c r="AB14" s="912"/>
      <c r="AC14" s="384"/>
      <c r="AD14" s="913"/>
      <c r="AE14" s="913"/>
      <c r="AF14" s="913"/>
      <c r="AG14" s="913"/>
      <c r="AH14" s="913"/>
      <c r="AI14" s="913"/>
      <c r="AJ14" s="913"/>
      <c r="AK14" s="913"/>
      <c r="AL14" s="913"/>
      <c r="AM14" s="913"/>
      <c r="AN14" s="913"/>
      <c r="AO14" s="913"/>
      <c r="AP14" s="913"/>
      <c r="AQ14" s="913"/>
      <c r="AR14" s="913"/>
      <c r="AS14" s="913"/>
      <c r="AT14" s="913"/>
      <c r="AU14" s="913"/>
      <c r="AV14" s="913"/>
      <c r="AW14" s="913"/>
      <c r="AX14" s="913"/>
      <c r="AY14" s="913"/>
      <c r="AZ14" s="913"/>
      <c r="BA14" s="913"/>
      <c r="BB14" s="913"/>
      <c r="BC14" s="913"/>
      <c r="BD14" s="913"/>
      <c r="BE14" s="913"/>
      <c r="BF14" s="913"/>
      <c r="BG14" s="913"/>
      <c r="BH14" s="913"/>
      <c r="BI14" s="913"/>
      <c r="BJ14" s="913"/>
      <c r="BK14" s="913"/>
      <c r="BL14" s="913"/>
      <c r="BM14" s="913"/>
      <c r="BN14" s="913"/>
      <c r="BO14" s="913"/>
      <c r="BP14" s="913"/>
      <c r="BQ14" s="913"/>
      <c r="BR14" s="913"/>
      <c r="BS14" s="913"/>
      <c r="BT14" s="913"/>
      <c r="BU14" s="913"/>
      <c r="BV14" s="913"/>
      <c r="BW14" s="913"/>
      <c r="BX14" s="913"/>
      <c r="BY14" s="913"/>
      <c r="BZ14" s="913"/>
      <c r="CA14" s="913"/>
      <c r="CB14" s="913"/>
      <c r="CC14" s="913"/>
      <c r="CD14" s="913"/>
      <c r="CE14" s="913"/>
      <c r="CF14" s="913"/>
      <c r="CG14" s="913"/>
      <c r="CH14" s="913"/>
      <c r="CI14" s="913"/>
      <c r="CJ14" s="913"/>
      <c r="CK14" s="913"/>
      <c r="CL14" s="913"/>
      <c r="CM14" s="913"/>
      <c r="CN14" s="913"/>
      <c r="CO14" s="913"/>
    </row>
    <row r="15" spans="1:93" ht="12.75" customHeight="1" x14ac:dyDescent="0.2">
      <c r="A15" s="520">
        <v>8</v>
      </c>
      <c r="B15" s="521" t="s">
        <v>4258</v>
      </c>
      <c r="C15" s="521"/>
      <c r="D15" s="521"/>
      <c r="E15" s="554"/>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5">
        <v>0.44070556766650409</v>
      </c>
      <c r="W15" s="556">
        <v>30000</v>
      </c>
      <c r="X15" s="557">
        <f t="shared" si="5"/>
        <v>0.33333333333333331</v>
      </c>
      <c r="Y15" s="557">
        <f t="shared" si="5"/>
        <v>0.33333333333333331</v>
      </c>
      <c r="Z15" s="557">
        <f t="shared" si="5"/>
        <v>0.33333333333333331</v>
      </c>
      <c r="AA15" s="291">
        <f t="shared" si="4"/>
        <v>8</v>
      </c>
      <c r="AB15" s="291">
        <v>7</v>
      </c>
      <c r="AC15" s="224"/>
      <c r="AD15" s="794"/>
      <c r="AE15" s="789"/>
      <c r="AF15" s="172"/>
    </row>
    <row r="16" spans="1:93" ht="12.75" customHeight="1" x14ac:dyDescent="0.2">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3"/>
      <c r="AE16" s="789"/>
      <c r="AF16" s="172"/>
    </row>
    <row r="17" spans="1:93" ht="12.75" customHeight="1" x14ac:dyDescent="0.2">
      <c r="A17" s="241">
        <v>11</v>
      </c>
      <c r="B17" s="216" t="s">
        <v>4259</v>
      </c>
      <c r="C17" s="260"/>
      <c r="D17" s="216" t="s">
        <v>4260</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8">1/3</f>
        <v>0.33333333333333331</v>
      </c>
      <c r="Y17" s="224">
        <f t="shared" si="8"/>
        <v>0.33333333333333331</v>
      </c>
      <c r="Z17" s="224">
        <f t="shared" si="8"/>
        <v>0.33333333333333331</v>
      </c>
      <c r="AA17" s="291"/>
      <c r="AB17" s="241">
        <v>11</v>
      </c>
      <c r="AC17" s="224"/>
      <c r="AD17" s="852">
        <v>75</v>
      </c>
      <c r="AE17" s="852">
        <v>4230</v>
      </c>
      <c r="AF17" s="852">
        <v>1.9999999999999999E-20</v>
      </c>
      <c r="AG17" s="851">
        <v>0.02</v>
      </c>
      <c r="AH17" s="851">
        <v>0.02</v>
      </c>
      <c r="AI17" s="851">
        <v>0.01</v>
      </c>
      <c r="AJ17" s="851">
        <v>0.01</v>
      </c>
      <c r="AK17" s="851">
        <v>1</v>
      </c>
      <c r="AL17" s="851">
        <v>1</v>
      </c>
      <c r="AM17" s="851">
        <v>1</v>
      </c>
      <c r="AN17" s="851">
        <v>1</v>
      </c>
      <c r="AO17" s="852">
        <v>0.33600000000000002</v>
      </c>
      <c r="AP17" s="852">
        <v>0.33600000000000002</v>
      </c>
      <c r="AQ17" s="852">
        <v>0.33600000000000002</v>
      </c>
      <c r="AR17" s="852">
        <v>0.33600000000000002</v>
      </c>
      <c r="AS17" s="852">
        <v>0.33600000000000002</v>
      </c>
      <c r="AT17" s="852">
        <v>0.33600000000000002</v>
      </c>
      <c r="AU17" s="851">
        <v>0.02</v>
      </c>
      <c r="AV17" s="851">
        <v>0.02</v>
      </c>
      <c r="AW17" s="851">
        <v>0.01</v>
      </c>
      <c r="AX17" s="851">
        <v>0.01</v>
      </c>
      <c r="AY17" s="851">
        <v>1</v>
      </c>
      <c r="AZ17" s="851">
        <v>1</v>
      </c>
      <c r="BA17" s="851">
        <v>0</v>
      </c>
      <c r="BB17" s="851">
        <v>0</v>
      </c>
      <c r="BC17" s="851">
        <v>0</v>
      </c>
      <c r="BD17" s="851">
        <v>0</v>
      </c>
      <c r="BE17" s="851">
        <v>0</v>
      </c>
      <c r="BF17" s="851">
        <v>0</v>
      </c>
      <c r="BG17" s="851">
        <v>0</v>
      </c>
      <c r="BH17" s="851">
        <v>0</v>
      </c>
      <c r="BI17" s="851">
        <v>0</v>
      </c>
      <c r="BJ17" s="851">
        <v>0</v>
      </c>
      <c r="BK17" s="851">
        <v>0</v>
      </c>
      <c r="BL17" s="851">
        <v>0</v>
      </c>
      <c r="BM17" s="851">
        <v>0</v>
      </c>
      <c r="BN17" s="851">
        <v>0</v>
      </c>
      <c r="BO17" s="851">
        <v>0</v>
      </c>
      <c r="BP17" s="851">
        <v>0</v>
      </c>
      <c r="BQ17" s="851">
        <v>0</v>
      </c>
      <c r="BR17" s="851">
        <v>0</v>
      </c>
      <c r="BS17" s="851">
        <v>0</v>
      </c>
      <c r="BT17" s="851">
        <v>0</v>
      </c>
      <c r="BU17" s="851">
        <v>0</v>
      </c>
      <c r="BV17" s="851">
        <v>0</v>
      </c>
      <c r="BW17" s="851">
        <v>0</v>
      </c>
      <c r="BX17" s="851">
        <v>0</v>
      </c>
      <c r="BY17" s="851">
        <v>0</v>
      </c>
      <c r="BZ17" s="851">
        <v>0</v>
      </c>
      <c r="CA17" s="851">
        <v>0</v>
      </c>
      <c r="CB17" s="851">
        <v>0</v>
      </c>
      <c r="CC17" s="851">
        <v>0</v>
      </c>
      <c r="CD17" s="851">
        <v>0</v>
      </c>
      <c r="CE17" s="851">
        <v>0</v>
      </c>
      <c r="CF17" s="851">
        <v>0</v>
      </c>
      <c r="CG17" s="851">
        <v>0</v>
      </c>
      <c r="CH17" s="851">
        <v>0</v>
      </c>
      <c r="CI17" s="851">
        <v>0</v>
      </c>
      <c r="CJ17" s="851">
        <v>0</v>
      </c>
      <c r="CK17" s="851">
        <v>0</v>
      </c>
      <c r="CL17" s="851">
        <v>0</v>
      </c>
      <c r="CM17" s="851">
        <v>0</v>
      </c>
      <c r="CN17" s="851">
        <v>0</v>
      </c>
      <c r="CO17" s="851">
        <v>0</v>
      </c>
    </row>
    <row r="18" spans="1:93" ht="12.75" customHeight="1" x14ac:dyDescent="0.2">
      <c r="A18" s="241">
        <v>12</v>
      </c>
      <c r="B18" s="216" t="s">
        <v>4261</v>
      </c>
      <c r="C18" s="260"/>
      <c r="D18" s="216" t="s">
        <v>4260</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8"/>
        <v>0.33333333333333331</v>
      </c>
      <c r="Y18" s="224">
        <f t="shared" si="8"/>
        <v>0.33333333333333331</v>
      </c>
      <c r="Z18" s="224">
        <f t="shared" si="8"/>
        <v>0.33333333333333331</v>
      </c>
      <c r="AA18" s="291"/>
      <c r="AB18" s="241">
        <v>11</v>
      </c>
      <c r="AC18" s="224"/>
      <c r="AD18" s="852">
        <v>9.5</v>
      </c>
      <c r="AE18" s="852">
        <v>4230</v>
      </c>
      <c r="AF18" s="852">
        <v>6.9000000000000004E-21</v>
      </c>
      <c r="AG18" s="851">
        <v>0.3</v>
      </c>
      <c r="AH18" s="851">
        <v>1</v>
      </c>
      <c r="AI18" s="851">
        <v>0.3</v>
      </c>
      <c r="AJ18" s="851">
        <v>1</v>
      </c>
      <c r="AK18" s="851" t="s">
        <v>4249</v>
      </c>
      <c r="AL18" s="851" t="s">
        <v>4249</v>
      </c>
      <c r="AM18" s="851" t="s">
        <v>4249</v>
      </c>
      <c r="AN18" s="851" t="s">
        <v>4249</v>
      </c>
      <c r="AO18" s="852">
        <v>1</v>
      </c>
      <c r="AP18" s="852">
        <v>1</v>
      </c>
      <c r="AQ18" s="852">
        <v>1E-3</v>
      </c>
      <c r="AR18" s="852">
        <v>1</v>
      </c>
      <c r="AS18" s="852">
        <v>1E-3</v>
      </c>
      <c r="AT18" s="852">
        <v>1</v>
      </c>
      <c r="AU18" s="851">
        <v>0.3</v>
      </c>
      <c r="AV18" s="851">
        <v>1</v>
      </c>
      <c r="AW18" s="851">
        <v>0.3</v>
      </c>
      <c r="AX18" s="851">
        <v>1</v>
      </c>
      <c r="AY18" s="851">
        <v>0.3</v>
      </c>
      <c r="AZ18" s="851">
        <v>1</v>
      </c>
      <c r="BA18" s="851">
        <v>0</v>
      </c>
      <c r="BB18" s="851">
        <v>0</v>
      </c>
      <c r="BC18" s="851">
        <v>0</v>
      </c>
      <c r="BD18" s="851">
        <v>0</v>
      </c>
      <c r="BE18" s="851">
        <v>0</v>
      </c>
      <c r="BF18" s="851">
        <v>0</v>
      </c>
      <c r="BG18" s="851">
        <v>0</v>
      </c>
      <c r="BH18" s="851">
        <v>0</v>
      </c>
      <c r="BI18" s="851">
        <v>0</v>
      </c>
      <c r="BJ18" s="851">
        <v>0</v>
      </c>
      <c r="BK18" s="851">
        <v>0</v>
      </c>
      <c r="BL18" s="851">
        <v>0</v>
      </c>
      <c r="BM18" s="851">
        <v>0</v>
      </c>
      <c r="BN18" s="851">
        <v>0</v>
      </c>
      <c r="BO18" s="851">
        <v>0</v>
      </c>
      <c r="BP18" s="851">
        <v>0</v>
      </c>
      <c r="BQ18" s="851">
        <v>0</v>
      </c>
      <c r="BR18" s="851">
        <v>0</v>
      </c>
      <c r="BS18" s="851">
        <v>0</v>
      </c>
      <c r="BT18" s="851">
        <v>0</v>
      </c>
      <c r="BU18" s="851">
        <v>0</v>
      </c>
      <c r="BV18" s="851">
        <v>0</v>
      </c>
      <c r="BW18" s="851">
        <v>0</v>
      </c>
      <c r="BX18" s="851">
        <v>0</v>
      </c>
      <c r="BY18" s="851">
        <v>0</v>
      </c>
      <c r="BZ18" s="851">
        <v>0</v>
      </c>
      <c r="CA18" s="851">
        <v>0</v>
      </c>
      <c r="CB18" s="851">
        <v>0</v>
      </c>
      <c r="CC18" s="851">
        <v>0</v>
      </c>
      <c r="CD18" s="851">
        <v>0</v>
      </c>
      <c r="CE18" s="851"/>
      <c r="CF18" s="851"/>
      <c r="CG18" s="851"/>
      <c r="CH18" s="851"/>
      <c r="CI18" s="851"/>
      <c r="CJ18" s="851"/>
      <c r="CK18" s="851"/>
      <c r="CL18" s="851"/>
      <c r="CM18" s="851"/>
      <c r="CN18" s="851"/>
      <c r="CO18" s="851"/>
    </row>
    <row r="19" spans="1:93" ht="12.75" customHeight="1" x14ac:dyDescent="0.2">
      <c r="A19" s="241">
        <v>13</v>
      </c>
      <c r="B19" s="216" t="s">
        <v>4262</v>
      </c>
      <c r="C19" s="260" t="s">
        <v>4263</v>
      </c>
      <c r="D19" s="216" t="s">
        <v>4260</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8"/>
        <v>0.33333333333333331</v>
      </c>
      <c r="Y19" s="224">
        <f t="shared" si="8"/>
        <v>0.33333333333333331</v>
      </c>
      <c r="Z19" s="224">
        <f t="shared" si="8"/>
        <v>0.33333333333333331</v>
      </c>
      <c r="AA19" s="291"/>
      <c r="AB19" s="241">
        <v>13</v>
      </c>
      <c r="AC19" s="224"/>
      <c r="AD19" s="852">
        <v>75</v>
      </c>
      <c r="AE19" s="852">
        <v>10500</v>
      </c>
      <c r="AF19" s="852">
        <v>2.02E-20</v>
      </c>
      <c r="AG19" s="851">
        <v>0.17699999999999999</v>
      </c>
      <c r="AH19" s="851">
        <v>0.9</v>
      </c>
      <c r="AI19" s="852">
        <v>0.38</v>
      </c>
      <c r="AJ19" s="852">
        <v>0.9</v>
      </c>
      <c r="AK19" s="851">
        <v>1</v>
      </c>
      <c r="AL19" s="851">
        <v>1</v>
      </c>
      <c r="AM19" s="851">
        <v>1</v>
      </c>
      <c r="AN19" s="851">
        <v>1</v>
      </c>
      <c r="AO19" s="852">
        <v>0.08</v>
      </c>
      <c r="AP19" s="852">
        <v>0.08</v>
      </c>
      <c r="AQ19" s="852">
        <v>0.05</v>
      </c>
      <c r="AR19" s="852">
        <v>0.05</v>
      </c>
      <c r="AS19" s="852">
        <v>4.4999999999999998E-2</v>
      </c>
      <c r="AT19" s="852">
        <v>4.4999999999999998E-2</v>
      </c>
      <c r="AU19" s="851">
        <v>0.17699999999999999</v>
      </c>
      <c r="AV19" s="851">
        <v>0.9</v>
      </c>
      <c r="AW19" s="852">
        <v>0.38</v>
      </c>
      <c r="AX19" s="852">
        <v>0.9</v>
      </c>
      <c r="AY19" s="851">
        <v>1</v>
      </c>
      <c r="AZ19" s="851">
        <v>1</v>
      </c>
      <c r="BA19" s="851">
        <v>1.3199999999999999E-7</v>
      </c>
      <c r="BB19" s="851">
        <v>1.3199999999999999E-7</v>
      </c>
      <c r="BC19" s="851">
        <v>1.3199999999999999E-7</v>
      </c>
      <c r="BD19" s="851">
        <v>1.3199999999999999E-7</v>
      </c>
      <c r="BE19" s="851">
        <v>1.3199999999999999E-7</v>
      </c>
      <c r="BF19" s="851">
        <v>1.3199999999999999E-7</v>
      </c>
      <c r="BG19" s="851">
        <v>1.1800000000000001E-5</v>
      </c>
      <c r="BH19" s="851">
        <v>1.1800000000000001E-5</v>
      </c>
      <c r="BI19" s="851">
        <v>1.1800000000000001E-5</v>
      </c>
      <c r="BJ19" s="851">
        <v>4.87E-6</v>
      </c>
      <c r="BK19" s="851">
        <v>4.87E-6</v>
      </c>
      <c r="BL19" s="851">
        <v>4.87E-6</v>
      </c>
      <c r="BM19" s="851">
        <v>4.87E-6</v>
      </c>
      <c r="BN19" s="851">
        <v>4.87E-6</v>
      </c>
      <c r="BO19" s="851">
        <v>4.87E-6</v>
      </c>
      <c r="BP19" s="851">
        <v>4.87E-6</v>
      </c>
      <c r="BQ19" s="851">
        <v>4.87E-6</v>
      </c>
      <c r="BR19" s="851">
        <v>4.87E-6</v>
      </c>
      <c r="BS19" s="851">
        <v>1.3199999999999999E-7</v>
      </c>
      <c r="BT19" s="851">
        <v>1.3199999999999999E-7</v>
      </c>
      <c r="BU19" s="851">
        <v>1.3199999999999999E-7</v>
      </c>
      <c r="BV19" s="851">
        <v>1.3199999999999999E-7</v>
      </c>
      <c r="BW19" s="851">
        <v>1.3199999999999999E-7</v>
      </c>
      <c r="BX19" s="851">
        <v>1.3199999999999999E-7</v>
      </c>
      <c r="BY19" s="851">
        <v>1.1800000000000001E-5</v>
      </c>
      <c r="BZ19" s="851">
        <v>1.1800000000000001E-5</v>
      </c>
      <c r="CA19" s="851">
        <v>1.1800000000000001E-5</v>
      </c>
      <c r="CB19" s="851">
        <v>1.1800000000000001E-5</v>
      </c>
      <c r="CC19" s="851">
        <v>1.1800000000000001E-5</v>
      </c>
      <c r="CD19" s="851">
        <v>1.1800000000000001E-5</v>
      </c>
      <c r="CE19" s="851"/>
      <c r="CF19" s="851"/>
      <c r="CG19" s="851"/>
      <c r="CH19" s="851"/>
      <c r="CI19" s="851"/>
      <c r="CJ19" s="851"/>
      <c r="CK19" s="851"/>
      <c r="CL19" s="851"/>
      <c r="CM19" s="851"/>
      <c r="CN19" s="851"/>
      <c r="CO19" s="851"/>
    </row>
    <row r="20" spans="1:93" ht="12.75" customHeight="1" x14ac:dyDescent="0.2">
      <c r="A20" s="241">
        <v>14</v>
      </c>
      <c r="B20" s="216" t="s">
        <v>4264</v>
      </c>
      <c r="C20" s="260"/>
      <c r="D20" s="216" t="s">
        <v>4260</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52">
        <v>75</v>
      </c>
      <c r="AE20" s="852">
        <v>5610</v>
      </c>
      <c r="AF20" s="852">
        <v>1.6900000000000001E-20</v>
      </c>
      <c r="AG20" s="851">
        <v>0.62</v>
      </c>
      <c r="AH20" s="851">
        <v>0.26</v>
      </c>
      <c r="AI20" s="851">
        <v>0.62</v>
      </c>
      <c r="AJ20" s="851">
        <v>0.26</v>
      </c>
      <c r="AK20" s="851">
        <v>1</v>
      </c>
      <c r="AL20" s="851">
        <v>1</v>
      </c>
      <c r="AM20" s="851">
        <v>1</v>
      </c>
      <c r="AN20" s="851">
        <v>1</v>
      </c>
      <c r="AO20" s="852">
        <v>0.15</v>
      </c>
      <c r="AP20" s="852">
        <v>0.5</v>
      </c>
      <c r="AQ20" s="852">
        <v>0.15</v>
      </c>
      <c r="AR20" s="852">
        <v>0.5</v>
      </c>
      <c r="AS20" s="852">
        <v>0.15</v>
      </c>
      <c r="AT20" s="852">
        <v>0.5</v>
      </c>
      <c r="AU20" s="851">
        <v>3.5999999999999998E-6</v>
      </c>
      <c r="AV20" s="851">
        <v>0.5</v>
      </c>
      <c r="AW20" s="851">
        <v>3.5999999999999998E-6</v>
      </c>
      <c r="AX20" s="851">
        <v>0.5</v>
      </c>
      <c r="AY20" s="851">
        <v>1</v>
      </c>
      <c r="AZ20" s="851">
        <v>1</v>
      </c>
      <c r="BA20" s="851">
        <v>1.6500000000000001E-6</v>
      </c>
      <c r="BB20" s="851"/>
      <c r="BC20" s="851"/>
      <c r="BD20" s="851">
        <v>1.6500000000000001E-6</v>
      </c>
      <c r="BE20" s="851"/>
      <c r="BF20" s="851"/>
      <c r="BG20" s="851">
        <v>1.6500000000000001E-6</v>
      </c>
      <c r="BH20" s="851"/>
      <c r="BI20" s="851"/>
      <c r="BJ20" s="851">
        <v>9.9999999999999995E-7</v>
      </c>
      <c r="BK20" s="851"/>
      <c r="BL20" s="851"/>
      <c r="BM20" s="851">
        <v>9.9999999999999995E-7</v>
      </c>
      <c r="BN20" s="851"/>
      <c r="BO20" s="851"/>
      <c r="BP20" s="851">
        <v>9.9999999999999995E-7</v>
      </c>
      <c r="BQ20" s="851"/>
      <c r="BR20" s="851"/>
      <c r="BS20" s="851">
        <v>9.9999999999999995E-7</v>
      </c>
      <c r="BT20" s="851"/>
      <c r="BU20" s="851"/>
      <c r="BV20" s="851">
        <v>9.9999999999999995E-7</v>
      </c>
      <c r="BW20" s="851"/>
      <c r="BX20" s="851"/>
      <c r="BY20" s="851">
        <v>9.9999999999999995E-7</v>
      </c>
      <c r="BZ20" s="851"/>
      <c r="CA20" s="851"/>
      <c r="CB20" s="851">
        <v>1.6500000000000001E-6</v>
      </c>
      <c r="CC20" s="851"/>
      <c r="CD20" s="851"/>
      <c r="CE20" s="851"/>
      <c r="CF20" s="851"/>
      <c r="CG20" s="851"/>
      <c r="CH20" s="851"/>
      <c r="CI20" s="851"/>
      <c r="CJ20" s="851"/>
      <c r="CK20" s="851"/>
      <c r="CL20" s="851"/>
      <c r="CM20" s="851"/>
      <c r="CN20" s="851"/>
      <c r="CO20" s="851"/>
    </row>
    <row r="21" spans="1:93" ht="12.75" customHeight="1" x14ac:dyDescent="0.2">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3"/>
      <c r="AE21" s="789"/>
      <c r="AF21" s="172"/>
    </row>
    <row r="22" spans="1:93" ht="12.75" customHeight="1" x14ac:dyDescent="0.2">
      <c r="A22" s="905">
        <v>15</v>
      </c>
      <c r="B22" s="216" t="s">
        <v>4265</v>
      </c>
      <c r="C22" s="260"/>
      <c r="D22" s="216" t="s">
        <v>4260</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5"/>
        <v>0.33333333333333331</v>
      </c>
      <c r="Y22" s="224">
        <f t="shared" si="5"/>
        <v>0.33333333333333331</v>
      </c>
      <c r="Z22" s="224">
        <f t="shared" si="5"/>
        <v>0.33333333333333331</v>
      </c>
      <c r="AA22" s="291"/>
      <c r="AB22" s="291">
        <v>8</v>
      </c>
      <c r="AC22" s="224"/>
      <c r="AD22" s="852">
        <v>5</v>
      </c>
      <c r="AE22" s="852">
        <v>1650</v>
      </c>
      <c r="AF22" s="852">
        <v>2.7600000000000001E-20</v>
      </c>
      <c r="AG22" s="851">
        <v>0.01</v>
      </c>
      <c r="AH22" s="851">
        <v>0.01</v>
      </c>
      <c r="AI22" s="852">
        <v>0.01</v>
      </c>
      <c r="AJ22" s="852">
        <v>0.01</v>
      </c>
      <c r="AK22" s="851">
        <v>1</v>
      </c>
      <c r="AL22" s="851">
        <v>1</v>
      </c>
      <c r="AM22" s="851">
        <v>1</v>
      </c>
      <c r="AN22" s="851">
        <v>1</v>
      </c>
      <c r="AO22" s="852">
        <v>0.1022</v>
      </c>
      <c r="AP22" s="852">
        <v>0.1022</v>
      </c>
      <c r="AQ22" s="852">
        <v>0.1022</v>
      </c>
      <c r="AR22" s="852">
        <v>0.1022</v>
      </c>
      <c r="AS22" s="852">
        <v>0.1022</v>
      </c>
      <c r="AT22" s="852">
        <v>0.1022</v>
      </c>
      <c r="AU22" s="851">
        <v>0.01</v>
      </c>
      <c r="AV22" s="851">
        <v>0.01</v>
      </c>
      <c r="AW22" s="852">
        <v>0.01</v>
      </c>
      <c r="AX22" s="852">
        <v>0.01</v>
      </c>
      <c r="AY22" s="851">
        <v>1</v>
      </c>
      <c r="AZ22" s="851">
        <v>1</v>
      </c>
      <c r="BA22" s="851">
        <v>0</v>
      </c>
      <c r="BB22" s="851">
        <v>0</v>
      </c>
      <c r="BC22" s="851">
        <v>0</v>
      </c>
      <c r="BD22" s="851">
        <v>0</v>
      </c>
      <c r="BE22" s="851">
        <v>0</v>
      </c>
      <c r="BF22" s="851">
        <v>0</v>
      </c>
      <c r="BG22" s="851">
        <v>0</v>
      </c>
      <c r="BH22" s="851">
        <v>0</v>
      </c>
      <c r="BI22" s="851">
        <v>0</v>
      </c>
      <c r="BJ22" s="851">
        <v>0</v>
      </c>
      <c r="BK22" s="851">
        <v>0</v>
      </c>
      <c r="BL22" s="851">
        <v>0</v>
      </c>
      <c r="BM22" s="851">
        <v>0</v>
      </c>
      <c r="BN22" s="851">
        <v>0</v>
      </c>
      <c r="BO22" s="851">
        <v>0</v>
      </c>
      <c r="BP22" s="851">
        <v>0</v>
      </c>
      <c r="BQ22" s="851">
        <v>0</v>
      </c>
      <c r="BR22" s="851">
        <v>0</v>
      </c>
      <c r="BS22" s="851">
        <v>0</v>
      </c>
      <c r="BT22" s="851">
        <v>0</v>
      </c>
      <c r="BU22" s="851">
        <v>0</v>
      </c>
      <c r="BV22" s="851">
        <v>0</v>
      </c>
      <c r="BW22" s="851">
        <v>0</v>
      </c>
      <c r="BX22" s="851">
        <v>0</v>
      </c>
      <c r="BY22" s="851">
        <v>0</v>
      </c>
      <c r="BZ22" s="851">
        <v>0</v>
      </c>
      <c r="CA22" s="851">
        <v>0</v>
      </c>
      <c r="CB22" s="851">
        <v>0</v>
      </c>
      <c r="CC22" s="851">
        <v>0</v>
      </c>
      <c r="CD22" s="851">
        <v>0</v>
      </c>
      <c r="CE22" s="851"/>
      <c r="CF22" s="851"/>
      <c r="CG22" s="851"/>
      <c r="CH22" s="851"/>
      <c r="CI22" s="851"/>
      <c r="CJ22" s="851"/>
      <c r="CK22" s="851"/>
      <c r="CL22" s="851"/>
      <c r="CM22" s="851"/>
      <c r="CN22" s="851"/>
      <c r="CO22" s="851"/>
    </row>
    <row r="23" spans="1:93" ht="12.75" customHeight="1" x14ac:dyDescent="0.2">
      <c r="A23" s="905">
        <v>16</v>
      </c>
      <c r="B23" s="216" t="s">
        <v>4266</v>
      </c>
      <c r="C23" s="260" t="s">
        <v>4263</v>
      </c>
      <c r="D23" s="216" t="s">
        <v>4260</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8"/>
        <v>0.33333333333333331</v>
      </c>
      <c r="Y23" s="224">
        <f t="shared" si="8"/>
        <v>0.33333333333333331</v>
      </c>
      <c r="Z23" s="224">
        <f t="shared" si="8"/>
        <v>0.33333333333333331</v>
      </c>
      <c r="AA23" s="291"/>
      <c r="AB23" s="291">
        <v>9</v>
      </c>
      <c r="AC23" s="224"/>
      <c r="AD23" s="852">
        <v>5</v>
      </c>
      <c r="AE23" s="852">
        <v>10500</v>
      </c>
      <c r="AF23" s="852">
        <v>2.02E-20</v>
      </c>
      <c r="AG23" s="851">
        <v>0.17699999999999999</v>
      </c>
      <c r="AH23" s="851">
        <v>0.9</v>
      </c>
      <c r="AI23" s="852">
        <v>0.38</v>
      </c>
      <c r="AJ23" s="852">
        <v>0.9</v>
      </c>
      <c r="AK23" s="851">
        <v>1</v>
      </c>
      <c r="AL23" s="851">
        <v>1</v>
      </c>
      <c r="AM23" s="851">
        <v>1</v>
      </c>
      <c r="AN23" s="851">
        <v>1</v>
      </c>
      <c r="AO23" s="852">
        <v>0.08</v>
      </c>
      <c r="AP23" s="852">
        <v>0.08</v>
      </c>
      <c r="AQ23" s="852">
        <v>0.05</v>
      </c>
      <c r="AR23" s="852">
        <v>0.05</v>
      </c>
      <c r="AS23" s="852">
        <v>4.4999999999999998E-2</v>
      </c>
      <c r="AT23" s="852">
        <v>4.4999999999999998E-2</v>
      </c>
      <c r="AU23" s="851">
        <v>0.17699999999999999</v>
      </c>
      <c r="AV23" s="851">
        <v>0.9</v>
      </c>
      <c r="AW23" s="852">
        <v>0.38</v>
      </c>
      <c r="AX23" s="852">
        <v>0.9</v>
      </c>
      <c r="AY23" s="851">
        <v>1</v>
      </c>
      <c r="AZ23" s="851">
        <v>1</v>
      </c>
      <c r="BA23" s="851">
        <v>1.3199999999999999E-7</v>
      </c>
      <c r="BB23" s="851">
        <v>1.3199999999999999E-7</v>
      </c>
      <c r="BC23" s="851">
        <v>1.3199999999999999E-7</v>
      </c>
      <c r="BD23" s="851">
        <v>1.3199999999999999E-7</v>
      </c>
      <c r="BE23" s="851">
        <v>1.3199999999999999E-7</v>
      </c>
      <c r="BF23" s="851">
        <v>1.3199999999999999E-7</v>
      </c>
      <c r="BG23" s="851">
        <v>1.1800000000000001E-5</v>
      </c>
      <c r="BH23" s="851">
        <v>1.1800000000000001E-5</v>
      </c>
      <c r="BI23" s="851">
        <v>1.1800000000000001E-5</v>
      </c>
      <c r="BJ23" s="851">
        <v>4.87E-6</v>
      </c>
      <c r="BK23" s="851">
        <v>4.87E-6</v>
      </c>
      <c r="BL23" s="851">
        <v>4.87E-6</v>
      </c>
      <c r="BM23" s="851">
        <v>4.87E-6</v>
      </c>
      <c r="BN23" s="851">
        <v>4.87E-6</v>
      </c>
      <c r="BO23" s="851">
        <v>4.87E-6</v>
      </c>
      <c r="BP23" s="851">
        <v>4.87E-6</v>
      </c>
      <c r="BQ23" s="851">
        <v>4.87E-6</v>
      </c>
      <c r="BR23" s="851">
        <v>4.87E-6</v>
      </c>
      <c r="BS23" s="851">
        <v>1.3199999999999999E-7</v>
      </c>
      <c r="BT23" s="851">
        <v>1.3199999999999999E-7</v>
      </c>
      <c r="BU23" s="851">
        <v>1.3199999999999999E-7</v>
      </c>
      <c r="BV23" s="851">
        <v>1.3199999999999999E-7</v>
      </c>
      <c r="BW23" s="851">
        <v>1.3199999999999999E-7</v>
      </c>
      <c r="BX23" s="851">
        <v>1.3199999999999999E-7</v>
      </c>
      <c r="BY23" s="851">
        <v>1.1800000000000001E-5</v>
      </c>
      <c r="BZ23" s="851">
        <v>1.1800000000000001E-5</v>
      </c>
      <c r="CA23" s="851">
        <v>1.1800000000000001E-5</v>
      </c>
      <c r="CB23" s="851">
        <v>1.1800000000000001E-5</v>
      </c>
      <c r="CC23" s="851">
        <v>1.1800000000000001E-5</v>
      </c>
      <c r="CD23" s="851">
        <v>1.1800000000000001E-5</v>
      </c>
      <c r="CE23" s="851"/>
      <c r="CF23" s="851"/>
      <c r="CG23" s="851"/>
      <c r="CH23" s="851"/>
      <c r="CI23" s="851"/>
      <c r="CJ23" s="851"/>
      <c r="CK23" s="851"/>
      <c r="CL23" s="851"/>
      <c r="CM23" s="851"/>
      <c r="CN23" s="851"/>
      <c r="CO23" s="851"/>
    </row>
    <row r="24" spans="1:93" ht="12.75" customHeight="1" x14ac:dyDescent="0.2">
      <c r="A24" s="905">
        <v>17</v>
      </c>
      <c r="B24" s="216" t="s">
        <v>4267</v>
      </c>
      <c r="C24" s="260"/>
      <c r="D24" s="216" t="s">
        <v>4260</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8"/>
        <v>0.33333333333333331</v>
      </c>
      <c r="Y24" s="224">
        <f t="shared" si="8"/>
        <v>0.33333333333333331</v>
      </c>
      <c r="Z24" s="224">
        <f t="shared" si="8"/>
        <v>0.33333333333333331</v>
      </c>
      <c r="AA24" s="291"/>
      <c r="AB24" s="291">
        <v>10</v>
      </c>
      <c r="AC24" s="224"/>
      <c r="AD24" s="852">
        <v>5</v>
      </c>
      <c r="AE24" s="852">
        <v>4230</v>
      </c>
      <c r="AF24" s="852">
        <v>6.9000000000000004E-21</v>
      </c>
      <c r="AG24" s="851">
        <v>0.02</v>
      </c>
      <c r="AH24" s="851">
        <v>0.02</v>
      </c>
      <c r="AI24" s="852">
        <v>0.02</v>
      </c>
      <c r="AJ24" s="852">
        <v>0.02</v>
      </c>
      <c r="AK24" s="851">
        <v>1</v>
      </c>
      <c r="AL24" s="851">
        <v>1</v>
      </c>
      <c r="AM24" s="851">
        <v>1</v>
      </c>
      <c r="AN24" s="851">
        <v>1</v>
      </c>
      <c r="AO24" s="852">
        <v>0.33600000000000002</v>
      </c>
      <c r="AP24" s="852">
        <v>0.33600000000000002</v>
      </c>
      <c r="AQ24" s="852">
        <v>0.33600000000000002</v>
      </c>
      <c r="AR24" s="852">
        <v>0.33600000000000002</v>
      </c>
      <c r="AS24" s="852">
        <v>0.33600000000000002</v>
      </c>
      <c r="AT24" s="852">
        <v>0.33600000000000002</v>
      </c>
      <c r="AU24" s="851">
        <v>0.02</v>
      </c>
      <c r="AV24" s="851">
        <v>0.02</v>
      </c>
      <c r="AW24" s="852">
        <v>0.02</v>
      </c>
      <c r="AX24" s="852">
        <v>0.02</v>
      </c>
      <c r="AY24" s="851">
        <v>1</v>
      </c>
      <c r="AZ24" s="851">
        <v>1</v>
      </c>
      <c r="BA24" s="851">
        <v>1E-13</v>
      </c>
      <c r="BB24" s="851">
        <v>1E-13</v>
      </c>
      <c r="BC24" s="851">
        <v>1E-13</v>
      </c>
      <c r="BD24" s="851">
        <v>1E-13</v>
      </c>
      <c r="BE24" s="851">
        <v>1E-13</v>
      </c>
      <c r="BF24" s="851">
        <v>1E-13</v>
      </c>
      <c r="BG24" s="851">
        <v>1E-13</v>
      </c>
      <c r="BH24" s="851">
        <v>1E-13</v>
      </c>
      <c r="BI24" s="851">
        <v>1E-13</v>
      </c>
      <c r="BJ24" s="851">
        <v>1E-13</v>
      </c>
      <c r="BK24" s="851">
        <v>1E-13</v>
      </c>
      <c r="BL24" s="851">
        <v>1E-13</v>
      </c>
      <c r="BM24" s="851">
        <v>1E-13</v>
      </c>
      <c r="BN24" s="851">
        <v>1E-13</v>
      </c>
      <c r="BO24" s="851">
        <v>1E-13</v>
      </c>
      <c r="BP24" s="851">
        <v>1E-13</v>
      </c>
      <c r="BQ24" s="851">
        <v>1E-13</v>
      </c>
      <c r="BR24" s="851">
        <v>1E-13</v>
      </c>
      <c r="BS24" s="851">
        <v>1E-13</v>
      </c>
      <c r="BT24" s="851">
        <v>1E-13</v>
      </c>
      <c r="BU24" s="851">
        <v>1E-13</v>
      </c>
      <c r="BV24" s="851">
        <v>1E-13</v>
      </c>
      <c r="BW24" s="851">
        <v>1E-13</v>
      </c>
      <c r="BX24" s="851">
        <v>1E-13</v>
      </c>
      <c r="BY24" s="851">
        <v>1E-13</v>
      </c>
      <c r="BZ24" s="851">
        <v>1E-13</v>
      </c>
      <c r="CA24" s="851">
        <v>1E-13</v>
      </c>
      <c r="CB24" s="851">
        <v>1E-13</v>
      </c>
      <c r="CC24" s="851">
        <v>1E-13</v>
      </c>
      <c r="CD24" s="851">
        <v>1E-13</v>
      </c>
      <c r="CE24" s="851"/>
      <c r="CF24" s="851"/>
      <c r="CG24" s="851"/>
      <c r="CH24" s="851"/>
      <c r="CI24" s="851"/>
      <c r="CJ24" s="851"/>
      <c r="CK24" s="851"/>
      <c r="CL24" s="851"/>
      <c r="CM24" s="851"/>
      <c r="CN24" s="851"/>
      <c r="CO24" s="851"/>
    </row>
    <row r="25" spans="1:93" ht="12.75" customHeight="1" x14ac:dyDescent="0.2">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52"/>
      <c r="AE25" s="852"/>
      <c r="AF25" s="852"/>
      <c r="AG25" s="851"/>
      <c r="AH25" s="851"/>
      <c r="AI25" s="852"/>
      <c r="AJ25" s="852"/>
      <c r="AK25" s="851"/>
      <c r="AL25" s="851"/>
      <c r="AM25" s="851"/>
      <c r="AN25" s="851"/>
      <c r="AO25" s="852"/>
      <c r="AP25" s="852"/>
      <c r="AQ25" s="852"/>
      <c r="AR25" s="852"/>
      <c r="AS25" s="852"/>
      <c r="AT25" s="852"/>
      <c r="AU25" s="851"/>
      <c r="AV25" s="851"/>
      <c r="AW25" s="852"/>
      <c r="AX25" s="852"/>
      <c r="AY25" s="851"/>
      <c r="AZ25" s="851"/>
      <c r="BA25" s="851"/>
      <c r="BB25" s="851"/>
      <c r="BC25" s="851"/>
      <c r="BD25" s="851"/>
      <c r="BE25" s="851"/>
      <c r="BF25" s="851"/>
      <c r="BG25" s="851"/>
      <c r="BH25" s="851"/>
      <c r="BI25" s="851"/>
      <c r="BJ25" s="851"/>
      <c r="BK25" s="851"/>
      <c r="BL25" s="851"/>
      <c r="BM25" s="851"/>
      <c r="BN25" s="851"/>
      <c r="BO25" s="851"/>
      <c r="BP25" s="851"/>
      <c r="BQ25" s="851"/>
      <c r="BR25" s="851"/>
      <c r="BS25" s="851"/>
      <c r="BT25" s="851"/>
      <c r="BU25" s="851"/>
      <c r="BV25" s="851"/>
      <c r="BW25" s="851"/>
      <c r="BX25" s="851"/>
      <c r="BY25" s="851"/>
      <c r="BZ25" s="851"/>
      <c r="CA25" s="851"/>
      <c r="CB25" s="851"/>
      <c r="CC25" s="851"/>
      <c r="CD25" s="851"/>
      <c r="CE25" s="851"/>
      <c r="CF25" s="851"/>
      <c r="CG25" s="851"/>
      <c r="CH25" s="851"/>
      <c r="CI25" s="851"/>
      <c r="CJ25" s="851"/>
      <c r="CK25" s="851"/>
      <c r="CL25" s="851"/>
      <c r="CM25" s="851"/>
      <c r="CN25" s="851"/>
      <c r="CO25" s="851"/>
    </row>
    <row r="26" spans="1:93" ht="12.75" customHeight="1" x14ac:dyDescent="0.2">
      <c r="A26" s="905">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52"/>
      <c r="AE26" s="852"/>
      <c r="AF26" s="852"/>
      <c r="AG26" s="851"/>
      <c r="AH26" s="851"/>
      <c r="AI26" s="852"/>
      <c r="AJ26" s="852"/>
      <c r="AK26" s="851"/>
      <c r="AL26" s="851"/>
      <c r="AM26" s="851"/>
      <c r="AN26" s="851"/>
      <c r="AO26" s="852"/>
      <c r="AP26" s="852"/>
      <c r="AQ26" s="852"/>
      <c r="AR26" s="852"/>
      <c r="AS26" s="852"/>
      <c r="AT26" s="852"/>
      <c r="AU26" s="851"/>
      <c r="AV26" s="851"/>
      <c r="AW26" s="852"/>
      <c r="AX26" s="852"/>
      <c r="AY26" s="851"/>
      <c r="AZ26" s="851"/>
      <c r="BA26" s="851"/>
      <c r="BB26" s="851"/>
      <c r="BC26" s="851"/>
      <c r="BD26" s="851"/>
      <c r="BE26" s="851"/>
      <c r="BF26" s="851"/>
      <c r="BG26" s="851"/>
      <c r="BH26" s="851"/>
      <c r="BI26" s="851"/>
      <c r="BJ26" s="851"/>
      <c r="BK26" s="851"/>
      <c r="BL26" s="851"/>
      <c r="BM26" s="851"/>
      <c r="BN26" s="851"/>
      <c r="BO26" s="851"/>
      <c r="BP26" s="851"/>
      <c r="BQ26" s="851"/>
      <c r="BR26" s="851"/>
      <c r="BS26" s="851"/>
      <c r="BT26" s="851"/>
      <c r="BU26" s="851"/>
      <c r="BV26" s="851"/>
      <c r="BW26" s="851"/>
      <c r="BX26" s="851"/>
      <c r="BY26" s="851"/>
      <c r="BZ26" s="851"/>
      <c r="CA26" s="851"/>
      <c r="CB26" s="851"/>
      <c r="CC26" s="851"/>
      <c r="CD26" s="851"/>
      <c r="CE26" s="851"/>
      <c r="CF26" s="851"/>
      <c r="CG26" s="851"/>
      <c r="CH26" s="851"/>
      <c r="CI26" s="851"/>
      <c r="CJ26" s="851"/>
      <c r="CK26" s="851"/>
      <c r="CL26" s="851"/>
      <c r="CM26" s="851"/>
      <c r="CN26" s="851"/>
      <c r="CO26" s="851"/>
    </row>
    <row r="27" spans="1:93" ht="12.75" customHeight="1" x14ac:dyDescent="0.2">
      <c r="A27" s="905">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52"/>
      <c r="AE27" s="852"/>
      <c r="AF27" s="852"/>
      <c r="AG27" s="851"/>
      <c r="AH27" s="851"/>
      <c r="AI27" s="852"/>
      <c r="AJ27" s="852"/>
      <c r="AK27" s="851"/>
      <c r="AL27" s="851"/>
      <c r="AM27" s="851"/>
      <c r="AN27" s="851"/>
      <c r="AO27" s="852"/>
      <c r="AP27" s="852"/>
      <c r="AQ27" s="852"/>
      <c r="AR27" s="852"/>
      <c r="AS27" s="852"/>
      <c r="AT27" s="852"/>
      <c r="AU27" s="851"/>
      <c r="AV27" s="851"/>
      <c r="AW27" s="852"/>
      <c r="AX27" s="852"/>
      <c r="AY27" s="851"/>
      <c r="AZ27" s="851"/>
      <c r="BA27" s="851"/>
      <c r="BB27" s="851"/>
      <c r="BC27" s="851"/>
      <c r="BD27" s="851"/>
      <c r="BE27" s="851"/>
      <c r="BF27" s="851"/>
      <c r="BG27" s="851"/>
      <c r="BH27" s="851"/>
      <c r="BI27" s="851"/>
      <c r="BJ27" s="851"/>
      <c r="BK27" s="851"/>
      <c r="BL27" s="851"/>
      <c r="BM27" s="851"/>
      <c r="BN27" s="851"/>
      <c r="BO27" s="851"/>
      <c r="BP27" s="851"/>
      <c r="BQ27" s="851"/>
      <c r="BR27" s="851"/>
      <c r="BS27" s="851"/>
      <c r="BT27" s="851"/>
      <c r="BU27" s="851"/>
      <c r="BV27" s="851"/>
      <c r="BW27" s="851"/>
      <c r="BX27" s="851"/>
      <c r="BY27" s="851"/>
      <c r="BZ27" s="851"/>
      <c r="CA27" s="851"/>
      <c r="CB27" s="851"/>
      <c r="CC27" s="851"/>
      <c r="CD27" s="851"/>
      <c r="CE27" s="851"/>
      <c r="CF27" s="851"/>
      <c r="CG27" s="851"/>
      <c r="CH27" s="851"/>
      <c r="CI27" s="851"/>
      <c r="CJ27" s="851"/>
      <c r="CK27" s="851"/>
      <c r="CL27" s="851"/>
      <c r="CM27" s="851"/>
      <c r="CN27" s="851"/>
      <c r="CO27" s="851"/>
    </row>
    <row r="28" spans="1:93" ht="12.75" customHeight="1" x14ac:dyDescent="0.2">
      <c r="A28" s="905">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52"/>
      <c r="AE28" s="852"/>
      <c r="AF28" s="852"/>
      <c r="AG28" s="851"/>
      <c r="AH28" s="851"/>
      <c r="AI28" s="852"/>
      <c r="AJ28" s="852"/>
      <c r="AK28" s="851"/>
      <c r="AL28" s="851"/>
      <c r="AM28" s="851"/>
      <c r="AN28" s="851"/>
      <c r="AO28" s="852"/>
      <c r="AP28" s="852"/>
      <c r="AQ28" s="852"/>
      <c r="AR28" s="852"/>
      <c r="AS28" s="852"/>
      <c r="AT28" s="852"/>
      <c r="AU28" s="851"/>
      <c r="AV28" s="851"/>
      <c r="AW28" s="852"/>
      <c r="AX28" s="852"/>
      <c r="AY28" s="851"/>
      <c r="AZ28" s="851"/>
      <c r="BA28" s="851"/>
      <c r="BB28" s="851"/>
      <c r="BC28" s="851"/>
      <c r="BD28" s="851"/>
      <c r="BE28" s="851"/>
      <c r="BF28" s="851"/>
      <c r="BG28" s="851"/>
      <c r="BH28" s="851"/>
      <c r="BI28" s="851"/>
      <c r="BJ28" s="851"/>
      <c r="BK28" s="851"/>
      <c r="BL28" s="851"/>
      <c r="BM28" s="851"/>
      <c r="BN28" s="851"/>
      <c r="BO28" s="851"/>
      <c r="BP28" s="851"/>
      <c r="BQ28" s="851"/>
      <c r="BR28" s="851"/>
      <c r="BS28" s="851"/>
      <c r="BT28" s="851"/>
      <c r="BU28" s="851"/>
      <c r="BV28" s="851"/>
      <c r="BW28" s="851"/>
      <c r="BX28" s="851"/>
      <c r="BY28" s="851"/>
      <c r="BZ28" s="851"/>
      <c r="CA28" s="851"/>
      <c r="CB28" s="851"/>
      <c r="CC28" s="851"/>
      <c r="CD28" s="851"/>
      <c r="CE28" s="851"/>
      <c r="CF28" s="851"/>
      <c r="CG28" s="851"/>
      <c r="CH28" s="851"/>
      <c r="CI28" s="851"/>
      <c r="CJ28" s="851"/>
      <c r="CK28" s="851"/>
      <c r="CL28" s="851"/>
      <c r="CM28" s="851"/>
      <c r="CN28" s="851"/>
      <c r="CO28" s="851"/>
    </row>
    <row r="29" spans="1:93" ht="12.75" customHeight="1" x14ac:dyDescent="0.2">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52"/>
      <c r="AE29" s="852"/>
      <c r="AF29" s="852"/>
      <c r="AG29" s="851"/>
      <c r="AH29" s="851"/>
      <c r="AI29" s="852"/>
      <c r="AJ29" s="852"/>
      <c r="AK29" s="851"/>
      <c r="AL29" s="851"/>
      <c r="AM29" s="851"/>
      <c r="AN29" s="851"/>
      <c r="AO29" s="852"/>
      <c r="AP29" s="852"/>
      <c r="AQ29" s="852"/>
      <c r="AR29" s="852"/>
      <c r="AS29" s="852"/>
      <c r="AT29" s="852"/>
      <c r="AU29" s="851"/>
      <c r="AV29" s="851"/>
      <c r="AW29" s="852"/>
      <c r="AX29" s="852"/>
      <c r="AY29" s="851"/>
      <c r="AZ29" s="851"/>
      <c r="BA29" s="851"/>
      <c r="BB29" s="851"/>
      <c r="BC29" s="851"/>
      <c r="BD29" s="851"/>
      <c r="BE29" s="851"/>
      <c r="BF29" s="851"/>
      <c r="BG29" s="851"/>
      <c r="BH29" s="851"/>
      <c r="BI29" s="851"/>
      <c r="BJ29" s="851"/>
      <c r="BK29" s="851"/>
      <c r="BL29" s="851"/>
      <c r="BM29" s="851"/>
      <c r="BN29" s="851"/>
      <c r="BO29" s="851"/>
      <c r="BP29" s="851"/>
      <c r="BQ29" s="851"/>
      <c r="BR29" s="851"/>
      <c r="BS29" s="851"/>
      <c r="BT29" s="851"/>
      <c r="BU29" s="851"/>
      <c r="BV29" s="851"/>
      <c r="BW29" s="851"/>
      <c r="BX29" s="851"/>
      <c r="BY29" s="851"/>
      <c r="BZ29" s="851"/>
      <c r="CA29" s="851"/>
      <c r="CB29" s="851"/>
      <c r="CC29" s="851"/>
      <c r="CD29" s="851"/>
      <c r="CE29" s="851"/>
      <c r="CF29" s="851"/>
      <c r="CG29" s="851"/>
      <c r="CH29" s="851"/>
      <c r="CI29" s="851"/>
      <c r="CJ29" s="851"/>
      <c r="CK29" s="851"/>
      <c r="CL29" s="851"/>
      <c r="CM29" s="851"/>
      <c r="CN29" s="851"/>
      <c r="CO29" s="851"/>
    </row>
    <row r="30" spans="1:93" ht="12.75" customHeight="1" x14ac:dyDescent="0.2">
      <c r="A30" s="241">
        <v>1007</v>
      </c>
      <c r="B30" s="215" t="s">
        <v>4268</v>
      </c>
      <c r="C30" s="260" t="s">
        <v>4263</v>
      </c>
      <c r="D30" s="260" t="s">
        <v>601</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9">1/3</f>
        <v>0.33333333333333331</v>
      </c>
      <c r="Y30" s="224">
        <f t="shared" si="9"/>
        <v>0.33333333333333331</v>
      </c>
      <c r="Z30" s="224">
        <f t="shared" si="9"/>
        <v>0.33333333333333331</v>
      </c>
      <c r="AA30" s="291"/>
      <c r="AB30" s="291">
        <v>1007</v>
      </c>
      <c r="AD30" s="793"/>
      <c r="AE30" s="789"/>
      <c r="AF30" s="172"/>
    </row>
    <row r="31" spans="1:93" ht="12.75" customHeight="1" x14ac:dyDescent="0.2">
      <c r="A31" s="241">
        <v>1008</v>
      </c>
      <c r="B31" s="215" t="s">
        <v>4269</v>
      </c>
      <c r="C31" s="260" t="s">
        <v>4270</v>
      </c>
      <c r="D31" s="260" t="s">
        <v>601</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9"/>
        <v>0.33333333333333331</v>
      </c>
      <c r="Y31" s="224">
        <f t="shared" si="9"/>
        <v>0.33333333333333331</v>
      </c>
      <c r="Z31" s="224">
        <f t="shared" si="9"/>
        <v>0.33333333333333331</v>
      </c>
      <c r="AA31" s="291"/>
      <c r="AB31" s="291">
        <v>1008</v>
      </c>
      <c r="AD31" s="793"/>
      <c r="AE31" s="789"/>
      <c r="AF31" s="172"/>
    </row>
    <row r="32" spans="1:93" ht="12.75" customHeight="1" x14ac:dyDescent="0.2">
      <c r="A32" s="241">
        <v>1009</v>
      </c>
      <c r="B32" s="215" t="s">
        <v>4271</v>
      </c>
      <c r="C32" s="260" t="s">
        <v>4272</v>
      </c>
      <c r="D32" s="260" t="s">
        <v>601</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9"/>
        <v>0.33333333333333331</v>
      </c>
      <c r="Y32" s="224">
        <f t="shared" si="9"/>
        <v>0.33333333333333331</v>
      </c>
      <c r="Z32" s="224">
        <f t="shared" si="9"/>
        <v>0.33333333333333331</v>
      </c>
      <c r="AA32" s="291"/>
      <c r="AB32" s="291">
        <v>1009</v>
      </c>
      <c r="AD32" s="793"/>
      <c r="AE32" s="789"/>
      <c r="AF32" s="172"/>
    </row>
    <row r="33" spans="1:32" ht="12.75" customHeight="1" x14ac:dyDescent="0.2">
      <c r="A33" s="241">
        <v>1010</v>
      </c>
      <c r="B33" s="215" t="s">
        <v>4273</v>
      </c>
      <c r="C33" s="260" t="s">
        <v>4272</v>
      </c>
      <c r="D33" s="260" t="s">
        <v>601</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9"/>
        <v>0.33333333333333331</v>
      </c>
      <c r="Y33" s="224">
        <f t="shared" si="9"/>
        <v>0.33333333333333331</v>
      </c>
      <c r="Z33" s="224">
        <f t="shared" si="9"/>
        <v>0.33333333333333331</v>
      </c>
      <c r="AA33" s="291"/>
      <c r="AB33" s="291">
        <v>1010</v>
      </c>
      <c r="AD33" s="794"/>
      <c r="AE33" s="789"/>
      <c r="AF33" s="172"/>
    </row>
    <row r="34" spans="1:32" ht="12.75" customHeight="1" x14ac:dyDescent="0.2">
      <c r="A34" s="241">
        <v>1011</v>
      </c>
      <c r="B34" s="215" t="s">
        <v>4274</v>
      </c>
      <c r="C34" s="260" t="s">
        <v>4275</v>
      </c>
      <c r="D34" s="260" t="s">
        <v>601</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9"/>
        <v>0.33333333333333331</v>
      </c>
      <c r="Y34" s="224">
        <f t="shared" si="9"/>
        <v>0.33333333333333331</v>
      </c>
      <c r="Z34" s="224">
        <f t="shared" si="9"/>
        <v>0.33333333333333331</v>
      </c>
      <c r="AA34" s="291"/>
      <c r="AB34" s="291">
        <v>1011</v>
      </c>
      <c r="AD34" s="794"/>
      <c r="AE34" s="789"/>
      <c r="AF34" s="172"/>
    </row>
    <row r="35" spans="1:32" ht="12.75" customHeight="1" x14ac:dyDescent="0.2">
      <c r="A35" s="241">
        <v>1012</v>
      </c>
      <c r="B35" s="215" t="s">
        <v>4276</v>
      </c>
      <c r="C35" s="260" t="s">
        <v>4277</v>
      </c>
      <c r="D35" s="260" t="s">
        <v>601</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9"/>
        <v>0.33333333333333331</v>
      </c>
      <c r="Y35" s="224">
        <f t="shared" si="9"/>
        <v>0.33333333333333331</v>
      </c>
      <c r="Z35" s="224">
        <f t="shared" si="9"/>
        <v>0.33333333333333331</v>
      </c>
      <c r="AA35" s="291"/>
      <c r="AB35" s="291">
        <v>1012</v>
      </c>
      <c r="AD35" s="793"/>
      <c r="AE35" s="789"/>
      <c r="AF35" s="172"/>
    </row>
    <row r="36" spans="1:32" ht="12.75" customHeight="1" x14ac:dyDescent="0.2">
      <c r="A36" s="241">
        <v>1013</v>
      </c>
      <c r="B36" s="215" t="s">
        <v>4278</v>
      </c>
      <c r="C36" s="260" t="s">
        <v>4279</v>
      </c>
      <c r="D36" s="260" t="s">
        <v>601</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9"/>
        <v>0.33333333333333331</v>
      </c>
      <c r="Y36" s="224">
        <f t="shared" si="9"/>
        <v>0.33333333333333331</v>
      </c>
      <c r="Z36" s="224">
        <f t="shared" si="9"/>
        <v>0.33333333333333331</v>
      </c>
      <c r="AA36" s="291"/>
      <c r="AB36" s="291">
        <v>1013</v>
      </c>
      <c r="AD36" s="793"/>
      <c r="AE36" s="789"/>
      <c r="AF36" s="172"/>
    </row>
    <row r="37" spans="1:32" ht="12.75" customHeight="1" x14ac:dyDescent="0.2">
      <c r="A37" s="241">
        <v>1014</v>
      </c>
      <c r="B37" s="215" t="s">
        <v>4280</v>
      </c>
      <c r="C37" s="260" t="s">
        <v>4281</v>
      </c>
      <c r="D37" s="260" t="s">
        <v>601</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9"/>
        <v>0.33333333333333331</v>
      </c>
      <c r="Y37" s="224">
        <f t="shared" si="9"/>
        <v>0.33333333333333331</v>
      </c>
      <c r="Z37" s="224">
        <f t="shared" si="9"/>
        <v>0.33333333333333331</v>
      </c>
      <c r="AA37" s="291"/>
      <c r="AB37" s="291">
        <v>1014</v>
      </c>
      <c r="AD37" s="794"/>
      <c r="AE37" s="789"/>
      <c r="AF37" s="172"/>
    </row>
    <row r="38" spans="1:32" ht="12.75" customHeight="1" x14ac:dyDescent="0.2">
      <c r="A38" s="241">
        <v>1015</v>
      </c>
      <c r="B38" s="215" t="s">
        <v>4282</v>
      </c>
      <c r="C38" s="260" t="s">
        <v>4283</v>
      </c>
      <c r="D38" s="260" t="s">
        <v>601</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9"/>
        <v>0.33333333333333331</v>
      </c>
      <c r="Y38" s="224">
        <f t="shared" si="9"/>
        <v>0.33333333333333331</v>
      </c>
      <c r="Z38" s="224">
        <f t="shared" si="9"/>
        <v>0.33333333333333331</v>
      </c>
      <c r="AA38" s="291"/>
      <c r="AB38" s="291">
        <v>1015</v>
      </c>
      <c r="AD38" s="794"/>
      <c r="AE38" s="789"/>
      <c r="AF38" s="172"/>
    </row>
    <row r="39" spans="1:32" ht="12.75" customHeight="1" x14ac:dyDescent="0.2">
      <c r="A39" s="241">
        <v>1016</v>
      </c>
      <c r="B39" s="215" t="s">
        <v>4284</v>
      </c>
      <c r="C39" s="260" t="s">
        <v>4285</v>
      </c>
      <c r="D39" s="260" t="s">
        <v>601</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9"/>
        <v>0.33333333333333331</v>
      </c>
      <c r="Y39" s="224">
        <f t="shared" si="9"/>
        <v>0.33333333333333331</v>
      </c>
      <c r="Z39" s="224">
        <f t="shared" si="9"/>
        <v>0.33333333333333331</v>
      </c>
      <c r="AA39" s="291"/>
      <c r="AB39" s="291">
        <v>1016</v>
      </c>
      <c r="AD39" s="794"/>
      <c r="AE39" s="789"/>
      <c r="AF39" s="172"/>
    </row>
    <row r="40" spans="1:32" ht="12.75" customHeight="1" x14ac:dyDescent="0.2">
      <c r="A40" s="241">
        <v>1017</v>
      </c>
      <c r="B40" s="215" t="s">
        <v>4286</v>
      </c>
      <c r="C40" s="260" t="s">
        <v>4287</v>
      </c>
      <c r="D40" s="260" t="s">
        <v>601</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9"/>
        <v>0.33333333333333331</v>
      </c>
      <c r="Y40" s="224">
        <f t="shared" si="9"/>
        <v>0.33333333333333331</v>
      </c>
      <c r="Z40" s="224">
        <f t="shared" si="9"/>
        <v>0.33333333333333331</v>
      </c>
      <c r="AA40" s="291"/>
      <c r="AB40" s="291">
        <v>1017</v>
      </c>
      <c r="AD40" s="794"/>
      <c r="AE40" s="789"/>
      <c r="AF40" s="172"/>
    </row>
    <row r="41" spans="1:32" ht="12.75" customHeight="1" x14ac:dyDescent="0.2">
      <c r="A41" s="241">
        <v>1018</v>
      </c>
      <c r="B41" s="215" t="s">
        <v>4288</v>
      </c>
      <c r="C41" s="260" t="s">
        <v>4289</v>
      </c>
      <c r="D41" s="260" t="s">
        <v>601</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9"/>
        <v>0.33333333333333331</v>
      </c>
      <c r="Y41" s="224">
        <f t="shared" si="9"/>
        <v>0.33333333333333331</v>
      </c>
      <c r="Z41" s="224">
        <f t="shared" si="9"/>
        <v>0.33333333333333331</v>
      </c>
      <c r="AA41" s="291"/>
      <c r="AB41" s="291">
        <v>1018</v>
      </c>
      <c r="AD41" s="793"/>
      <c r="AE41" s="789"/>
      <c r="AF41" s="172"/>
    </row>
    <row r="42" spans="1:32" ht="12.75" customHeight="1" x14ac:dyDescent="0.2">
      <c r="A42" s="241">
        <v>1019</v>
      </c>
      <c r="B42" s="215" t="s">
        <v>4290</v>
      </c>
      <c r="C42" s="260" t="s">
        <v>4291</v>
      </c>
      <c r="D42" s="260" t="s">
        <v>601</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9"/>
        <v>0.33333333333333331</v>
      </c>
      <c r="Y42" s="224">
        <f t="shared" si="9"/>
        <v>0.33333333333333331</v>
      </c>
      <c r="Z42" s="224">
        <f t="shared" si="9"/>
        <v>0.33333333333333331</v>
      </c>
      <c r="AA42" s="291"/>
      <c r="AB42" s="291">
        <v>1019</v>
      </c>
      <c r="AD42" s="793"/>
      <c r="AE42" s="789"/>
      <c r="AF42" s="172"/>
    </row>
    <row r="43" spans="1:32" ht="12.75" customHeight="1" x14ac:dyDescent="0.2">
      <c r="A43" s="241">
        <v>1020</v>
      </c>
      <c r="B43" s="215" t="s">
        <v>4292</v>
      </c>
      <c r="C43" s="260" t="s">
        <v>4291</v>
      </c>
      <c r="D43" s="260" t="s">
        <v>601</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9"/>
        <v>0.33333333333333331</v>
      </c>
      <c r="Y43" s="224">
        <f t="shared" si="9"/>
        <v>0.33333333333333331</v>
      </c>
      <c r="Z43" s="224">
        <f t="shared" si="9"/>
        <v>0.33333333333333331</v>
      </c>
      <c r="AA43" s="291"/>
      <c r="AB43" s="291">
        <v>1020</v>
      </c>
      <c r="AD43" s="793"/>
      <c r="AE43" s="789"/>
      <c r="AF43" s="172"/>
    </row>
    <row r="44" spans="1:32" ht="12.75" customHeight="1" x14ac:dyDescent="0.2">
      <c r="A44" s="241">
        <v>1021</v>
      </c>
      <c r="B44" s="215" t="s">
        <v>4293</v>
      </c>
      <c r="C44" s="260" t="s">
        <v>4294</v>
      </c>
      <c r="D44" s="260" t="s">
        <v>601</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9"/>
        <v>0.33333333333333331</v>
      </c>
      <c r="Y44" s="224">
        <f t="shared" si="9"/>
        <v>0.33333333333333331</v>
      </c>
      <c r="Z44" s="224">
        <f t="shared" si="9"/>
        <v>0.33333333333333331</v>
      </c>
      <c r="AA44" s="291"/>
      <c r="AB44" s="291">
        <v>1021</v>
      </c>
      <c r="AD44" s="793"/>
      <c r="AE44" s="789"/>
      <c r="AF44" s="172"/>
    </row>
    <row r="45" spans="1:32" ht="12.75" customHeight="1" x14ac:dyDescent="0.2">
      <c r="A45" s="241">
        <v>1022</v>
      </c>
      <c r="B45" s="215" t="s">
        <v>4295</v>
      </c>
      <c r="C45" s="260" t="s">
        <v>4296</v>
      </c>
      <c r="D45" s="260" t="s">
        <v>601</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9"/>
        <v>0.33333333333333331</v>
      </c>
      <c r="Y45" s="224">
        <f t="shared" si="9"/>
        <v>0.33333333333333331</v>
      </c>
      <c r="Z45" s="224">
        <f t="shared" si="9"/>
        <v>0.33333333333333331</v>
      </c>
      <c r="AA45" s="291"/>
      <c r="AB45" s="291">
        <v>1022</v>
      </c>
      <c r="AD45" s="793"/>
      <c r="AE45" s="789"/>
      <c r="AF45" s="172"/>
    </row>
    <row r="46" spans="1:32" ht="12.75" customHeight="1" x14ac:dyDescent="0.2">
      <c r="A46" s="241">
        <v>1023</v>
      </c>
      <c r="B46" s="215" t="s">
        <v>4297</v>
      </c>
      <c r="C46" s="260" t="s">
        <v>4298</v>
      </c>
      <c r="D46" s="260" t="s">
        <v>601</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9"/>
        <v>0.33333333333333331</v>
      </c>
      <c r="Y46" s="224">
        <f t="shared" si="9"/>
        <v>0.33333333333333331</v>
      </c>
      <c r="Z46" s="224">
        <f t="shared" si="9"/>
        <v>0.33333333333333331</v>
      </c>
      <c r="AA46" s="291"/>
      <c r="AB46" s="291">
        <v>1023</v>
      </c>
      <c r="AD46" s="793"/>
      <c r="AE46" s="789"/>
      <c r="AF46" s="172"/>
    </row>
    <row r="47" spans="1:32" ht="12.75" customHeight="1" x14ac:dyDescent="0.2">
      <c r="A47" s="241">
        <v>1024</v>
      </c>
      <c r="B47" s="215" t="s">
        <v>4299</v>
      </c>
      <c r="C47" s="260" t="s">
        <v>4300</v>
      </c>
      <c r="D47" s="260" t="s">
        <v>601</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9"/>
        <v>0.33333333333333331</v>
      </c>
      <c r="Y47" s="224">
        <f t="shared" si="9"/>
        <v>0.33333333333333331</v>
      </c>
      <c r="Z47" s="224">
        <f t="shared" si="9"/>
        <v>0.33333333333333331</v>
      </c>
      <c r="AA47" s="291"/>
      <c r="AB47" s="291">
        <v>1024</v>
      </c>
      <c r="AD47" s="794"/>
      <c r="AE47" s="789"/>
      <c r="AF47" s="172"/>
    </row>
    <row r="48" spans="1:32" ht="12.75" customHeight="1" x14ac:dyDescent="0.2">
      <c r="A48" s="241">
        <v>1025</v>
      </c>
      <c r="B48" s="215" t="s">
        <v>4301</v>
      </c>
      <c r="C48" s="260" t="s">
        <v>4302</v>
      </c>
      <c r="D48" s="260" t="s">
        <v>601</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9"/>
        <v>0.33333333333333331</v>
      </c>
      <c r="Y48" s="224">
        <f t="shared" si="9"/>
        <v>0.33333333333333331</v>
      </c>
      <c r="Z48" s="224">
        <f t="shared" si="9"/>
        <v>0.33333333333333331</v>
      </c>
      <c r="AA48" s="291"/>
      <c r="AB48" s="291">
        <v>1025</v>
      </c>
      <c r="AD48" s="794"/>
      <c r="AE48" s="789"/>
      <c r="AF48" s="172"/>
    </row>
    <row r="49" spans="1:32" ht="12.75" customHeight="1" x14ac:dyDescent="0.2">
      <c r="A49" s="241">
        <v>1026</v>
      </c>
      <c r="B49" s="215" t="s">
        <v>4303</v>
      </c>
      <c r="C49" s="260" t="s">
        <v>4304</v>
      </c>
      <c r="D49" s="260" t="s">
        <v>601</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9"/>
        <v>0.33333333333333331</v>
      </c>
      <c r="Y49" s="224">
        <f t="shared" si="9"/>
        <v>0.33333333333333331</v>
      </c>
      <c r="Z49" s="224">
        <f t="shared" si="9"/>
        <v>0.33333333333333331</v>
      </c>
      <c r="AA49" s="291"/>
      <c r="AB49" s="291">
        <v>1026</v>
      </c>
      <c r="AD49" s="793"/>
      <c r="AE49" s="789"/>
      <c r="AF49" s="172"/>
    </row>
    <row r="50" spans="1:32" ht="12.75" customHeight="1" x14ac:dyDescent="0.2">
      <c r="A50" s="241">
        <v>1027</v>
      </c>
      <c r="B50" s="215" t="s">
        <v>4305</v>
      </c>
      <c r="C50" s="260" t="s">
        <v>4304</v>
      </c>
      <c r="D50" s="260" t="s">
        <v>601</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9"/>
        <v>0.33333333333333331</v>
      </c>
      <c r="Y50" s="224">
        <f t="shared" si="9"/>
        <v>0.33333333333333331</v>
      </c>
      <c r="Z50" s="224">
        <f t="shared" si="9"/>
        <v>0.33333333333333331</v>
      </c>
      <c r="AA50" s="291"/>
      <c r="AB50" s="291">
        <v>1027</v>
      </c>
      <c r="AD50" s="793"/>
      <c r="AE50" s="789"/>
      <c r="AF50" s="172"/>
    </row>
    <row r="51" spans="1:32" ht="12.75" customHeight="1" x14ac:dyDescent="0.2">
      <c r="A51" s="241">
        <v>1028</v>
      </c>
      <c r="B51" s="215" t="s">
        <v>4306</v>
      </c>
      <c r="C51" s="260" t="s">
        <v>4307</v>
      </c>
      <c r="D51" s="260" t="s">
        <v>601</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9"/>
        <v>0.33333333333333331</v>
      </c>
      <c r="Y51" s="224">
        <f t="shared" si="9"/>
        <v>0.33333333333333331</v>
      </c>
      <c r="Z51" s="224">
        <f t="shared" si="9"/>
        <v>0.33333333333333331</v>
      </c>
      <c r="AA51" s="291"/>
      <c r="AB51" s="291">
        <v>1028</v>
      </c>
      <c r="AD51" s="794"/>
      <c r="AE51" s="789"/>
      <c r="AF51" s="172"/>
    </row>
    <row r="52" spans="1:32" ht="12.75" customHeight="1" x14ac:dyDescent="0.2">
      <c r="A52" s="241">
        <v>1029</v>
      </c>
      <c r="B52" s="215" t="s">
        <v>4308</v>
      </c>
      <c r="C52" s="260" t="s">
        <v>4309</v>
      </c>
      <c r="D52" s="260" t="s">
        <v>601</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9"/>
        <v>0.33333333333333331</v>
      </c>
      <c r="Y52" s="224">
        <f t="shared" si="9"/>
        <v>0.33333333333333331</v>
      </c>
      <c r="Z52" s="224">
        <f t="shared" si="9"/>
        <v>0.33333333333333331</v>
      </c>
      <c r="AA52" s="291"/>
      <c r="AB52" s="291">
        <v>1029</v>
      </c>
      <c r="AD52" s="794"/>
      <c r="AE52" s="789"/>
      <c r="AF52" s="172"/>
    </row>
    <row r="53" spans="1:32" ht="12.75" customHeight="1" x14ac:dyDescent="0.2">
      <c r="A53" s="241">
        <v>1030</v>
      </c>
      <c r="B53" s="215" t="s">
        <v>4310</v>
      </c>
      <c r="C53" s="260" t="s">
        <v>4311</v>
      </c>
      <c r="D53" s="260" t="s">
        <v>601</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9"/>
        <v>0.33333333333333331</v>
      </c>
      <c r="Y53" s="224">
        <f t="shared" si="9"/>
        <v>0.33333333333333331</v>
      </c>
      <c r="Z53" s="224">
        <f t="shared" si="9"/>
        <v>0.33333333333333331</v>
      </c>
      <c r="AA53" s="291"/>
      <c r="AB53" s="291">
        <v>1030</v>
      </c>
      <c r="AD53" s="794"/>
      <c r="AE53" s="789"/>
      <c r="AF53" s="172"/>
    </row>
    <row r="54" spans="1:32" ht="12.75" customHeight="1" x14ac:dyDescent="0.2">
      <c r="A54" s="241">
        <v>1031</v>
      </c>
      <c r="B54" s="228" t="s">
        <v>4312</v>
      </c>
      <c r="C54" s="260" t="s">
        <v>4313</v>
      </c>
      <c r="D54" s="260" t="s">
        <v>601</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9"/>
        <v>0.33333333333333331</v>
      </c>
      <c r="Y54" s="224">
        <f t="shared" si="9"/>
        <v>0.33333333333333331</v>
      </c>
      <c r="Z54" s="224">
        <f t="shared" si="9"/>
        <v>0.33333333333333331</v>
      </c>
      <c r="AA54" s="291"/>
      <c r="AB54" s="291">
        <v>1031</v>
      </c>
      <c r="AD54" s="794"/>
      <c r="AE54" s="789"/>
      <c r="AF54" s="172"/>
    </row>
    <row r="55" spans="1:32" ht="12.75" customHeight="1" x14ac:dyDescent="0.2">
      <c r="A55" s="241">
        <v>1032</v>
      </c>
      <c r="B55" s="215" t="s">
        <v>4314</v>
      </c>
      <c r="C55" s="260" t="s">
        <v>4315</v>
      </c>
      <c r="D55" s="260" t="s">
        <v>601</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9"/>
        <v>0.33333333333333331</v>
      </c>
      <c r="Y55" s="224">
        <f t="shared" si="9"/>
        <v>0.33333333333333331</v>
      </c>
      <c r="Z55" s="224">
        <f t="shared" si="9"/>
        <v>0.33333333333333331</v>
      </c>
      <c r="AA55" s="291"/>
      <c r="AB55" s="291">
        <v>1032</v>
      </c>
      <c r="AD55" s="794"/>
      <c r="AE55" s="789"/>
      <c r="AF55" s="172"/>
    </row>
    <row r="56" spans="1:32" ht="12.75" customHeight="1" thickBot="1" x14ac:dyDescent="0.25">
      <c r="A56" s="226">
        <v>1033</v>
      </c>
      <c r="B56" s="558" t="s">
        <v>4316</v>
      </c>
      <c r="C56" s="225" t="s">
        <v>4317</v>
      </c>
      <c r="D56" s="225" t="s">
        <v>601</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9">
        <v>30000</v>
      </c>
      <c r="X56" s="560">
        <f t="shared" si="9"/>
        <v>0.33333333333333331</v>
      </c>
      <c r="Y56" s="560">
        <f t="shared" si="9"/>
        <v>0.33333333333333331</v>
      </c>
      <c r="Z56" s="560">
        <f t="shared" si="9"/>
        <v>0.33333333333333331</v>
      </c>
      <c r="AA56" s="291"/>
      <c r="AB56" s="291">
        <v>1033</v>
      </c>
      <c r="AD56" s="794"/>
      <c r="AE56" s="789"/>
      <c r="AF56" s="172"/>
    </row>
    <row r="57" spans="1:32" ht="12.75" customHeight="1" x14ac:dyDescent="0.2">
      <c r="A57" s="241"/>
      <c r="B57" s="228"/>
      <c r="C57" s="260"/>
      <c r="D57" s="216"/>
      <c r="E57" s="263"/>
      <c r="F57" s="241"/>
      <c r="G57" s="261"/>
      <c r="H57" s="261"/>
      <c r="I57" s="261"/>
      <c r="J57" s="261"/>
      <c r="K57" s="562"/>
      <c r="L57" s="261"/>
      <c r="M57" s="261"/>
      <c r="N57" s="261"/>
      <c r="O57" s="261"/>
      <c r="P57" s="261"/>
      <c r="Q57" s="261"/>
      <c r="R57" s="261"/>
      <c r="S57" s="261"/>
      <c r="T57" s="261"/>
      <c r="U57" s="258"/>
      <c r="V57" s="258"/>
      <c r="W57" s="244"/>
      <c r="X57" s="224"/>
      <c r="Y57" s="224"/>
      <c r="Z57" s="224"/>
      <c r="AA57" s="11"/>
      <c r="AB57" s="11"/>
      <c r="AD57" s="794"/>
      <c r="AE57" s="789"/>
      <c r="AF57" s="172"/>
    </row>
    <row r="58" spans="1:32" ht="12.75" customHeight="1" x14ac:dyDescent="0.2">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4"/>
      <c r="AE58" s="789"/>
      <c r="AF58" s="172"/>
    </row>
    <row r="59" spans="1:32" ht="12.75" customHeight="1" x14ac:dyDescent="0.2">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4"/>
      <c r="AE59" s="789"/>
      <c r="AF59" s="172"/>
    </row>
    <row r="60" spans="1:32" ht="12.75" customHeight="1" x14ac:dyDescent="0.2">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4"/>
      <c r="AE60" s="789"/>
      <c r="AF60" s="172"/>
    </row>
    <row r="61" spans="1:32" ht="12.75" customHeight="1" x14ac:dyDescent="0.2">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4"/>
      <c r="AE61" s="789"/>
      <c r="AF61" s="172"/>
    </row>
    <row r="62" spans="1:32" ht="12.75" customHeight="1" x14ac:dyDescent="0.2">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4"/>
      <c r="AE62" s="789"/>
      <c r="AF62" s="172"/>
    </row>
    <row r="63" spans="1:32" ht="12.75" customHeight="1" x14ac:dyDescent="0.2">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4"/>
      <c r="AE63" s="789"/>
      <c r="AF63" s="172"/>
    </row>
    <row r="64" spans="1:32" ht="12.75" customHeight="1" x14ac:dyDescent="0.2">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4"/>
      <c r="AE64" s="789"/>
      <c r="AF64" s="172"/>
    </row>
    <row r="65" spans="1:32" ht="12.75" customHeight="1" x14ac:dyDescent="0.2">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4"/>
      <c r="AE65" s="789"/>
      <c r="AF65" s="172"/>
    </row>
    <row r="66" spans="1:32" ht="12.75" customHeight="1" x14ac:dyDescent="0.2">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4"/>
      <c r="AE66" s="789"/>
      <c r="AF66" s="172"/>
    </row>
    <row r="67" spans="1:32" ht="12.75" customHeight="1" x14ac:dyDescent="0.2">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4"/>
      <c r="AE67" s="789"/>
      <c r="AF67" s="172"/>
    </row>
    <row r="68" spans="1:32" ht="12.75" customHeight="1" x14ac:dyDescent="0.2">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4"/>
      <c r="AE68" s="789"/>
      <c r="AF68" s="172"/>
    </row>
    <row r="69" spans="1:32" ht="12.75" customHeight="1" x14ac:dyDescent="0.2">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4"/>
      <c r="AE69" s="789"/>
      <c r="AF69" s="172"/>
    </row>
    <row r="70" spans="1:32" ht="12.75" customHeight="1" x14ac:dyDescent="0.2">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4"/>
    </row>
    <row r="71" spans="1:32" ht="12.75" customHeight="1" x14ac:dyDescent="0.2">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4"/>
    </row>
    <row r="72" spans="1:32" ht="12.75" customHeight="1" x14ac:dyDescent="0.2">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4"/>
    </row>
    <row r="73" spans="1:32" ht="12.75" customHeight="1" x14ac:dyDescent="0.2">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4"/>
    </row>
    <row r="74" spans="1:32" ht="12.75" customHeight="1" x14ac:dyDescent="0.2">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4"/>
    </row>
    <row r="75" spans="1:32" ht="12.75" customHeight="1" x14ac:dyDescent="0.2">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4"/>
    </row>
    <row r="76" spans="1:32" ht="12.75" customHeight="1" x14ac:dyDescent="0.2">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4"/>
    </row>
    <row r="77" spans="1:32" ht="12.75" customHeight="1" x14ac:dyDescent="0.2">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4"/>
    </row>
    <row r="78" spans="1:32" ht="12.75" customHeight="1" x14ac:dyDescent="0.2">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4"/>
    </row>
    <row r="79" spans="1:32" ht="12.75" customHeight="1" x14ac:dyDescent="0.2">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4"/>
    </row>
    <row r="80" spans="1:32" ht="12.75" customHeight="1" x14ac:dyDescent="0.2">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4"/>
    </row>
    <row r="81" spans="1:30" ht="12.75" customHeight="1" x14ac:dyDescent="0.2">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4"/>
    </row>
    <row r="82" spans="1:30" ht="12.75" customHeight="1" x14ac:dyDescent="0.2">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4"/>
    </row>
    <row r="83" spans="1:30" ht="12.75" customHeight="1" x14ac:dyDescent="0.2">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2">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2">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2">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2">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2">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2">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2">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2">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2">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2">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2">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2">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2">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2"/>
    <row r="98" s="11" customFormat="1" ht="12.75" customHeight="1" x14ac:dyDescent="0.2"/>
    <row r="99" s="11" customFormat="1" ht="12.75" customHeight="1" x14ac:dyDescent="0.2"/>
    <row r="100" s="11" customFormat="1" ht="12.75" customHeight="1" x14ac:dyDescent="0.2"/>
    <row r="101" s="11" customFormat="1" ht="12.75" customHeight="1" x14ac:dyDescent="0.2"/>
    <row r="102" s="11" customFormat="1" ht="12.75" customHeight="1" x14ac:dyDescent="0.2"/>
    <row r="103" s="11" customFormat="1" ht="12.75" customHeight="1" x14ac:dyDescent="0.2"/>
    <row r="104" s="11" customFormat="1" ht="12.75" customHeight="1" x14ac:dyDescent="0.2"/>
    <row r="105" s="11" customFormat="1" ht="12.75" customHeight="1" x14ac:dyDescent="0.2"/>
    <row r="106" s="11" customFormat="1" ht="12.75" customHeight="1" x14ac:dyDescent="0.2"/>
    <row r="107" s="11" customFormat="1" ht="12.75" customHeight="1" x14ac:dyDescent="0.2"/>
    <row r="108" s="11" customFormat="1" ht="12.75" customHeight="1" x14ac:dyDescent="0.2"/>
    <row r="109" s="11" customFormat="1" ht="12.75" customHeight="1" x14ac:dyDescent="0.2"/>
    <row r="110" s="11" customFormat="1" ht="12.75" customHeight="1" x14ac:dyDescent="0.2"/>
    <row r="111" s="11" customFormat="1" ht="12.75" customHeight="1" x14ac:dyDescent="0.2"/>
    <row r="112" s="11" customFormat="1" ht="12.75" customHeight="1" x14ac:dyDescent="0.2"/>
    <row r="113" s="11" customFormat="1" ht="12.75" customHeight="1" x14ac:dyDescent="0.2"/>
    <row r="114" s="11" customFormat="1" ht="12.75" customHeight="1" x14ac:dyDescent="0.2"/>
    <row r="115" s="11" customFormat="1" ht="12.75" customHeight="1" x14ac:dyDescent="0.2"/>
    <row r="116" s="11" customFormat="1" ht="12.75" customHeight="1" x14ac:dyDescent="0.2"/>
    <row r="117" s="11" customFormat="1" ht="12.75" customHeight="1" x14ac:dyDescent="0.2"/>
    <row r="118" s="11" customFormat="1" ht="12.75" customHeight="1" x14ac:dyDescent="0.2"/>
    <row r="119" s="11" customFormat="1" ht="12.75" customHeight="1" x14ac:dyDescent="0.2"/>
    <row r="120" s="11" customFormat="1" ht="12.75" customHeight="1" x14ac:dyDescent="0.2"/>
    <row r="121" s="11" customFormat="1" ht="12.75" customHeight="1" x14ac:dyDescent="0.2"/>
    <row r="122" s="11" customFormat="1" ht="12.75" customHeight="1" x14ac:dyDescent="0.2"/>
    <row r="123" s="11" customFormat="1" ht="12.75" customHeight="1" x14ac:dyDescent="0.2"/>
    <row r="124" s="11" customFormat="1" ht="12.75" customHeight="1" x14ac:dyDescent="0.2"/>
    <row r="125" s="11" customFormat="1" ht="12.75" customHeight="1" x14ac:dyDescent="0.2"/>
    <row r="126" s="11" customFormat="1" ht="12.75" customHeight="1" x14ac:dyDescent="0.2"/>
    <row r="127" s="11" customFormat="1" ht="12.75" customHeight="1" x14ac:dyDescent="0.2"/>
    <row r="128" s="11" customFormat="1" ht="12.75" customHeight="1" x14ac:dyDescent="0.2"/>
    <row r="129" s="11" customFormat="1" ht="12.75" customHeight="1" x14ac:dyDescent="0.2"/>
    <row r="130" s="11" customFormat="1" ht="12.75" customHeight="1" x14ac:dyDescent="0.2"/>
    <row r="131" s="11" customFormat="1" ht="12.75" customHeight="1" x14ac:dyDescent="0.2"/>
    <row r="132" s="11" customFormat="1" ht="12.75" customHeight="1" x14ac:dyDescent="0.2"/>
    <row r="133" s="11" customFormat="1" ht="12.75" customHeight="1" x14ac:dyDescent="0.2"/>
    <row r="134" s="11" customFormat="1" ht="12.75" customHeight="1" x14ac:dyDescent="0.2"/>
    <row r="135" s="11" customFormat="1" ht="12.75" customHeight="1" x14ac:dyDescent="0.2"/>
    <row r="136" s="11" customFormat="1" ht="12.75" customHeight="1" x14ac:dyDescent="0.2"/>
    <row r="137" s="11" customFormat="1" ht="12.75" customHeight="1" x14ac:dyDescent="0.2"/>
    <row r="138" s="11" customFormat="1" ht="12.75" customHeight="1" x14ac:dyDescent="0.2"/>
    <row r="139" s="11" customFormat="1" ht="12.75" customHeight="1" x14ac:dyDescent="0.2"/>
    <row r="140" s="11" customFormat="1" ht="12.75" customHeight="1" x14ac:dyDescent="0.2"/>
    <row r="141" s="11" customFormat="1" ht="12.75" customHeight="1" x14ac:dyDescent="0.2"/>
    <row r="142" s="11" customFormat="1" ht="12.75" customHeight="1" x14ac:dyDescent="0.2"/>
    <row r="143" s="11" customFormat="1" ht="12.75" customHeight="1" x14ac:dyDescent="0.2"/>
    <row r="144" s="11" customFormat="1" ht="12.75" customHeight="1" x14ac:dyDescent="0.2"/>
    <row r="145" s="11" customFormat="1" ht="12.75" customHeight="1" x14ac:dyDescent="0.2"/>
    <row r="146" s="11" customFormat="1" ht="12.75" customHeight="1" x14ac:dyDescent="0.2"/>
    <row r="147" s="11" customFormat="1" ht="12.75" customHeight="1" x14ac:dyDescent="0.2"/>
    <row r="148" s="11" customFormat="1" ht="12.75" customHeight="1" x14ac:dyDescent="0.2"/>
    <row r="149" s="11" customFormat="1" ht="12.75" customHeight="1" x14ac:dyDescent="0.2"/>
    <row r="150" s="11" customFormat="1" ht="12.75" customHeight="1" x14ac:dyDescent="0.2"/>
    <row r="151" s="11" customFormat="1" ht="12.75" customHeight="1" x14ac:dyDescent="0.2"/>
    <row r="152" s="11" customFormat="1" ht="12.75" customHeight="1" x14ac:dyDescent="0.2"/>
    <row r="153" s="11" customFormat="1" ht="12.75" customHeight="1" x14ac:dyDescent="0.2"/>
    <row r="154" s="11" customFormat="1" ht="12.75" customHeight="1" x14ac:dyDescent="0.2"/>
    <row r="155" s="11" customFormat="1" ht="12.75" customHeight="1" x14ac:dyDescent="0.2"/>
    <row r="156" s="11" customFormat="1" ht="12.75" customHeight="1" x14ac:dyDescent="0.2"/>
    <row r="157" s="11" customFormat="1" ht="12.75" customHeight="1" x14ac:dyDescent="0.2"/>
    <row r="158" s="11" customFormat="1" ht="12.75" customHeight="1" x14ac:dyDescent="0.2"/>
    <row r="159" s="11" customFormat="1" ht="12.75" customHeight="1" x14ac:dyDescent="0.2"/>
    <row r="160" s="11" customFormat="1" ht="12.75" customHeight="1" x14ac:dyDescent="0.2"/>
    <row r="161" s="11" customFormat="1" ht="12.75" customHeight="1" x14ac:dyDescent="0.2"/>
    <row r="162" s="11" customFormat="1" ht="12.75" customHeight="1" x14ac:dyDescent="0.2"/>
    <row r="163" s="11" customFormat="1" ht="12.75" customHeight="1" x14ac:dyDescent="0.2"/>
    <row r="164" s="11" customFormat="1" ht="12.75" customHeight="1" x14ac:dyDescent="0.2"/>
    <row r="165" s="11" customFormat="1" ht="12.75" customHeight="1" x14ac:dyDescent="0.2"/>
    <row r="166" s="11" customFormat="1" ht="12.75" customHeight="1" x14ac:dyDescent="0.2"/>
    <row r="167" s="11" customFormat="1" ht="12.75" customHeight="1" x14ac:dyDescent="0.2"/>
    <row r="168" s="11" customFormat="1" ht="12.75" customHeight="1" x14ac:dyDescent="0.2"/>
    <row r="169" s="11" customFormat="1" ht="12.75" customHeight="1" x14ac:dyDescent="0.2"/>
    <row r="170" s="11" customFormat="1" ht="12.75" customHeight="1" x14ac:dyDescent="0.2"/>
    <row r="171" s="11" customFormat="1" ht="12.75" customHeight="1" x14ac:dyDescent="0.2"/>
    <row r="172" s="11" customFormat="1" ht="12.75" customHeight="1" x14ac:dyDescent="0.2"/>
    <row r="173" s="11" customFormat="1" ht="12.75" customHeight="1" x14ac:dyDescent="0.2"/>
    <row r="174" s="11" customFormat="1" ht="12.75" customHeight="1" x14ac:dyDescent="0.2"/>
    <row r="175" s="11" customFormat="1" ht="12.75" customHeight="1" x14ac:dyDescent="0.2"/>
    <row r="176" s="11" customFormat="1" ht="12.75" customHeight="1" x14ac:dyDescent="0.2"/>
    <row r="177" s="11" customFormat="1" ht="12.75" customHeight="1" x14ac:dyDescent="0.2"/>
    <row r="178" s="11" customFormat="1" ht="12.75" customHeight="1" x14ac:dyDescent="0.2"/>
    <row r="179" s="11" customFormat="1" ht="12.75" customHeight="1" x14ac:dyDescent="0.2"/>
    <row r="180" s="11" customFormat="1" ht="12.75" customHeight="1" x14ac:dyDescent="0.2"/>
    <row r="181" s="11" customFormat="1" ht="12.75" customHeight="1" x14ac:dyDescent="0.2"/>
    <row r="182" s="11" customFormat="1" ht="12.75" customHeight="1" x14ac:dyDescent="0.2"/>
    <row r="183" s="11" customFormat="1" ht="12.75" customHeight="1" x14ac:dyDescent="0.2"/>
    <row r="184" s="11" customFormat="1" ht="12.75" customHeight="1" x14ac:dyDescent="0.2"/>
    <row r="185" s="11" customFormat="1" ht="12.75" customHeight="1" x14ac:dyDescent="0.2"/>
    <row r="186" s="11" customFormat="1" ht="12.75" customHeight="1" x14ac:dyDescent="0.2"/>
    <row r="187" s="11" customFormat="1" ht="12.75" customHeight="1" x14ac:dyDescent="0.2"/>
    <row r="188" s="11" customFormat="1" ht="12.75" customHeight="1" x14ac:dyDescent="0.2"/>
    <row r="189" s="11" customFormat="1" ht="12.75" customHeight="1" x14ac:dyDescent="0.2"/>
    <row r="190" s="11" customFormat="1" ht="12.75" customHeight="1" x14ac:dyDescent="0.2"/>
    <row r="191" s="11" customFormat="1" ht="12.75" customHeight="1" x14ac:dyDescent="0.2"/>
    <row r="192" s="11" customFormat="1" ht="12.75" customHeight="1" x14ac:dyDescent="0.2"/>
    <row r="193" s="11" customFormat="1" ht="12.75" customHeight="1" x14ac:dyDescent="0.2"/>
    <row r="194" s="11" customFormat="1" ht="12.75" customHeight="1" x14ac:dyDescent="0.2"/>
    <row r="195" s="11" customFormat="1" ht="12.75" customHeight="1" x14ac:dyDescent="0.2"/>
    <row r="196" s="11" customFormat="1" ht="12.75" customHeight="1" x14ac:dyDescent="0.2"/>
    <row r="197" s="11" customFormat="1" ht="12.75" customHeight="1" x14ac:dyDescent="0.2"/>
    <row r="198" s="11" customFormat="1" ht="12.75" customHeight="1" x14ac:dyDescent="0.2"/>
    <row r="199" s="11" customFormat="1" ht="12.75" customHeight="1" x14ac:dyDescent="0.2"/>
    <row r="200" s="11" customFormat="1" ht="12.75" customHeight="1" x14ac:dyDescent="0.2"/>
    <row r="201" s="11" customFormat="1" ht="12.75" customHeight="1" x14ac:dyDescent="0.2"/>
    <row r="202" s="11" customFormat="1" ht="12.75" customHeight="1" x14ac:dyDescent="0.2"/>
    <row r="203" s="11" customFormat="1" ht="12.75" customHeight="1" x14ac:dyDescent="0.2"/>
    <row r="204" s="11" customFormat="1" ht="12.75" customHeight="1" x14ac:dyDescent="0.2"/>
    <row r="205" s="11" customFormat="1" ht="12.75" customHeight="1" x14ac:dyDescent="0.2"/>
    <row r="206" s="11" customFormat="1" ht="12.75" customHeight="1" x14ac:dyDescent="0.2"/>
    <row r="207" s="11" customFormat="1" ht="12.75" customHeight="1" x14ac:dyDescent="0.2"/>
    <row r="208" s="11" customFormat="1" ht="12.75" customHeight="1" x14ac:dyDescent="0.2"/>
    <row r="209" s="11" customFormat="1" ht="12.75" customHeight="1" x14ac:dyDescent="0.2"/>
    <row r="210" s="11" customFormat="1" ht="12.75" customHeight="1" x14ac:dyDescent="0.2"/>
    <row r="211" s="11" customFormat="1" ht="12.75" customHeight="1" x14ac:dyDescent="0.2"/>
    <row r="212" s="11" customFormat="1" ht="12.75" customHeight="1" x14ac:dyDescent="0.2"/>
    <row r="213" s="11" customFormat="1" ht="12.75" customHeight="1" x14ac:dyDescent="0.2"/>
    <row r="214" s="11" customFormat="1" ht="12.75" customHeight="1" x14ac:dyDescent="0.2"/>
    <row r="215" s="11" customFormat="1" ht="12.75" customHeight="1" x14ac:dyDescent="0.2"/>
    <row r="216" s="11" customFormat="1" ht="12.75" customHeight="1" x14ac:dyDescent="0.2"/>
    <row r="217" s="11" customFormat="1" ht="12.75" customHeight="1" x14ac:dyDescent="0.2"/>
    <row r="218" s="11" customFormat="1" ht="12.75" customHeight="1" x14ac:dyDescent="0.2"/>
    <row r="219" s="11" customFormat="1" ht="12.75" customHeight="1" x14ac:dyDescent="0.2"/>
    <row r="220" s="11" customFormat="1" ht="12.75" customHeight="1" x14ac:dyDescent="0.2"/>
    <row r="221" s="11" customFormat="1" ht="12.75" customHeight="1" x14ac:dyDescent="0.2"/>
    <row r="222" s="11" customFormat="1" ht="12.75" customHeight="1" x14ac:dyDescent="0.2"/>
    <row r="223" s="11" customFormat="1" ht="12.75" customHeight="1" x14ac:dyDescent="0.2"/>
    <row r="224" s="11" customFormat="1" ht="12.75" customHeight="1" x14ac:dyDescent="0.2"/>
    <row r="225" s="11" customFormat="1" ht="12.75" customHeight="1" x14ac:dyDescent="0.2"/>
    <row r="226" s="11" customFormat="1" ht="12.75" customHeight="1" x14ac:dyDescent="0.2"/>
    <row r="227" s="11" customFormat="1" ht="12.75" customHeight="1" x14ac:dyDescent="0.2"/>
    <row r="228" s="11" customFormat="1" ht="12.75" customHeight="1" x14ac:dyDescent="0.2"/>
    <row r="229" s="11" customFormat="1" ht="12.75" customHeight="1" x14ac:dyDescent="0.2"/>
    <row r="230" s="11" customFormat="1" ht="12.75" customHeight="1" x14ac:dyDescent="0.2"/>
    <row r="231" s="11" customFormat="1" ht="12.75" customHeight="1" x14ac:dyDescent="0.2"/>
    <row r="232" s="11" customFormat="1" ht="12.75" customHeight="1" x14ac:dyDescent="0.2"/>
    <row r="233" s="11" customFormat="1" ht="12.75" customHeight="1" x14ac:dyDescent="0.2"/>
    <row r="234" s="11" customFormat="1" ht="12.75" customHeight="1" x14ac:dyDescent="0.2"/>
    <row r="235" s="11" customFormat="1" ht="12.75" customHeight="1" x14ac:dyDescent="0.2"/>
    <row r="236" s="11" customFormat="1" ht="12.75" customHeight="1" x14ac:dyDescent="0.2"/>
    <row r="237" s="11" customFormat="1" ht="12.75" customHeight="1" x14ac:dyDescent="0.2"/>
    <row r="238" s="11" customFormat="1" ht="12.75" customHeight="1" x14ac:dyDescent="0.2"/>
    <row r="239" s="11" customFormat="1" ht="12.75" customHeight="1" x14ac:dyDescent="0.2"/>
    <row r="240" s="11" customFormat="1" ht="12.75" customHeight="1" x14ac:dyDescent="0.2"/>
    <row r="241" s="11" customFormat="1" ht="12.75" customHeight="1" x14ac:dyDescent="0.2"/>
    <row r="242" s="11" customFormat="1" ht="12.75" customHeight="1" x14ac:dyDescent="0.2"/>
    <row r="243" s="11" customFormat="1" ht="12.75" customHeight="1" x14ac:dyDescent="0.2"/>
    <row r="244" s="11" customFormat="1" ht="12.75" customHeight="1" x14ac:dyDescent="0.2"/>
    <row r="245" s="11" customFormat="1" ht="12.75" customHeight="1" x14ac:dyDescent="0.2"/>
    <row r="246" s="11" customFormat="1" ht="12.75" customHeight="1" x14ac:dyDescent="0.2"/>
    <row r="247" s="11" customFormat="1" ht="12.75" customHeight="1" x14ac:dyDescent="0.2"/>
    <row r="248" s="11" customFormat="1" ht="12.75" customHeight="1" x14ac:dyDescent="0.2"/>
    <row r="249" s="11" customFormat="1" ht="12.75" customHeight="1" x14ac:dyDescent="0.2"/>
    <row r="250" s="11" customFormat="1" ht="12.75" customHeight="1" x14ac:dyDescent="0.2"/>
    <row r="251" s="11" customFormat="1" ht="12.75" customHeight="1" x14ac:dyDescent="0.2"/>
    <row r="252" s="11" customFormat="1" ht="12.75" customHeight="1" x14ac:dyDescent="0.2"/>
    <row r="253" s="11" customFormat="1" ht="12.75" customHeight="1" x14ac:dyDescent="0.2"/>
    <row r="254" s="11" customFormat="1" ht="12.75" customHeight="1" x14ac:dyDescent="0.2"/>
    <row r="255" s="11" customFormat="1" ht="12.75" customHeight="1" x14ac:dyDescent="0.2"/>
    <row r="256" s="11" customFormat="1" ht="12.75" customHeight="1" x14ac:dyDescent="0.2"/>
    <row r="257" s="11" customFormat="1" ht="12.75" customHeight="1" x14ac:dyDescent="0.2"/>
    <row r="258" s="11" customFormat="1" ht="12.75" customHeight="1" x14ac:dyDescent="0.2"/>
    <row r="259" s="11" customFormat="1" ht="12.75" customHeight="1" x14ac:dyDescent="0.2"/>
    <row r="260" s="11" customFormat="1" ht="12.75" customHeight="1" x14ac:dyDescent="0.2"/>
    <row r="261" s="11" customFormat="1" ht="12.75" customHeight="1" x14ac:dyDescent="0.2"/>
    <row r="262" s="11" customFormat="1" ht="12.75" customHeight="1" x14ac:dyDescent="0.2"/>
    <row r="263" s="11" customFormat="1" ht="12.75" customHeight="1" x14ac:dyDescent="0.2"/>
    <row r="264" s="11" customFormat="1" ht="12.75" customHeight="1" x14ac:dyDescent="0.2"/>
    <row r="265" s="11" customFormat="1" ht="12.75" customHeight="1" x14ac:dyDescent="0.2"/>
    <row r="266" s="11" customFormat="1" ht="12.75" customHeight="1" x14ac:dyDescent="0.2"/>
    <row r="267" s="11" customFormat="1" ht="12.75" customHeight="1" x14ac:dyDescent="0.2"/>
    <row r="268" s="11" customFormat="1" ht="12.75" customHeight="1" x14ac:dyDescent="0.2"/>
    <row r="269" s="11" customFormat="1" ht="12.75" customHeight="1" x14ac:dyDescent="0.2"/>
    <row r="270" s="11" customFormat="1" ht="12.75" customHeight="1" x14ac:dyDescent="0.2"/>
    <row r="271" s="11" customFormat="1" ht="12.75" customHeight="1" x14ac:dyDescent="0.2"/>
    <row r="272" s="11" customFormat="1" ht="12.75" customHeight="1" x14ac:dyDescent="0.2"/>
    <row r="273" s="11" customFormat="1" ht="12.75" customHeight="1" x14ac:dyDescent="0.2"/>
    <row r="274" s="11" customFormat="1" ht="12.75" customHeight="1" x14ac:dyDescent="0.2"/>
    <row r="275" s="11" customFormat="1" ht="12.75" customHeight="1" x14ac:dyDescent="0.2"/>
    <row r="276" s="11" customFormat="1" ht="12.75" customHeight="1" x14ac:dyDescent="0.2"/>
    <row r="277" s="11" customFormat="1" ht="12.75" customHeight="1" x14ac:dyDescent="0.2"/>
    <row r="278" s="11" customFormat="1" ht="12.75" customHeight="1" x14ac:dyDescent="0.2"/>
    <row r="279" s="11" customFormat="1" ht="12.75" customHeight="1" x14ac:dyDescent="0.2"/>
    <row r="280" s="11" customFormat="1" ht="12.75" customHeight="1" x14ac:dyDescent="0.2"/>
    <row r="281" s="11" customFormat="1" ht="12.75" customHeight="1" x14ac:dyDescent="0.2"/>
    <row r="282" s="11" customFormat="1" ht="12.75" customHeight="1" x14ac:dyDescent="0.2"/>
    <row r="283" s="11" customFormat="1" ht="12.75" customHeight="1" x14ac:dyDescent="0.2"/>
    <row r="284" s="11" customFormat="1" ht="12.75" customHeight="1" x14ac:dyDescent="0.2"/>
    <row r="285" s="11" customFormat="1" ht="12.75" customHeight="1" x14ac:dyDescent="0.2"/>
    <row r="286" s="11" customFormat="1" ht="12.75" customHeight="1" x14ac:dyDescent="0.2"/>
    <row r="287" s="11" customFormat="1" ht="12.75" customHeight="1" x14ac:dyDescent="0.2"/>
    <row r="288" s="11" customFormat="1" ht="12.75" customHeight="1" x14ac:dyDescent="0.2"/>
    <row r="289" s="11" customFormat="1" ht="12.75" customHeight="1" x14ac:dyDescent="0.2"/>
    <row r="290" s="11" customFormat="1" ht="12.75" customHeight="1" x14ac:dyDescent="0.2"/>
    <row r="291" s="11" customFormat="1" ht="12.75" customHeight="1" x14ac:dyDescent="0.2"/>
    <row r="292" s="11" customFormat="1" ht="12.75" customHeight="1" x14ac:dyDescent="0.2"/>
    <row r="293" s="11" customFormat="1" ht="12.75" customHeight="1" x14ac:dyDescent="0.2"/>
    <row r="294" s="11" customFormat="1" ht="12.75" customHeight="1" x14ac:dyDescent="0.2"/>
    <row r="295" s="11" customFormat="1" ht="12.75" customHeight="1" x14ac:dyDescent="0.2"/>
    <row r="296" s="11" customFormat="1" ht="12.75" customHeight="1" x14ac:dyDescent="0.2"/>
    <row r="297" s="11" customFormat="1" ht="12.75" customHeight="1" x14ac:dyDescent="0.2"/>
    <row r="298" s="11" customFormat="1" ht="12.75" customHeight="1" x14ac:dyDescent="0.2"/>
    <row r="299" s="11" customFormat="1" ht="12.75" customHeight="1" x14ac:dyDescent="0.2"/>
    <row r="300" s="11" customFormat="1" ht="12.75" customHeight="1" x14ac:dyDescent="0.2"/>
    <row r="301" s="11" customFormat="1" ht="12.75" customHeight="1" x14ac:dyDescent="0.2"/>
    <row r="302" s="11" customFormat="1" ht="12.75" customHeight="1" x14ac:dyDescent="0.2"/>
    <row r="303" s="11" customFormat="1" ht="12.75" customHeight="1" x14ac:dyDescent="0.2"/>
    <row r="304" s="11" customFormat="1" ht="12.75" customHeight="1" x14ac:dyDescent="0.2"/>
    <row r="305" s="11" customFormat="1" ht="12.75" customHeight="1" x14ac:dyDescent="0.2"/>
    <row r="306" s="11" customFormat="1" ht="12.75" customHeight="1" x14ac:dyDescent="0.2"/>
    <row r="307" s="11" customFormat="1" ht="12.75" customHeight="1" x14ac:dyDescent="0.2"/>
    <row r="308" s="11" customFormat="1" ht="12.75" customHeight="1" x14ac:dyDescent="0.2"/>
    <row r="309" s="11" customFormat="1" ht="12.75" customHeight="1" x14ac:dyDescent="0.2"/>
    <row r="310" s="11" customFormat="1" ht="12.75" customHeight="1" x14ac:dyDescent="0.2"/>
    <row r="311" s="11" customFormat="1" ht="12.75" customHeight="1" x14ac:dyDescent="0.2"/>
    <row r="312" s="11" customFormat="1" ht="12.75" customHeight="1" x14ac:dyDescent="0.2"/>
    <row r="313" s="11" customFormat="1" ht="12.75" customHeight="1" x14ac:dyDescent="0.2"/>
    <row r="314" s="11" customFormat="1" ht="12.75" customHeight="1" x14ac:dyDescent="0.2"/>
    <row r="315" s="11" customFormat="1" ht="12.75" customHeight="1" x14ac:dyDescent="0.2"/>
    <row r="316" s="11" customFormat="1" ht="12.75" customHeight="1" x14ac:dyDescent="0.2"/>
    <row r="317" s="11" customFormat="1" ht="12.75" customHeight="1" x14ac:dyDescent="0.2"/>
    <row r="318" s="11" customFormat="1" ht="12.75" customHeight="1" x14ac:dyDescent="0.2"/>
    <row r="319" s="11" customFormat="1" ht="12.75" customHeight="1" x14ac:dyDescent="0.2"/>
    <row r="320" s="11" customFormat="1" ht="12.75" customHeight="1" x14ac:dyDescent="0.2"/>
    <row r="321" s="11" customFormat="1" ht="12.75" customHeight="1" x14ac:dyDescent="0.2"/>
    <row r="322" s="11" customFormat="1" ht="12.75" customHeight="1" x14ac:dyDescent="0.2"/>
    <row r="323" s="11" customFormat="1" ht="12.75" customHeight="1" x14ac:dyDescent="0.2"/>
    <row r="324" s="11" customFormat="1" ht="12.75" customHeight="1" x14ac:dyDescent="0.2"/>
    <row r="325" s="11" customFormat="1" ht="12.75" customHeight="1" x14ac:dyDescent="0.2"/>
    <row r="326" s="11" customFormat="1" ht="12.75" customHeight="1" x14ac:dyDescent="0.2"/>
    <row r="327" s="11" customFormat="1" ht="12.75" customHeight="1" x14ac:dyDescent="0.2"/>
    <row r="328" s="11" customFormat="1" ht="12.75" customHeight="1" x14ac:dyDescent="0.2"/>
    <row r="329" s="11" customFormat="1" ht="12.75" customHeight="1" x14ac:dyDescent="0.2"/>
    <row r="330" s="11" customFormat="1" ht="12.75" customHeight="1" x14ac:dyDescent="0.2"/>
    <row r="331" s="11" customFormat="1" ht="12.75" customHeight="1" x14ac:dyDescent="0.2"/>
    <row r="332" s="11" customFormat="1" ht="12.75" customHeight="1" x14ac:dyDescent="0.2"/>
    <row r="333" s="11" customFormat="1" ht="12.75" customHeight="1" x14ac:dyDescent="0.2"/>
    <row r="334" s="11" customFormat="1" ht="12.75" customHeight="1" x14ac:dyDescent="0.2"/>
    <row r="335" s="11" customFormat="1" ht="12.75" customHeight="1" x14ac:dyDescent="0.2"/>
    <row r="336" s="11" customFormat="1" ht="12.75" customHeight="1" x14ac:dyDescent="0.2"/>
    <row r="337" s="11" customFormat="1" ht="12.75" customHeight="1" x14ac:dyDescent="0.2"/>
    <row r="338" s="11" customFormat="1" ht="12.75" customHeight="1" x14ac:dyDescent="0.2"/>
    <row r="339" s="11" customFormat="1" ht="12.75" customHeight="1" x14ac:dyDescent="0.2"/>
    <row r="340" s="11" customFormat="1" ht="12.75" customHeight="1" x14ac:dyDescent="0.2"/>
    <row r="341" s="11" customFormat="1" ht="12.75" customHeight="1" x14ac:dyDescent="0.2"/>
    <row r="342" s="11" customFormat="1" ht="12.75" customHeight="1" x14ac:dyDescent="0.2"/>
    <row r="343" s="11" customFormat="1" ht="12.75" customHeight="1" x14ac:dyDescent="0.2"/>
    <row r="344" s="11" customFormat="1" ht="12.75" customHeight="1" x14ac:dyDescent="0.2"/>
    <row r="345" s="11" customFormat="1" ht="12.75" customHeight="1" x14ac:dyDescent="0.2"/>
    <row r="346" s="11" customFormat="1" ht="12.75" customHeight="1" x14ac:dyDescent="0.2"/>
    <row r="347" s="11" customFormat="1" ht="12.75" customHeight="1" x14ac:dyDescent="0.2"/>
    <row r="348" s="11" customFormat="1" ht="12.75" customHeight="1" x14ac:dyDescent="0.2"/>
    <row r="349" s="11" customFormat="1" ht="12.75" customHeight="1" x14ac:dyDescent="0.2"/>
    <row r="350" s="11" customFormat="1" ht="12.75" customHeight="1" x14ac:dyDescent="0.2"/>
    <row r="351" s="11" customFormat="1" ht="12.75" customHeight="1" x14ac:dyDescent="0.2"/>
    <row r="352" s="11" customFormat="1" ht="12.75" customHeight="1" x14ac:dyDescent="0.2"/>
    <row r="353" s="11" customFormat="1" ht="12.75" customHeight="1" x14ac:dyDescent="0.2"/>
    <row r="354" s="11" customFormat="1" ht="12.75" customHeight="1" x14ac:dyDescent="0.2"/>
    <row r="355" s="11" customFormat="1" ht="12.75" customHeight="1" x14ac:dyDescent="0.2"/>
    <row r="356" s="11" customFormat="1" ht="12.75" customHeight="1" x14ac:dyDescent="0.2"/>
    <row r="357" s="11" customFormat="1" ht="12.75" customHeight="1" x14ac:dyDescent="0.2"/>
    <row r="358" s="11" customFormat="1" ht="12.75" customHeight="1" x14ac:dyDescent="0.2"/>
    <row r="359" s="11" customFormat="1" ht="12.75" customHeight="1" x14ac:dyDescent="0.2"/>
    <row r="360" s="11" customFormat="1" ht="12.75" customHeight="1" x14ac:dyDescent="0.2"/>
    <row r="361" s="11" customFormat="1" ht="12.75" customHeight="1" x14ac:dyDescent="0.2"/>
    <row r="362" s="11" customFormat="1" ht="12.75" customHeight="1" x14ac:dyDescent="0.2"/>
    <row r="363" s="11" customFormat="1" ht="12.75" customHeight="1" x14ac:dyDescent="0.2"/>
    <row r="364" s="11" customFormat="1" ht="12.75" customHeight="1" x14ac:dyDescent="0.2"/>
    <row r="365" s="11" customFormat="1" ht="12.75" customHeight="1" x14ac:dyDescent="0.2"/>
    <row r="366" s="11" customFormat="1" ht="12.75" customHeight="1" x14ac:dyDescent="0.2"/>
    <row r="367" s="11" customFormat="1" ht="12.75" customHeight="1" x14ac:dyDescent="0.2"/>
    <row r="368" s="11" customFormat="1" ht="12.75" customHeight="1" x14ac:dyDescent="0.2"/>
    <row r="369" s="11" customFormat="1" ht="12.75" customHeight="1" x14ac:dyDescent="0.2"/>
    <row r="370" s="11" customFormat="1" ht="12.75" customHeight="1" x14ac:dyDescent="0.2"/>
    <row r="371" s="11" customFormat="1" ht="12.75" customHeight="1" x14ac:dyDescent="0.2"/>
    <row r="372" s="11" customFormat="1" ht="12.75" customHeight="1" x14ac:dyDescent="0.2"/>
    <row r="373" s="11" customFormat="1" ht="12.75" customHeight="1" x14ac:dyDescent="0.2"/>
    <row r="374" s="11" customFormat="1" ht="12.75" customHeight="1" x14ac:dyDescent="0.2"/>
    <row r="375" s="11" customFormat="1" ht="12.75" customHeight="1" x14ac:dyDescent="0.2"/>
    <row r="376" s="11" customFormat="1" ht="12.75" customHeight="1" x14ac:dyDescent="0.2"/>
    <row r="377" s="11" customFormat="1" ht="12.75" customHeight="1" x14ac:dyDescent="0.2"/>
    <row r="378" s="11" customFormat="1" ht="12.75" customHeight="1" x14ac:dyDescent="0.2"/>
    <row r="379" s="11" customFormat="1" ht="12.75" customHeight="1" x14ac:dyDescent="0.2"/>
    <row r="380" s="11" customFormat="1" ht="12.75" customHeight="1" x14ac:dyDescent="0.2"/>
    <row r="381" s="11" customFormat="1" ht="12.75" customHeight="1" x14ac:dyDescent="0.2"/>
    <row r="382" s="11" customFormat="1" ht="12.75" customHeight="1" x14ac:dyDescent="0.2"/>
    <row r="383" s="11" customFormat="1" ht="12.75" customHeight="1" x14ac:dyDescent="0.2"/>
    <row r="384" s="11" customFormat="1" ht="12.75" customHeight="1" x14ac:dyDescent="0.2"/>
    <row r="385" s="11" customFormat="1" ht="12.75" customHeight="1" x14ac:dyDescent="0.2"/>
    <row r="386" s="11" customFormat="1" ht="12.75" customHeight="1" x14ac:dyDescent="0.2"/>
    <row r="387" s="11" customFormat="1" ht="12.75" customHeight="1" x14ac:dyDescent="0.2"/>
    <row r="388" s="11" customFormat="1" ht="12.75" customHeight="1" x14ac:dyDescent="0.2"/>
    <row r="389" s="11" customFormat="1" ht="12.75" customHeight="1" x14ac:dyDescent="0.2"/>
    <row r="390" s="11" customFormat="1" ht="12.75" customHeight="1" x14ac:dyDescent="0.2"/>
    <row r="391" s="11" customFormat="1" ht="12.75" customHeight="1" x14ac:dyDescent="0.2"/>
    <row r="392" s="11" customFormat="1" ht="12.75" customHeight="1" x14ac:dyDescent="0.2"/>
    <row r="393" s="11" customFormat="1" ht="12.75" customHeight="1" x14ac:dyDescent="0.2"/>
    <row r="394" s="11" customFormat="1" ht="12.75" customHeight="1" x14ac:dyDescent="0.2"/>
    <row r="395" s="11" customFormat="1" ht="12.75" customHeight="1" x14ac:dyDescent="0.2"/>
    <row r="396" s="11" customFormat="1" ht="12.75" customHeight="1" x14ac:dyDescent="0.2"/>
    <row r="397" s="11" customFormat="1" ht="12.75" customHeight="1" x14ac:dyDescent="0.2"/>
    <row r="398" s="11" customFormat="1" ht="12.75" customHeight="1" x14ac:dyDescent="0.2"/>
    <row r="399" s="11" customFormat="1" ht="12.75" customHeight="1" x14ac:dyDescent="0.2"/>
    <row r="400" s="11" customFormat="1" ht="12.75" customHeight="1" x14ac:dyDescent="0.2"/>
    <row r="401" s="11" customFormat="1" ht="12.75" customHeight="1" x14ac:dyDescent="0.2"/>
    <row r="402" s="11" customFormat="1" ht="12.75" customHeight="1" x14ac:dyDescent="0.2"/>
    <row r="403" s="11" customFormat="1" ht="12.75" customHeight="1" x14ac:dyDescent="0.2"/>
    <row r="404" s="11" customFormat="1" ht="12.75" customHeight="1" x14ac:dyDescent="0.2"/>
    <row r="405" s="11" customFormat="1" ht="12.75" customHeight="1" x14ac:dyDescent="0.2"/>
    <row r="406" s="11" customFormat="1" ht="12.75" customHeight="1" x14ac:dyDescent="0.2"/>
    <row r="407" s="11" customFormat="1" ht="12.75" customHeight="1" x14ac:dyDescent="0.2"/>
    <row r="408" s="11" customFormat="1" ht="12.75" customHeight="1" x14ac:dyDescent="0.2"/>
    <row r="409" s="11" customFormat="1" ht="12.75" customHeight="1" x14ac:dyDescent="0.2"/>
    <row r="410" s="11" customFormat="1" ht="12.75" customHeight="1" x14ac:dyDescent="0.2"/>
    <row r="411" s="11" customFormat="1" ht="12.75" customHeight="1" x14ac:dyDescent="0.2"/>
    <row r="412" s="11" customFormat="1" ht="12.75" customHeight="1" x14ac:dyDescent="0.2"/>
    <row r="413" s="11" customFormat="1" ht="12.75" customHeight="1" x14ac:dyDescent="0.2"/>
    <row r="414" s="11" customFormat="1" ht="12.75" customHeight="1" x14ac:dyDescent="0.2"/>
    <row r="415" s="11" customFormat="1" ht="12.75" customHeight="1" x14ac:dyDescent="0.2"/>
    <row r="416" s="11" customFormat="1" ht="12.75" customHeight="1" x14ac:dyDescent="0.2"/>
    <row r="417" s="11" customFormat="1" ht="12.75" customHeight="1" x14ac:dyDescent="0.2"/>
    <row r="418" s="11" customFormat="1" ht="12.75" customHeight="1" x14ac:dyDescent="0.2"/>
    <row r="419" s="11" customFormat="1" ht="12.75" customHeight="1" x14ac:dyDescent="0.2"/>
    <row r="420" s="11" customFormat="1" ht="12.75" customHeight="1" x14ac:dyDescent="0.2"/>
    <row r="421" s="11" customFormat="1" ht="12.75" customHeight="1" x14ac:dyDescent="0.2"/>
    <row r="422" s="11" customFormat="1" ht="12.75" customHeight="1" x14ac:dyDescent="0.2"/>
    <row r="423" s="11" customFormat="1" ht="12.75" customHeight="1" x14ac:dyDescent="0.2"/>
    <row r="424" s="11" customFormat="1" ht="12.75" customHeight="1" x14ac:dyDescent="0.2"/>
    <row r="425" s="11" customFormat="1" ht="12.75" customHeight="1" x14ac:dyDescent="0.2"/>
    <row r="426" s="11" customFormat="1" ht="12.75" customHeight="1" x14ac:dyDescent="0.2"/>
    <row r="427" s="11" customFormat="1" ht="12.75" customHeight="1" x14ac:dyDescent="0.2"/>
    <row r="428" s="11" customFormat="1" ht="12.75" customHeight="1" x14ac:dyDescent="0.2"/>
    <row r="429" s="11" customFormat="1" ht="12.75" customHeight="1" x14ac:dyDescent="0.2"/>
    <row r="430" s="11" customFormat="1" ht="12.75" customHeight="1" x14ac:dyDescent="0.2"/>
    <row r="431" s="11" customFormat="1" ht="12.75" customHeight="1" x14ac:dyDescent="0.2"/>
    <row r="432" s="11" customFormat="1" ht="12.75" customHeight="1" x14ac:dyDescent="0.2"/>
    <row r="433" s="11" customFormat="1" ht="12.75" customHeight="1" x14ac:dyDescent="0.2"/>
    <row r="434" s="11" customFormat="1" ht="12.75" customHeight="1" x14ac:dyDescent="0.2"/>
    <row r="435" s="11" customFormat="1" ht="12.75" customHeight="1" x14ac:dyDescent="0.2"/>
    <row r="436" s="11" customFormat="1" ht="12.75" customHeight="1" x14ac:dyDescent="0.2"/>
    <row r="437" s="11" customFormat="1" ht="12.75" customHeight="1" x14ac:dyDescent="0.2"/>
    <row r="438" s="11" customFormat="1" ht="12.75" customHeight="1" x14ac:dyDescent="0.2"/>
    <row r="439" s="11" customFormat="1" ht="12.75" customHeight="1" x14ac:dyDescent="0.2"/>
    <row r="440" s="11" customFormat="1" ht="12.75" customHeight="1" x14ac:dyDescent="0.2"/>
    <row r="441" s="11" customFormat="1" ht="12.75" customHeight="1" x14ac:dyDescent="0.2"/>
    <row r="442" s="11" customFormat="1" ht="12.75" customHeight="1" x14ac:dyDescent="0.2"/>
    <row r="443" s="11" customFormat="1" ht="12.75" customHeight="1" x14ac:dyDescent="0.2"/>
    <row r="444" s="11" customFormat="1" ht="12.75" customHeight="1" x14ac:dyDescent="0.2"/>
    <row r="445" s="11" customFormat="1" ht="12.75" customHeight="1" x14ac:dyDescent="0.2"/>
    <row r="446" s="11" customFormat="1" ht="12.75" customHeight="1" x14ac:dyDescent="0.2"/>
    <row r="447" s="11" customFormat="1" ht="12.75" customHeight="1" x14ac:dyDescent="0.2"/>
    <row r="448" s="11" customFormat="1" ht="12.75" customHeight="1" x14ac:dyDescent="0.2"/>
    <row r="449" s="11" customFormat="1" ht="12.75" customHeight="1" x14ac:dyDescent="0.2"/>
    <row r="450" s="11" customFormat="1" ht="12.75" customHeight="1" x14ac:dyDescent="0.2"/>
    <row r="451" s="11" customFormat="1" ht="12.75" customHeight="1" x14ac:dyDescent="0.2"/>
    <row r="452" s="11" customFormat="1" ht="12.75" customHeight="1" x14ac:dyDescent="0.2"/>
    <row r="453" s="11" customFormat="1" ht="12.75" customHeight="1" x14ac:dyDescent="0.2"/>
    <row r="454" s="11" customFormat="1" ht="12.75" customHeight="1" x14ac:dyDescent="0.2"/>
    <row r="455" s="11" customFormat="1" ht="12.75" customHeight="1" x14ac:dyDescent="0.2"/>
    <row r="456" s="11" customFormat="1" ht="12.75" customHeight="1" x14ac:dyDescent="0.2"/>
    <row r="457" s="11" customFormat="1" ht="12.75" customHeight="1" x14ac:dyDescent="0.2"/>
    <row r="458" s="11" customFormat="1" ht="12.75" customHeight="1" x14ac:dyDescent="0.2"/>
    <row r="459" s="11" customFormat="1" ht="12.75" customHeight="1" x14ac:dyDescent="0.2"/>
    <row r="460" s="11" customFormat="1" ht="12.75" customHeight="1" x14ac:dyDescent="0.2"/>
    <row r="461" s="11" customFormat="1" ht="12.75" customHeight="1" x14ac:dyDescent="0.2"/>
    <row r="462" s="11" customFormat="1" ht="12.75" customHeight="1" x14ac:dyDescent="0.2"/>
    <row r="463" s="11" customFormat="1" ht="12.75" customHeight="1" x14ac:dyDescent="0.2"/>
    <row r="464" s="11" customFormat="1" ht="12.75" customHeight="1" x14ac:dyDescent="0.2"/>
    <row r="465" s="11" customFormat="1" ht="12.75" customHeight="1" x14ac:dyDescent="0.2"/>
    <row r="466" s="11" customFormat="1" ht="12.75" customHeight="1" x14ac:dyDescent="0.2"/>
    <row r="467" s="11" customFormat="1" ht="12.75" customHeight="1" x14ac:dyDescent="0.2"/>
    <row r="468" s="11" customFormat="1" ht="12.75" customHeight="1" x14ac:dyDescent="0.2"/>
    <row r="469" s="11" customFormat="1" ht="12.75" customHeight="1" x14ac:dyDescent="0.2"/>
    <row r="470" s="11" customFormat="1" ht="12.75" customHeight="1" x14ac:dyDescent="0.2"/>
    <row r="471" s="11" customFormat="1" ht="12.75" customHeight="1" x14ac:dyDescent="0.2"/>
    <row r="472" s="11" customFormat="1" ht="12.75" customHeight="1" x14ac:dyDescent="0.2"/>
    <row r="473" s="11" customFormat="1" ht="12.75" customHeight="1" x14ac:dyDescent="0.2"/>
    <row r="474" s="11" customFormat="1" ht="12.75" customHeight="1" x14ac:dyDescent="0.2"/>
    <row r="475" s="11" customFormat="1" ht="12.75" customHeight="1" x14ac:dyDescent="0.2"/>
    <row r="476" s="11" customFormat="1" ht="12.75" customHeight="1" x14ac:dyDescent="0.2"/>
    <row r="477" s="11" customFormat="1" ht="12.75" customHeight="1" x14ac:dyDescent="0.2"/>
    <row r="478" s="11" customFormat="1" ht="12.75" customHeight="1" x14ac:dyDescent="0.2"/>
    <row r="479" s="11" customFormat="1" ht="12.75" customHeight="1" x14ac:dyDescent="0.2"/>
    <row r="480" s="11" customFormat="1" ht="12.75" customHeight="1" x14ac:dyDescent="0.2"/>
    <row r="481" s="11" customFormat="1" ht="12.75" customHeight="1" x14ac:dyDescent="0.2"/>
    <row r="482" s="11" customFormat="1" ht="12.75" customHeight="1" x14ac:dyDescent="0.2"/>
    <row r="483" s="11" customFormat="1" ht="12.75" customHeight="1" x14ac:dyDescent="0.2"/>
    <row r="484" s="11" customFormat="1" ht="12.75" customHeight="1" x14ac:dyDescent="0.2"/>
    <row r="485" s="11" customFormat="1" ht="12.75" customHeight="1" x14ac:dyDescent="0.2"/>
    <row r="486" s="11" customFormat="1" ht="12.75" customHeight="1" x14ac:dyDescent="0.2"/>
    <row r="487" s="11" customFormat="1" ht="12.75" customHeight="1" x14ac:dyDescent="0.2"/>
    <row r="488" s="11" customFormat="1" ht="12.75" customHeight="1" x14ac:dyDescent="0.2"/>
    <row r="489" s="11" customFormat="1" ht="12.75" customHeight="1" x14ac:dyDescent="0.2"/>
    <row r="490" s="11" customFormat="1" ht="12.75" customHeight="1" x14ac:dyDescent="0.2"/>
    <row r="491" s="11" customFormat="1" ht="12.75" customHeight="1" x14ac:dyDescent="0.2"/>
    <row r="492" s="11" customFormat="1" ht="12.75" customHeight="1" x14ac:dyDescent="0.2"/>
    <row r="493" s="11" customFormat="1" ht="12.75" customHeight="1" x14ac:dyDescent="0.2"/>
    <row r="494" s="11" customFormat="1" ht="12.75" customHeight="1" x14ac:dyDescent="0.2"/>
    <row r="495" s="11" customFormat="1" ht="12.75" customHeight="1" x14ac:dyDescent="0.2"/>
    <row r="496" s="11" customFormat="1" ht="12.75" customHeight="1" x14ac:dyDescent="0.2"/>
    <row r="497" s="11" customFormat="1" ht="12.75" customHeight="1" x14ac:dyDescent="0.2"/>
    <row r="498" s="11" customFormat="1" ht="12.75" customHeight="1" x14ac:dyDescent="0.2"/>
    <row r="499" s="11" customFormat="1" ht="12.75" customHeight="1" x14ac:dyDescent="0.2"/>
    <row r="500" s="11" customFormat="1" ht="12.75" customHeight="1" x14ac:dyDescent="0.2"/>
    <row r="501" s="11" customFormat="1" ht="12.75" customHeight="1" x14ac:dyDescent="0.2"/>
    <row r="502" s="11" customFormat="1" ht="12.75" customHeight="1" x14ac:dyDescent="0.2"/>
    <row r="503" s="11" customFormat="1" ht="12.75" customHeight="1" x14ac:dyDescent="0.2"/>
    <row r="504" s="11" customFormat="1" ht="12.75" customHeight="1" x14ac:dyDescent="0.2"/>
    <row r="505" s="11" customFormat="1" ht="12.75" customHeight="1" x14ac:dyDescent="0.2"/>
    <row r="506" s="11" customFormat="1" ht="12.75" customHeight="1" x14ac:dyDescent="0.2"/>
    <row r="507" s="11" customFormat="1" ht="12.75" customHeight="1" x14ac:dyDescent="0.2"/>
    <row r="508" s="11" customFormat="1" ht="12.75" customHeight="1" x14ac:dyDescent="0.2"/>
    <row r="509" s="11" customFormat="1" ht="12.75" customHeight="1" x14ac:dyDescent="0.2"/>
    <row r="510" s="11" customFormat="1" ht="12.75" customHeight="1" x14ac:dyDescent="0.2"/>
    <row r="511" s="11" customFormat="1" ht="12.75" customHeight="1" x14ac:dyDescent="0.2"/>
    <row r="512" s="11" customFormat="1" ht="12.75" customHeight="1" x14ac:dyDescent="0.2"/>
    <row r="513" s="11" customFormat="1" ht="12.75" customHeight="1" x14ac:dyDescent="0.2"/>
    <row r="514" s="11" customFormat="1" ht="12.75" customHeight="1" x14ac:dyDescent="0.2"/>
    <row r="515" s="11" customFormat="1" ht="12.75" customHeight="1" x14ac:dyDescent="0.2"/>
    <row r="516" s="11" customFormat="1" ht="12.75" customHeight="1" x14ac:dyDescent="0.2"/>
    <row r="517" s="11" customFormat="1" ht="12.75" customHeight="1" x14ac:dyDescent="0.2"/>
    <row r="518" s="11" customFormat="1" ht="12.75" customHeight="1" x14ac:dyDescent="0.2"/>
    <row r="519" s="11" customFormat="1" ht="12.75" customHeight="1" x14ac:dyDescent="0.2"/>
    <row r="520" s="11" customFormat="1" ht="12.75" customHeight="1" x14ac:dyDescent="0.2"/>
    <row r="521" s="11" customFormat="1" ht="12.75" customHeight="1" x14ac:dyDescent="0.2"/>
    <row r="522" s="11" customFormat="1" ht="12.75" customHeight="1" x14ac:dyDescent="0.2"/>
    <row r="523" s="11" customFormat="1" ht="12.75" customHeight="1" x14ac:dyDescent="0.2"/>
    <row r="524" s="11" customFormat="1" ht="12.75" customHeight="1" x14ac:dyDescent="0.2"/>
    <row r="525" s="11" customFormat="1" ht="12.75" customHeight="1" x14ac:dyDescent="0.2"/>
    <row r="526" s="11" customFormat="1" ht="12.75" customHeight="1" x14ac:dyDescent="0.2"/>
    <row r="527" s="11" customFormat="1" ht="12.75" customHeight="1" x14ac:dyDescent="0.2"/>
    <row r="528" s="11" customFormat="1" ht="12.75" customHeight="1" x14ac:dyDescent="0.2"/>
    <row r="529" s="11" customFormat="1" ht="12.75" customHeight="1" x14ac:dyDescent="0.2"/>
    <row r="530" s="11" customFormat="1" ht="12.75" customHeight="1" x14ac:dyDescent="0.2"/>
    <row r="531" s="11" customFormat="1" ht="12.75" customHeight="1" x14ac:dyDescent="0.2"/>
    <row r="532" s="11" customFormat="1" ht="12.75" customHeight="1" x14ac:dyDescent="0.2"/>
    <row r="533" s="11" customFormat="1" ht="12.75" customHeight="1" x14ac:dyDescent="0.2"/>
    <row r="534" s="11" customFormat="1" ht="12.75" customHeight="1" x14ac:dyDescent="0.2"/>
    <row r="535" s="11" customFormat="1" ht="12.75" customHeight="1" x14ac:dyDescent="0.2"/>
    <row r="536" s="11" customFormat="1" ht="12.75" customHeight="1" x14ac:dyDescent="0.2"/>
    <row r="537" s="11" customFormat="1" ht="12.75" customHeight="1" x14ac:dyDescent="0.2"/>
    <row r="538" s="11" customFormat="1" ht="12.75" customHeight="1" x14ac:dyDescent="0.2"/>
    <row r="539" s="11" customFormat="1" ht="12.75" customHeight="1" x14ac:dyDescent="0.2"/>
    <row r="540" s="11" customFormat="1" ht="12.75" customHeight="1" x14ac:dyDescent="0.2"/>
    <row r="541" s="11" customFormat="1" ht="12.75" customHeight="1" x14ac:dyDescent="0.2"/>
    <row r="542" s="11" customFormat="1" ht="12.75" customHeight="1" x14ac:dyDescent="0.2"/>
    <row r="543" s="11" customFormat="1" ht="12.75" customHeight="1" x14ac:dyDescent="0.2"/>
    <row r="544" s="11" customFormat="1" ht="12.75" customHeight="1" x14ac:dyDescent="0.2"/>
    <row r="545" s="11" customFormat="1" ht="12.75" customHeight="1" x14ac:dyDescent="0.2"/>
    <row r="546" s="11" customFormat="1" ht="12.75" customHeight="1" x14ac:dyDescent="0.2"/>
    <row r="547" s="11" customFormat="1" ht="12.75" customHeight="1" x14ac:dyDescent="0.2"/>
    <row r="548" s="11" customFormat="1" ht="12.75" customHeight="1" x14ac:dyDescent="0.2"/>
    <row r="549" s="11" customFormat="1" ht="12.75" customHeight="1" x14ac:dyDescent="0.2"/>
    <row r="550" s="11" customFormat="1" ht="12.75" customHeight="1" x14ac:dyDescent="0.2"/>
    <row r="551" s="11" customFormat="1" ht="12.75" customHeight="1" x14ac:dyDescent="0.2"/>
    <row r="552" s="11" customFormat="1" ht="12.75" customHeight="1" x14ac:dyDescent="0.2"/>
    <row r="553" s="11" customFormat="1" ht="12.75" customHeight="1" x14ac:dyDescent="0.2"/>
    <row r="554" s="11" customFormat="1" ht="12.75" customHeight="1" x14ac:dyDescent="0.2"/>
    <row r="555" s="11" customFormat="1" ht="12.75" customHeight="1" x14ac:dyDescent="0.2"/>
    <row r="556" s="11" customFormat="1" ht="12.75" customHeight="1" x14ac:dyDescent="0.2"/>
    <row r="557" s="11" customFormat="1" ht="12.75" customHeight="1" x14ac:dyDescent="0.2"/>
    <row r="558" s="11" customFormat="1" ht="12.75" customHeight="1" x14ac:dyDescent="0.2"/>
    <row r="559" s="11" customFormat="1" ht="12.75" customHeight="1" x14ac:dyDescent="0.2"/>
    <row r="560" s="11" customFormat="1" ht="12.75" customHeight="1" x14ac:dyDescent="0.2"/>
    <row r="561" s="11" customFormat="1" ht="12.75" customHeight="1" x14ac:dyDescent="0.2"/>
    <row r="562" s="11" customFormat="1" ht="12.75" customHeight="1" x14ac:dyDescent="0.2"/>
    <row r="563" s="11" customFormat="1" ht="12.75" customHeight="1" x14ac:dyDescent="0.2"/>
    <row r="564" s="11" customFormat="1" ht="12.75" customHeight="1" x14ac:dyDescent="0.2"/>
    <row r="565" s="11" customFormat="1" ht="12.75" customHeight="1" x14ac:dyDescent="0.2"/>
    <row r="566" s="11" customFormat="1" ht="12.75" customHeight="1" x14ac:dyDescent="0.2"/>
    <row r="567" s="11" customFormat="1" ht="12.75" customHeight="1" x14ac:dyDescent="0.2"/>
    <row r="568" s="11" customFormat="1" ht="12.75" customHeight="1" x14ac:dyDescent="0.2"/>
    <row r="569" s="11" customFormat="1" ht="12.75" customHeight="1" x14ac:dyDescent="0.2"/>
    <row r="570" s="11" customFormat="1" ht="12.75" customHeight="1" x14ac:dyDescent="0.2"/>
    <row r="571" s="11" customFormat="1" ht="12.75" customHeight="1" x14ac:dyDescent="0.2"/>
    <row r="572" s="11" customFormat="1" ht="12.75" customHeight="1" x14ac:dyDescent="0.2"/>
    <row r="573" s="11" customFormat="1" ht="12.75" customHeight="1" x14ac:dyDescent="0.2"/>
    <row r="574" s="11" customFormat="1" ht="12.75" customHeight="1" x14ac:dyDescent="0.2"/>
    <row r="575" s="11" customFormat="1" ht="12.75" customHeight="1" x14ac:dyDescent="0.2"/>
    <row r="576" s="11" customFormat="1" ht="12.75" customHeight="1" x14ac:dyDescent="0.2"/>
    <row r="577" s="11" customFormat="1" ht="12.75" customHeight="1" x14ac:dyDescent="0.2"/>
    <row r="578" s="11" customFormat="1" ht="12.75" customHeight="1" x14ac:dyDescent="0.2"/>
    <row r="579" s="11" customFormat="1" ht="12.75" customHeight="1" x14ac:dyDescent="0.2"/>
    <row r="580" s="11" customFormat="1" ht="12.75" customHeight="1" x14ac:dyDescent="0.2"/>
    <row r="581" s="11" customFormat="1" ht="12.75" customHeight="1" x14ac:dyDescent="0.2"/>
    <row r="582" s="11" customFormat="1" ht="12.75" customHeight="1" x14ac:dyDescent="0.2"/>
    <row r="583" s="11" customFormat="1" ht="12.75" customHeight="1" x14ac:dyDescent="0.2"/>
    <row r="584" s="11" customFormat="1" ht="12.75" customHeight="1" x14ac:dyDescent="0.2"/>
    <row r="585" s="11" customFormat="1" ht="12.75" customHeight="1" x14ac:dyDescent="0.2"/>
    <row r="586" s="11" customFormat="1" ht="12.75" customHeight="1" x14ac:dyDescent="0.2"/>
    <row r="587" s="11" customFormat="1" ht="12.75" customHeight="1" x14ac:dyDescent="0.2"/>
    <row r="588" s="11" customFormat="1" ht="12.75" customHeight="1" x14ac:dyDescent="0.2"/>
    <row r="589" s="11" customFormat="1" ht="12.75" customHeight="1" x14ac:dyDescent="0.2"/>
    <row r="590" s="11" customFormat="1" ht="12.75" customHeight="1" x14ac:dyDescent="0.2"/>
    <row r="591" s="11" customFormat="1" ht="12.75" customHeight="1" x14ac:dyDescent="0.2"/>
    <row r="592" s="11" customFormat="1" ht="12.75" customHeight="1" x14ac:dyDescent="0.2"/>
    <row r="593" s="11" customFormat="1" ht="12.75" customHeight="1" x14ac:dyDescent="0.2"/>
    <row r="594" s="11" customFormat="1" ht="12.75" customHeight="1" x14ac:dyDescent="0.2"/>
    <row r="595" s="11" customFormat="1" ht="12.75" customHeight="1" x14ac:dyDescent="0.2"/>
    <row r="596" s="11" customFormat="1" ht="12.75" customHeight="1" x14ac:dyDescent="0.2"/>
    <row r="597" s="11" customFormat="1" ht="12.75" customHeight="1" x14ac:dyDescent="0.2"/>
    <row r="598" s="11" customFormat="1" ht="12.75" customHeight="1" x14ac:dyDescent="0.2"/>
    <row r="599" s="11" customFormat="1" ht="12.75" customHeight="1" x14ac:dyDescent="0.2"/>
    <row r="600" s="11" customFormat="1" ht="12.75" customHeight="1" x14ac:dyDescent="0.2"/>
    <row r="601" s="11" customFormat="1" ht="12.75" customHeight="1" x14ac:dyDescent="0.2"/>
    <row r="602" s="11" customFormat="1" ht="12.75" customHeight="1" x14ac:dyDescent="0.2"/>
    <row r="603" s="11" customFormat="1" ht="12.75" customHeight="1" x14ac:dyDescent="0.2"/>
    <row r="604" s="11" customFormat="1" ht="12.75" customHeight="1" x14ac:dyDescent="0.2"/>
    <row r="605" s="11" customFormat="1" ht="12.75" customHeight="1" x14ac:dyDescent="0.2"/>
    <row r="606" s="11" customFormat="1" ht="12.75" customHeight="1" x14ac:dyDescent="0.2"/>
    <row r="607" s="11" customFormat="1" ht="12.75" customHeight="1" x14ac:dyDescent="0.2"/>
    <row r="608" s="11" customFormat="1" ht="12.75" customHeight="1" x14ac:dyDescent="0.2"/>
    <row r="609" s="11" customFormat="1" ht="12.75" customHeight="1" x14ac:dyDescent="0.2"/>
    <row r="610" s="11" customFormat="1" ht="12.75" customHeight="1" x14ac:dyDescent="0.2"/>
    <row r="611" s="11" customFormat="1" ht="12.75" customHeight="1" x14ac:dyDescent="0.2"/>
    <row r="612" s="11" customFormat="1" ht="12.75" customHeight="1" x14ac:dyDescent="0.2"/>
    <row r="613" s="11" customFormat="1" ht="12.75" customHeight="1" x14ac:dyDescent="0.2"/>
    <row r="614" s="11" customFormat="1" ht="12.75" customHeight="1" x14ac:dyDescent="0.2"/>
    <row r="615" s="11" customFormat="1" ht="12.75" customHeight="1" x14ac:dyDescent="0.2"/>
    <row r="616" s="11" customFormat="1" ht="12.75" customHeight="1" x14ac:dyDescent="0.2"/>
    <row r="617" s="11" customFormat="1" ht="12.75" customHeight="1" x14ac:dyDescent="0.2"/>
    <row r="618" s="11" customFormat="1" ht="12.75" customHeight="1" x14ac:dyDescent="0.2"/>
    <row r="619" s="11" customFormat="1" ht="12.75" customHeight="1" x14ac:dyDescent="0.2"/>
    <row r="620" s="11" customFormat="1" ht="12.75" customHeight="1" x14ac:dyDescent="0.2"/>
    <row r="621" s="11" customFormat="1" ht="12.75" customHeight="1" x14ac:dyDescent="0.2"/>
    <row r="622" s="11" customFormat="1" ht="12.75" customHeight="1" x14ac:dyDescent="0.2"/>
    <row r="623" s="11" customFormat="1" ht="12.75" customHeight="1" x14ac:dyDescent="0.2"/>
    <row r="624" s="11" customFormat="1" ht="12.75" customHeight="1" x14ac:dyDescent="0.2"/>
    <row r="625" s="11" customFormat="1" ht="12.75" customHeight="1" x14ac:dyDescent="0.2"/>
    <row r="626" s="11" customFormat="1" ht="12.75" customHeight="1" x14ac:dyDescent="0.2"/>
    <row r="627" s="11" customFormat="1" ht="12.75" customHeight="1" x14ac:dyDescent="0.2"/>
    <row r="628" s="11" customFormat="1" ht="12.75" customHeight="1" x14ac:dyDescent="0.2"/>
    <row r="629" s="11" customFormat="1" ht="12.75" customHeight="1" x14ac:dyDescent="0.2"/>
    <row r="630" s="11" customFormat="1" ht="12.75" customHeight="1" x14ac:dyDescent="0.2"/>
    <row r="631" s="11" customFormat="1" ht="12.75" customHeight="1" x14ac:dyDescent="0.2"/>
    <row r="632" s="11" customFormat="1" ht="12.75" customHeight="1" x14ac:dyDescent="0.2"/>
    <row r="633" s="11" customFormat="1" ht="12.75" customHeight="1" x14ac:dyDescent="0.2"/>
    <row r="634" s="11" customFormat="1" ht="12.75" customHeight="1" x14ac:dyDescent="0.2"/>
    <row r="635" s="11" customFormat="1" ht="12.75" customHeight="1" x14ac:dyDescent="0.2"/>
    <row r="636" s="11" customFormat="1" ht="12.75" customHeight="1" x14ac:dyDescent="0.2"/>
    <row r="637" s="11" customFormat="1" ht="12.75" customHeight="1" x14ac:dyDescent="0.2"/>
    <row r="638" s="11" customFormat="1" ht="12.75" customHeight="1" x14ac:dyDescent="0.2"/>
    <row r="639" s="11" customFormat="1" ht="12.75" customHeight="1" x14ac:dyDescent="0.2"/>
    <row r="640" s="11" customFormat="1" ht="12.75" customHeight="1" x14ac:dyDescent="0.2"/>
    <row r="641" s="11" customFormat="1" ht="12.75" customHeight="1" x14ac:dyDescent="0.2"/>
    <row r="642" s="11" customFormat="1" ht="12.75" customHeight="1" x14ac:dyDescent="0.2"/>
    <row r="643" s="11" customFormat="1" ht="12.75" customHeight="1" x14ac:dyDescent="0.2"/>
    <row r="644" s="11" customFormat="1" ht="12.75" customHeight="1" x14ac:dyDescent="0.2"/>
    <row r="645" s="11" customFormat="1" ht="12.75" customHeight="1" x14ac:dyDescent="0.2"/>
    <row r="646" s="11" customFormat="1" ht="12.75" customHeight="1" x14ac:dyDescent="0.2"/>
    <row r="647" s="11" customFormat="1" ht="12.75" customHeight="1" x14ac:dyDescent="0.2"/>
    <row r="648" s="11" customFormat="1" ht="12.75" customHeight="1" x14ac:dyDescent="0.2"/>
    <row r="649" s="11" customFormat="1" ht="12.75" customHeight="1" x14ac:dyDescent="0.2"/>
    <row r="650" s="11" customFormat="1" ht="12.75" customHeight="1" x14ac:dyDescent="0.2"/>
    <row r="651" s="11" customFormat="1" ht="12.75" customHeight="1" x14ac:dyDescent="0.2"/>
    <row r="652" s="11" customFormat="1" ht="12.75" customHeight="1" x14ac:dyDescent="0.2"/>
    <row r="653" s="11" customFormat="1" ht="12.75" customHeight="1" x14ac:dyDescent="0.2"/>
    <row r="654" s="11" customFormat="1" ht="12.75" customHeight="1" x14ac:dyDescent="0.2"/>
    <row r="655" s="11" customFormat="1" ht="12.75" customHeight="1" x14ac:dyDescent="0.2"/>
    <row r="656" s="11" customFormat="1" ht="12.75" customHeight="1" x14ac:dyDescent="0.2"/>
    <row r="657" s="11" customFormat="1" ht="12.75" customHeight="1" x14ac:dyDescent="0.2"/>
    <row r="658" s="11" customFormat="1" ht="12.75" customHeight="1" x14ac:dyDescent="0.2"/>
    <row r="659" s="11" customFormat="1" ht="12.75" customHeight="1" x14ac:dyDescent="0.2"/>
    <row r="660" s="11" customFormat="1" ht="12.75" customHeight="1" x14ac:dyDescent="0.2"/>
    <row r="661" s="11" customFormat="1" ht="12.75" customHeight="1" x14ac:dyDescent="0.2"/>
    <row r="662" s="11" customFormat="1" ht="12.75" customHeight="1" x14ac:dyDescent="0.2"/>
    <row r="663" s="11" customFormat="1" ht="12.75" customHeight="1" x14ac:dyDescent="0.2"/>
    <row r="664" s="11" customFormat="1" ht="12.75" customHeight="1" x14ac:dyDescent="0.2"/>
    <row r="665" s="11" customFormat="1" ht="12.75" customHeight="1" x14ac:dyDescent="0.2"/>
    <row r="666" s="11" customFormat="1" ht="12.75" customHeight="1" x14ac:dyDescent="0.2"/>
    <row r="667" s="11" customFormat="1" ht="12.75" customHeight="1" x14ac:dyDescent="0.2"/>
    <row r="668" s="11" customFormat="1" ht="12.75" customHeight="1" x14ac:dyDescent="0.2"/>
    <row r="669" s="11" customFormat="1" ht="12.75" customHeight="1" x14ac:dyDescent="0.2"/>
    <row r="670" s="11" customFormat="1" ht="12.75" customHeight="1" x14ac:dyDescent="0.2"/>
    <row r="671" s="11" customFormat="1" ht="12.75" customHeight="1" x14ac:dyDescent="0.2"/>
    <row r="672" s="11" customFormat="1" ht="12.75" customHeight="1" x14ac:dyDescent="0.2"/>
    <row r="673" s="11" customFormat="1" ht="12.75" customHeight="1" x14ac:dyDescent="0.2"/>
    <row r="674" s="11" customFormat="1" ht="12.75" customHeight="1" x14ac:dyDescent="0.2"/>
    <row r="675" s="11" customFormat="1" ht="12.75" customHeight="1" x14ac:dyDescent="0.2"/>
    <row r="676" s="11" customFormat="1" ht="12.75" customHeight="1" x14ac:dyDescent="0.2"/>
    <row r="677" s="11" customFormat="1" ht="12.75" customHeight="1" x14ac:dyDescent="0.2"/>
    <row r="678" s="11" customFormat="1" ht="12.75" customHeight="1" x14ac:dyDescent="0.2"/>
    <row r="679" s="11" customFormat="1" ht="12.75" customHeight="1" x14ac:dyDescent="0.2"/>
    <row r="680" s="11" customFormat="1" ht="12.75" customHeight="1" x14ac:dyDescent="0.2"/>
    <row r="681" s="11" customFormat="1" ht="12.75" customHeight="1" x14ac:dyDescent="0.2"/>
    <row r="682" s="11" customFormat="1" ht="12.75" customHeight="1" x14ac:dyDescent="0.2"/>
    <row r="683" s="11" customFormat="1" ht="12.75" customHeight="1" x14ac:dyDescent="0.2"/>
    <row r="684" s="11" customFormat="1" ht="12.75" customHeight="1" x14ac:dyDescent="0.2"/>
    <row r="685" s="11" customFormat="1" ht="12.75" customHeight="1" x14ac:dyDescent="0.2"/>
    <row r="686" s="11" customFormat="1" ht="12.75" customHeight="1" x14ac:dyDescent="0.2"/>
    <row r="687" s="11" customFormat="1" ht="12.75" customHeight="1" x14ac:dyDescent="0.2"/>
    <row r="688" s="11" customFormat="1" ht="12.75" customHeight="1" x14ac:dyDescent="0.2"/>
    <row r="689" s="11" customFormat="1" ht="12.75" customHeight="1" x14ac:dyDescent="0.2"/>
    <row r="690" s="11" customFormat="1" ht="12.75" customHeight="1" x14ac:dyDescent="0.2"/>
    <row r="691" s="11" customFormat="1" ht="12.75" customHeight="1" x14ac:dyDescent="0.2"/>
    <row r="692" s="11" customFormat="1" ht="12.75" customHeight="1" x14ac:dyDescent="0.2"/>
    <row r="693" s="11" customFormat="1" ht="12.75" customHeight="1" x14ac:dyDescent="0.2"/>
    <row r="694" s="11" customFormat="1" ht="12.75" customHeight="1" x14ac:dyDescent="0.2"/>
    <row r="695" s="11" customFormat="1" ht="12.75" customHeight="1" x14ac:dyDescent="0.2"/>
    <row r="696" s="11" customFormat="1" ht="12.75" customHeight="1" x14ac:dyDescent="0.2"/>
    <row r="697" s="11" customFormat="1" ht="12.75" customHeight="1" x14ac:dyDescent="0.2"/>
    <row r="698" s="11" customFormat="1" ht="12.75" customHeight="1" x14ac:dyDescent="0.2"/>
    <row r="699" s="11" customFormat="1" ht="12.75" customHeight="1" x14ac:dyDescent="0.2"/>
    <row r="700" s="11" customFormat="1" ht="12.75" customHeight="1" x14ac:dyDescent="0.2"/>
    <row r="701" s="11" customFormat="1" ht="12.75" customHeight="1" x14ac:dyDescent="0.2"/>
    <row r="702" s="11" customFormat="1" ht="12.75" customHeight="1" x14ac:dyDescent="0.2"/>
    <row r="703" s="11" customFormat="1" ht="12.75" customHeight="1" x14ac:dyDescent="0.2"/>
    <row r="704" s="11" customFormat="1" ht="12.75" customHeight="1" x14ac:dyDescent="0.2"/>
    <row r="705" s="11" customFormat="1" ht="12.75" customHeight="1" x14ac:dyDescent="0.2"/>
    <row r="706" s="11" customFormat="1" ht="12.75" customHeight="1" x14ac:dyDescent="0.2"/>
    <row r="707" s="11" customFormat="1" ht="12.75" customHeight="1" x14ac:dyDescent="0.2"/>
    <row r="708" s="11" customFormat="1" ht="12.75" customHeight="1" x14ac:dyDescent="0.2"/>
    <row r="709" s="11" customFormat="1" ht="12.75" customHeight="1" x14ac:dyDescent="0.2"/>
    <row r="710" s="11" customFormat="1" ht="12.75" customHeight="1" x14ac:dyDescent="0.2"/>
    <row r="711" s="11" customFormat="1" ht="12.75" customHeight="1" x14ac:dyDescent="0.2"/>
    <row r="712" s="11" customFormat="1" ht="12.75" customHeight="1" x14ac:dyDescent="0.2"/>
    <row r="713" s="11" customFormat="1" ht="12.75" customHeight="1" x14ac:dyDescent="0.2"/>
    <row r="714" s="11" customFormat="1" ht="12.75" customHeight="1" x14ac:dyDescent="0.2"/>
    <row r="715" s="11" customFormat="1" ht="12.75" customHeight="1" x14ac:dyDescent="0.2"/>
    <row r="716" s="11" customFormat="1" ht="12.75" customHeight="1" x14ac:dyDescent="0.2"/>
    <row r="717" s="11" customFormat="1" ht="12.75" customHeight="1" x14ac:dyDescent="0.2"/>
    <row r="718" s="11" customFormat="1" ht="12.75" customHeight="1" x14ac:dyDescent="0.2"/>
    <row r="719" s="11" customFormat="1" ht="12.75" customHeight="1" x14ac:dyDescent="0.2"/>
    <row r="720" s="11" customFormat="1" ht="12.75" customHeight="1" x14ac:dyDescent="0.2"/>
    <row r="721" s="11" customFormat="1" ht="12.75" customHeight="1" x14ac:dyDescent="0.2"/>
    <row r="722" s="11" customFormat="1" ht="12.75" customHeight="1" x14ac:dyDescent="0.2"/>
    <row r="723" s="11" customFormat="1" ht="12.75" customHeight="1" x14ac:dyDescent="0.2"/>
    <row r="724" s="11" customFormat="1" ht="12.75" customHeight="1" x14ac:dyDescent="0.2"/>
    <row r="725" s="11" customFormat="1" ht="12.75" customHeight="1" x14ac:dyDescent="0.2"/>
    <row r="726" s="11" customFormat="1" ht="12.75" customHeight="1" x14ac:dyDescent="0.2"/>
    <row r="727" s="11" customFormat="1" ht="12.75" customHeight="1" x14ac:dyDescent="0.2"/>
    <row r="728" s="11" customFormat="1" ht="12.75" customHeight="1" x14ac:dyDescent="0.2"/>
    <row r="729" s="11" customFormat="1" ht="12.75" customHeight="1" x14ac:dyDescent="0.2"/>
    <row r="730" s="11" customFormat="1" ht="12.75" customHeight="1" x14ac:dyDescent="0.2"/>
    <row r="731" s="11" customFormat="1" ht="12.75" customHeight="1" x14ac:dyDescent="0.2"/>
    <row r="732" s="11" customFormat="1" ht="12.75" customHeight="1" x14ac:dyDescent="0.2"/>
    <row r="733" s="11" customFormat="1" ht="12.75" customHeight="1" x14ac:dyDescent="0.2"/>
    <row r="734" s="11" customFormat="1" ht="12.75" customHeight="1" x14ac:dyDescent="0.2"/>
    <row r="735" s="11" customFormat="1" ht="12.75" customHeight="1" x14ac:dyDescent="0.2"/>
    <row r="736" s="11" customFormat="1" ht="12.75" customHeight="1" x14ac:dyDescent="0.2"/>
    <row r="737" s="11" customFormat="1" ht="12.75" customHeight="1" x14ac:dyDescent="0.2"/>
    <row r="738" s="11" customFormat="1" ht="12.75" customHeight="1" x14ac:dyDescent="0.2"/>
    <row r="739" s="11" customFormat="1" ht="12.75" customHeight="1" x14ac:dyDescent="0.2"/>
    <row r="740" s="11" customFormat="1" ht="12.75" customHeight="1" x14ac:dyDescent="0.2"/>
    <row r="741" s="11" customFormat="1" ht="12.75" customHeight="1" x14ac:dyDescent="0.2"/>
    <row r="742" s="11" customFormat="1" ht="12.75" customHeight="1" x14ac:dyDescent="0.2"/>
    <row r="743" s="11" customFormat="1" ht="12.75" customHeight="1" x14ac:dyDescent="0.2"/>
    <row r="744" s="11" customFormat="1" ht="12.75" customHeight="1" x14ac:dyDescent="0.2"/>
    <row r="745" s="11" customFormat="1" ht="12.75" customHeight="1" x14ac:dyDescent="0.2"/>
    <row r="746" s="11" customFormat="1" ht="12.75" customHeight="1" x14ac:dyDescent="0.2"/>
    <row r="747" s="11" customFormat="1" ht="12.75" customHeight="1" x14ac:dyDescent="0.2"/>
    <row r="748" s="11" customFormat="1" ht="12.75" customHeight="1" x14ac:dyDescent="0.2"/>
    <row r="749" s="11" customFormat="1" ht="12.75" customHeight="1" x14ac:dyDescent="0.2"/>
    <row r="750" s="11" customFormat="1" ht="12.75" customHeight="1" x14ac:dyDescent="0.2"/>
    <row r="751" s="11" customFormat="1" ht="12.75" customHeight="1" x14ac:dyDescent="0.2"/>
    <row r="752" s="11" customFormat="1" ht="12.75" customHeight="1" x14ac:dyDescent="0.2"/>
    <row r="753" s="11" customFormat="1" ht="12.75" customHeight="1" x14ac:dyDescent="0.2"/>
    <row r="754" s="11" customFormat="1" ht="12.75" customHeight="1" x14ac:dyDescent="0.2"/>
    <row r="755" s="11" customFormat="1" ht="12.75" customHeight="1" x14ac:dyDescent="0.2"/>
    <row r="756" s="11" customFormat="1" ht="12.75" customHeight="1" x14ac:dyDescent="0.2"/>
    <row r="757" s="11" customFormat="1" ht="12.75" customHeight="1" x14ac:dyDescent="0.2"/>
    <row r="758" s="11" customFormat="1" ht="12.75" customHeight="1" x14ac:dyDescent="0.2"/>
    <row r="759" s="11" customFormat="1" ht="12.75" customHeight="1" x14ac:dyDescent="0.2"/>
    <row r="760" s="11" customFormat="1" ht="12.75" customHeight="1" x14ac:dyDescent="0.2"/>
    <row r="761" s="11" customFormat="1" ht="12.75" customHeight="1" x14ac:dyDescent="0.2"/>
    <row r="762" s="11" customFormat="1" ht="12.75" customHeight="1" x14ac:dyDescent="0.2"/>
    <row r="763" s="11" customFormat="1" ht="12.75" customHeight="1" x14ac:dyDescent="0.2"/>
    <row r="764" s="11" customFormat="1" ht="12.75" customHeight="1" x14ac:dyDescent="0.2"/>
    <row r="765" s="11" customFormat="1" ht="12.75" customHeight="1" x14ac:dyDescent="0.2"/>
    <row r="766" s="11" customFormat="1" ht="12.75" customHeight="1" x14ac:dyDescent="0.2"/>
    <row r="767" s="11" customFormat="1" ht="12.75" customHeight="1" x14ac:dyDescent="0.2"/>
    <row r="768" s="11" customFormat="1" ht="12.75" customHeight="1" x14ac:dyDescent="0.2"/>
    <row r="769" s="11" customFormat="1" ht="12.75" customHeight="1" x14ac:dyDescent="0.2"/>
    <row r="770" s="11" customFormat="1" ht="12.75" customHeight="1" x14ac:dyDescent="0.2"/>
    <row r="771" s="11" customFormat="1" ht="12.75" customHeight="1" x14ac:dyDescent="0.2"/>
    <row r="772" s="11" customFormat="1" ht="12.75" customHeight="1" x14ac:dyDescent="0.2"/>
    <row r="773" s="11" customFormat="1" ht="12.75" customHeight="1" x14ac:dyDescent="0.2"/>
    <row r="774" s="11" customFormat="1" ht="12.75" customHeight="1" x14ac:dyDescent="0.2"/>
    <row r="775" s="11" customFormat="1" ht="12.75" customHeight="1" x14ac:dyDescent="0.2"/>
    <row r="776" s="11" customFormat="1" ht="12.75" customHeight="1" x14ac:dyDescent="0.2"/>
    <row r="777" s="11" customFormat="1" ht="12.75" customHeight="1" x14ac:dyDescent="0.2"/>
    <row r="778" s="11" customFormat="1" ht="12.75" customHeight="1" x14ac:dyDescent="0.2"/>
    <row r="779" s="11" customFormat="1" ht="12.75" customHeight="1" x14ac:dyDescent="0.2"/>
    <row r="780" s="11" customFormat="1" ht="12.75" customHeight="1" x14ac:dyDescent="0.2"/>
    <row r="781" s="11" customFormat="1" ht="12.75" customHeight="1" x14ac:dyDescent="0.2"/>
    <row r="782" s="11" customFormat="1" ht="12.75" customHeight="1" x14ac:dyDescent="0.2"/>
    <row r="783" s="11" customFormat="1" ht="12.75" customHeight="1" x14ac:dyDescent="0.2"/>
    <row r="784" s="11" customFormat="1" ht="12.75" customHeight="1" x14ac:dyDescent="0.2"/>
    <row r="785" s="11" customFormat="1" ht="12.75" customHeight="1" x14ac:dyDescent="0.2"/>
    <row r="786" s="11" customFormat="1" ht="12.75" customHeight="1" x14ac:dyDescent="0.2"/>
    <row r="787" s="11" customFormat="1" ht="12.75" customHeight="1" x14ac:dyDescent="0.2"/>
    <row r="788" s="11" customFormat="1" ht="12.75" customHeight="1" x14ac:dyDescent="0.2"/>
    <row r="789" s="11" customFormat="1" ht="12.75" customHeight="1" x14ac:dyDescent="0.2"/>
    <row r="790" s="11" customFormat="1" ht="12.75" customHeight="1" x14ac:dyDescent="0.2"/>
    <row r="791" s="11" customFormat="1" ht="12.75" customHeight="1" x14ac:dyDescent="0.2"/>
    <row r="792" s="11" customFormat="1" ht="12.75" customHeight="1" x14ac:dyDescent="0.2"/>
    <row r="793" s="11" customFormat="1" ht="12.75" customHeight="1" x14ac:dyDescent="0.2"/>
    <row r="794" s="11" customFormat="1" ht="12.75" customHeight="1" x14ac:dyDescent="0.2"/>
    <row r="795" s="11" customFormat="1" ht="12.75" customHeight="1" x14ac:dyDescent="0.2"/>
    <row r="796" s="11" customFormat="1" ht="12.75" customHeight="1" x14ac:dyDescent="0.2"/>
    <row r="797" s="11" customFormat="1" ht="12.75" customHeight="1" x14ac:dyDescent="0.2"/>
    <row r="798" s="11" customFormat="1" ht="12.75" customHeight="1" x14ac:dyDescent="0.2"/>
    <row r="799" s="11" customFormat="1" ht="12.75" customHeight="1" x14ac:dyDescent="0.2"/>
    <row r="800" s="11" customFormat="1" ht="12.75" customHeight="1" x14ac:dyDescent="0.2"/>
    <row r="801" s="11" customFormat="1" ht="12.75" customHeight="1" x14ac:dyDescent="0.2"/>
    <row r="802" s="11" customFormat="1" ht="12.75" customHeight="1" x14ac:dyDescent="0.2"/>
    <row r="803" s="11" customFormat="1" ht="12.75" customHeight="1" x14ac:dyDescent="0.2"/>
    <row r="804" s="11" customFormat="1" ht="12.75" customHeight="1" x14ac:dyDescent="0.2"/>
    <row r="805" s="11" customFormat="1" ht="12.75" customHeight="1" x14ac:dyDescent="0.2"/>
    <row r="806" s="11" customFormat="1" ht="12.75" customHeight="1" x14ac:dyDescent="0.2"/>
    <row r="807" s="11" customFormat="1" ht="12.75" customHeight="1" x14ac:dyDescent="0.2"/>
    <row r="808" s="11" customFormat="1" ht="12.75" customHeight="1" x14ac:dyDescent="0.2"/>
    <row r="809" s="11" customFormat="1" ht="12.75" customHeight="1" x14ac:dyDescent="0.2"/>
    <row r="810" s="11" customFormat="1" ht="12.75" customHeight="1" x14ac:dyDescent="0.2"/>
    <row r="811" s="11" customFormat="1" ht="12.75" customHeight="1" x14ac:dyDescent="0.2"/>
    <row r="812" s="11" customFormat="1" ht="12.75" customHeight="1" x14ac:dyDescent="0.2"/>
    <row r="813" s="11" customFormat="1" ht="12.75" customHeight="1" x14ac:dyDescent="0.2"/>
    <row r="814" s="11" customFormat="1" ht="12.75" customHeight="1" x14ac:dyDescent="0.2"/>
    <row r="815" s="11" customFormat="1" ht="12.75" customHeight="1" x14ac:dyDescent="0.2"/>
    <row r="816" s="11" customFormat="1" ht="12.75" customHeight="1" x14ac:dyDescent="0.2"/>
    <row r="817" s="11" customFormat="1" ht="12.75" customHeight="1" x14ac:dyDescent="0.2"/>
    <row r="818" s="11" customFormat="1" ht="12.75" customHeight="1" x14ac:dyDescent="0.2"/>
    <row r="819" s="11" customFormat="1" ht="12.75" customHeight="1" x14ac:dyDescent="0.2"/>
    <row r="820" s="11" customFormat="1" ht="12.75" customHeight="1" x14ac:dyDescent="0.2"/>
    <row r="821" s="11" customFormat="1" ht="12.75" customHeight="1" x14ac:dyDescent="0.2"/>
    <row r="822" s="11" customFormat="1" ht="12.75" customHeight="1" x14ac:dyDescent="0.2"/>
    <row r="823" s="11" customFormat="1" ht="12.75" customHeight="1" x14ac:dyDescent="0.2"/>
    <row r="824" s="11" customFormat="1" ht="12.75" customHeight="1" x14ac:dyDescent="0.2"/>
    <row r="825" s="11" customFormat="1" ht="12.75" customHeight="1" x14ac:dyDescent="0.2"/>
    <row r="826" s="11" customFormat="1" ht="12.75" customHeight="1" x14ac:dyDescent="0.2"/>
    <row r="827" s="11" customFormat="1" ht="12.75" customHeight="1" x14ac:dyDescent="0.2"/>
    <row r="828" s="11" customFormat="1" ht="12.75" customHeight="1" x14ac:dyDescent="0.2"/>
    <row r="829" s="11" customFormat="1" ht="12.75" customHeight="1" x14ac:dyDescent="0.2"/>
    <row r="830" s="11" customFormat="1" ht="12.75" customHeight="1" x14ac:dyDescent="0.2"/>
    <row r="831" s="11" customFormat="1" ht="12.75" customHeight="1" x14ac:dyDescent="0.2"/>
    <row r="832" s="11" customFormat="1" ht="12.75" customHeight="1" x14ac:dyDescent="0.2"/>
    <row r="833" s="11" customFormat="1" ht="12.75" customHeight="1" x14ac:dyDescent="0.2"/>
    <row r="834" s="11" customFormat="1" ht="12.75" customHeight="1" x14ac:dyDescent="0.2"/>
    <row r="835" s="11" customFormat="1" ht="12.75" customHeight="1" x14ac:dyDescent="0.2"/>
    <row r="836" s="11" customFormat="1" ht="12.75" customHeight="1" x14ac:dyDescent="0.2"/>
    <row r="837" s="11" customFormat="1" ht="12.75" customHeight="1" x14ac:dyDescent="0.2"/>
    <row r="838" s="11" customFormat="1" ht="12.75" customHeight="1" x14ac:dyDescent="0.2"/>
    <row r="839" s="11" customFormat="1" ht="12.75" customHeight="1" x14ac:dyDescent="0.2"/>
    <row r="840" s="11" customFormat="1" ht="12.75" customHeight="1" x14ac:dyDescent="0.2"/>
    <row r="841" s="11" customFormat="1" ht="12.75" customHeight="1" x14ac:dyDescent="0.2"/>
    <row r="842" s="11" customFormat="1" ht="12.75" customHeight="1" x14ac:dyDescent="0.2"/>
    <row r="843" s="11" customFormat="1" ht="12.75" customHeight="1" x14ac:dyDescent="0.2"/>
    <row r="844" s="11" customFormat="1" ht="12.75" customHeight="1" x14ac:dyDescent="0.2"/>
    <row r="845" s="11" customFormat="1" ht="12.75" customHeight="1" x14ac:dyDescent="0.2"/>
    <row r="846" s="11" customFormat="1" ht="12.75" customHeight="1" x14ac:dyDescent="0.2"/>
    <row r="847" s="11" customFormat="1" ht="12.75" customHeight="1" x14ac:dyDescent="0.2"/>
    <row r="848" s="11" customFormat="1" ht="12.75" customHeight="1" x14ac:dyDescent="0.2"/>
    <row r="849" s="11" customFormat="1" ht="12.75" customHeight="1" x14ac:dyDescent="0.2"/>
    <row r="850" s="11" customFormat="1" ht="12.75" customHeight="1" x14ac:dyDescent="0.2"/>
    <row r="851" s="11" customFormat="1" ht="12.75" customHeight="1" x14ac:dyDescent="0.2"/>
    <row r="852" s="11" customFormat="1" ht="12.75" customHeight="1" x14ac:dyDescent="0.2"/>
    <row r="853" s="11" customFormat="1" ht="12.75" customHeight="1" x14ac:dyDescent="0.2"/>
    <row r="854" s="11" customFormat="1" ht="12.75" customHeight="1" x14ac:dyDescent="0.2"/>
    <row r="855" s="11" customFormat="1" ht="12.75" customHeight="1" x14ac:dyDescent="0.2"/>
    <row r="856" s="11" customFormat="1" ht="12.75" customHeight="1" x14ac:dyDescent="0.2"/>
    <row r="857" s="11" customFormat="1" ht="12.75" customHeight="1" x14ac:dyDescent="0.2"/>
    <row r="858" s="11" customFormat="1" ht="12.75" customHeight="1" x14ac:dyDescent="0.2"/>
    <row r="859" s="11" customFormat="1" ht="12.75" customHeight="1" x14ac:dyDescent="0.2"/>
    <row r="860" s="11" customFormat="1" ht="12.75" customHeight="1" x14ac:dyDescent="0.2"/>
    <row r="861" s="11" customFormat="1" ht="12.75" customHeight="1" x14ac:dyDescent="0.2"/>
    <row r="862" s="11" customFormat="1" ht="12.75" customHeight="1" x14ac:dyDescent="0.2"/>
    <row r="863" s="11" customFormat="1" ht="12.75" customHeight="1" x14ac:dyDescent="0.2"/>
    <row r="864" s="11" customFormat="1" ht="12.75" customHeight="1" x14ac:dyDescent="0.2"/>
    <row r="865" s="11" customFormat="1" ht="12.75" customHeight="1" x14ac:dyDescent="0.2"/>
    <row r="866" s="11" customFormat="1" ht="12.75" customHeight="1" x14ac:dyDescent="0.2"/>
    <row r="867" s="11" customFormat="1" ht="12.75" customHeight="1" x14ac:dyDescent="0.2"/>
    <row r="868" s="11" customFormat="1" ht="12.75" customHeight="1" x14ac:dyDescent="0.2"/>
    <row r="869" s="11" customFormat="1" ht="12.75" customHeight="1" x14ac:dyDescent="0.2"/>
    <row r="870" s="11" customFormat="1" ht="12.75" customHeight="1" x14ac:dyDescent="0.2"/>
    <row r="871" s="11" customFormat="1" ht="12.75" customHeight="1" x14ac:dyDescent="0.2"/>
    <row r="872" s="11" customFormat="1" ht="12.75" customHeight="1" x14ac:dyDescent="0.2"/>
    <row r="873" s="11" customFormat="1" ht="12.75" customHeight="1" x14ac:dyDescent="0.2"/>
    <row r="874" s="11" customFormat="1" ht="12.75" customHeight="1" x14ac:dyDescent="0.2"/>
    <row r="875" s="11" customFormat="1" ht="12.75" customHeight="1" x14ac:dyDescent="0.2"/>
    <row r="876" s="11" customFormat="1" ht="12.75" customHeight="1" x14ac:dyDescent="0.2"/>
    <row r="877" s="11" customFormat="1" ht="12.75" customHeight="1" x14ac:dyDescent="0.2"/>
    <row r="878" s="11" customFormat="1" ht="12.75" customHeight="1" x14ac:dyDescent="0.2"/>
    <row r="879" s="11" customFormat="1" ht="12.75" customHeight="1" x14ac:dyDescent="0.2"/>
    <row r="880" s="11" customFormat="1" ht="12.75" customHeight="1" x14ac:dyDescent="0.2"/>
    <row r="881" s="11" customFormat="1" ht="12.75" customHeight="1" x14ac:dyDescent="0.2"/>
    <row r="882" s="11" customFormat="1" ht="12.75" customHeight="1" x14ac:dyDescent="0.2"/>
    <row r="883" s="11" customFormat="1" ht="12.75" customHeight="1" x14ac:dyDescent="0.2"/>
    <row r="884" s="11" customFormat="1" ht="12.75" customHeight="1" x14ac:dyDescent="0.2"/>
    <row r="885" s="11" customFormat="1" ht="12.75" customHeight="1" x14ac:dyDescent="0.2"/>
    <row r="886" s="11" customFormat="1" ht="12.75" customHeight="1" x14ac:dyDescent="0.2"/>
    <row r="887" s="11" customFormat="1" ht="12.75" customHeight="1" x14ac:dyDescent="0.2"/>
    <row r="888" s="11" customFormat="1" ht="12.75" customHeight="1" x14ac:dyDescent="0.2"/>
    <row r="889" s="11" customFormat="1" ht="12.75" customHeight="1" x14ac:dyDescent="0.2"/>
    <row r="890" s="11" customFormat="1" ht="12.75" customHeight="1" x14ac:dyDescent="0.2"/>
    <row r="891" s="11" customFormat="1" ht="12.75" customHeight="1" x14ac:dyDescent="0.2"/>
    <row r="892" s="11" customFormat="1" ht="12.75" customHeight="1" x14ac:dyDescent="0.2"/>
    <row r="893" s="11" customFormat="1" ht="12.75" customHeight="1" x14ac:dyDescent="0.2"/>
    <row r="894" s="11" customFormat="1" ht="12.75" customHeight="1" x14ac:dyDescent="0.2"/>
    <row r="895" s="11" customFormat="1" ht="12.75" customHeight="1" x14ac:dyDescent="0.2"/>
    <row r="896" s="11" customFormat="1" ht="12.75" customHeight="1" x14ac:dyDescent="0.2"/>
    <row r="897" s="11" customFormat="1" ht="12.75" customHeight="1" x14ac:dyDescent="0.2"/>
    <row r="898" s="11" customFormat="1" ht="12.75" customHeight="1" x14ac:dyDescent="0.2"/>
    <row r="899" s="11" customFormat="1" ht="12.75" customHeight="1" x14ac:dyDescent="0.2"/>
    <row r="900" s="11" customFormat="1" ht="12.75" customHeight="1" x14ac:dyDescent="0.2"/>
    <row r="901" s="11" customFormat="1" ht="12.75" customHeight="1" x14ac:dyDescent="0.2"/>
    <row r="902" s="11" customFormat="1" ht="12.75" customHeight="1" x14ac:dyDescent="0.2"/>
    <row r="903" s="11" customFormat="1" ht="12.75" customHeight="1" x14ac:dyDescent="0.2"/>
    <row r="904" s="11" customFormat="1" ht="12.75" customHeight="1" x14ac:dyDescent="0.2"/>
    <row r="905" s="11" customFormat="1" ht="12.75" customHeight="1" x14ac:dyDescent="0.2"/>
    <row r="906" s="11" customFormat="1" ht="12.75" customHeight="1" x14ac:dyDescent="0.2"/>
    <row r="907" s="11" customFormat="1" ht="12.75" customHeight="1" x14ac:dyDescent="0.2"/>
    <row r="908" s="11" customFormat="1" ht="12.75" customHeight="1" x14ac:dyDescent="0.2"/>
    <row r="909" s="11" customFormat="1" ht="12.75" customHeight="1" x14ac:dyDescent="0.2"/>
    <row r="910" s="11" customFormat="1" ht="12.75" customHeight="1" x14ac:dyDescent="0.2"/>
    <row r="911" s="11" customFormat="1" ht="12.75" customHeight="1" x14ac:dyDescent="0.2"/>
    <row r="912" s="11" customFormat="1" ht="12.75" customHeight="1" x14ac:dyDescent="0.2"/>
    <row r="913" s="11" customFormat="1" ht="12.75" customHeight="1" x14ac:dyDescent="0.2"/>
    <row r="914" s="11" customFormat="1" ht="12.75" customHeight="1" x14ac:dyDescent="0.2"/>
    <row r="915" s="11" customFormat="1" ht="12.75" customHeight="1" x14ac:dyDescent="0.2"/>
    <row r="916" s="11" customFormat="1" ht="12.75" customHeight="1" x14ac:dyDescent="0.2"/>
    <row r="917" s="11" customFormat="1" ht="12.75" customHeight="1" x14ac:dyDescent="0.2"/>
    <row r="918" s="11" customFormat="1" ht="12.75" customHeight="1" x14ac:dyDescent="0.2"/>
    <row r="919" s="11" customFormat="1" ht="12.75" customHeight="1" x14ac:dyDescent="0.2"/>
    <row r="920" s="11" customFormat="1" ht="12.75" customHeight="1" x14ac:dyDescent="0.2"/>
    <row r="921" s="11" customFormat="1" ht="12.75" customHeight="1" x14ac:dyDescent="0.2"/>
    <row r="922" s="11" customFormat="1" ht="12.75" customHeight="1" x14ac:dyDescent="0.2"/>
    <row r="923" s="11" customFormat="1" ht="12.75" customHeight="1" x14ac:dyDescent="0.2"/>
    <row r="924" s="11" customFormat="1" ht="12.75" customHeight="1" x14ac:dyDescent="0.2"/>
    <row r="925" s="11" customFormat="1" ht="12.75" customHeight="1" x14ac:dyDescent="0.2"/>
    <row r="926" s="11" customFormat="1" ht="12.75" customHeight="1" x14ac:dyDescent="0.2"/>
    <row r="927" s="11" customFormat="1" ht="12.75" customHeight="1" x14ac:dyDescent="0.2"/>
    <row r="928" s="11" customFormat="1" ht="12.75" customHeight="1" x14ac:dyDescent="0.2"/>
    <row r="929" s="11" customFormat="1" ht="12.75" customHeight="1" x14ac:dyDescent="0.2"/>
    <row r="930" s="11" customFormat="1" ht="12.75" customHeight="1" x14ac:dyDescent="0.2"/>
    <row r="931" s="11" customFormat="1" ht="12.75" customHeight="1" x14ac:dyDescent="0.2"/>
    <row r="932" s="11" customFormat="1" ht="12.75" customHeight="1" x14ac:dyDescent="0.2"/>
    <row r="933" s="11" customFormat="1" ht="12.75" customHeight="1" x14ac:dyDescent="0.2"/>
    <row r="934" s="11" customFormat="1" ht="12.75" customHeight="1" x14ac:dyDescent="0.2"/>
    <row r="935" s="11" customFormat="1" ht="12.75" customHeight="1" x14ac:dyDescent="0.2"/>
    <row r="936" s="11" customFormat="1" ht="12.75" customHeight="1" x14ac:dyDescent="0.2"/>
    <row r="937" s="11" customFormat="1" ht="12.75" customHeight="1" x14ac:dyDescent="0.2"/>
    <row r="938" s="11" customFormat="1" ht="12.75" customHeight="1" x14ac:dyDescent="0.2"/>
    <row r="939" s="11" customFormat="1" ht="12.75" customHeight="1" x14ac:dyDescent="0.2"/>
    <row r="940" s="11" customFormat="1" ht="12.75" customHeight="1" x14ac:dyDescent="0.2"/>
    <row r="941" s="11" customFormat="1" ht="12.75" customHeight="1" x14ac:dyDescent="0.2"/>
    <row r="942" s="11" customFormat="1" ht="12.75" customHeight="1" x14ac:dyDescent="0.2"/>
    <row r="943" s="11" customFormat="1" ht="12.75" customHeight="1" x14ac:dyDescent="0.2"/>
    <row r="944" s="11" customFormat="1" ht="12.75" customHeight="1" x14ac:dyDescent="0.2"/>
    <row r="945" s="11" customFormat="1" ht="12.75" customHeight="1" x14ac:dyDescent="0.2"/>
    <row r="946" s="11" customFormat="1" ht="12.75" customHeight="1" x14ac:dyDescent="0.2"/>
    <row r="947" s="11" customFormat="1" ht="12.75" customHeight="1" x14ac:dyDescent="0.2"/>
    <row r="948" s="11" customFormat="1" ht="12.75" customHeight="1" x14ac:dyDescent="0.2"/>
    <row r="949" s="11" customFormat="1" ht="12.75" customHeight="1" x14ac:dyDescent="0.2"/>
    <row r="950" s="11" customFormat="1" ht="12.75" customHeight="1" x14ac:dyDescent="0.2"/>
    <row r="951" s="11" customFormat="1" ht="12.75" customHeight="1" x14ac:dyDescent="0.2"/>
    <row r="952" s="11" customFormat="1" ht="12.75" customHeight="1" x14ac:dyDescent="0.2"/>
    <row r="953" s="11" customFormat="1" ht="12.75" customHeight="1" x14ac:dyDescent="0.2"/>
    <row r="954" s="11" customFormat="1" ht="12.75" customHeight="1" x14ac:dyDescent="0.2"/>
    <row r="955" s="11" customFormat="1" ht="12.75" customHeight="1" x14ac:dyDescent="0.2"/>
    <row r="956" s="11" customFormat="1" ht="12.75" customHeight="1" x14ac:dyDescent="0.2"/>
    <row r="957" s="11" customFormat="1" ht="12.75" customHeight="1" x14ac:dyDescent="0.2"/>
    <row r="958" s="11" customFormat="1" ht="12.75" customHeight="1" x14ac:dyDescent="0.2"/>
    <row r="959" s="11" customFormat="1" ht="12.75" customHeight="1" x14ac:dyDescent="0.2"/>
    <row r="960" s="11" customFormat="1" ht="12.75" customHeight="1" x14ac:dyDescent="0.2"/>
    <row r="961" s="11" customFormat="1" ht="12.75" customHeight="1" x14ac:dyDescent="0.2"/>
    <row r="962" s="11" customFormat="1" ht="12.75" customHeight="1" x14ac:dyDescent="0.2"/>
    <row r="963" s="11" customFormat="1" ht="12.75" customHeight="1" x14ac:dyDescent="0.2"/>
    <row r="964" s="11" customFormat="1" ht="12.75" customHeight="1" x14ac:dyDescent="0.2"/>
    <row r="965" s="11" customFormat="1" ht="12.75" customHeight="1" x14ac:dyDescent="0.2"/>
    <row r="966" s="11" customFormat="1" ht="12.75" customHeight="1" x14ac:dyDescent="0.2"/>
    <row r="967" s="11" customFormat="1" ht="12.75" customHeight="1" x14ac:dyDescent="0.2"/>
    <row r="968" s="11" customFormat="1" ht="12.75" customHeight="1" x14ac:dyDescent="0.2"/>
    <row r="969" s="11" customFormat="1" ht="12.75" customHeight="1" x14ac:dyDescent="0.2"/>
    <row r="970" s="11" customFormat="1" ht="12.75" customHeight="1" x14ac:dyDescent="0.2"/>
    <row r="971" s="11" customFormat="1" ht="12.75" customHeight="1" x14ac:dyDescent="0.2"/>
    <row r="972" s="11" customFormat="1" ht="12.75" customHeight="1" x14ac:dyDescent="0.2"/>
    <row r="973" s="11" customFormat="1" ht="12.75" customHeight="1" x14ac:dyDescent="0.2"/>
    <row r="974" s="11" customFormat="1" ht="12.75" customHeight="1" x14ac:dyDescent="0.2"/>
    <row r="975" s="11" customFormat="1" ht="12.75" customHeight="1" x14ac:dyDescent="0.2"/>
    <row r="976" s="11" customFormat="1" ht="12.75" customHeight="1" x14ac:dyDescent="0.2"/>
    <row r="977" s="11" customFormat="1" ht="12.75" customHeight="1" x14ac:dyDescent="0.2"/>
    <row r="978" s="11" customFormat="1" ht="12.75" customHeight="1" x14ac:dyDescent="0.2"/>
    <row r="979" s="11" customFormat="1" ht="12.75" customHeight="1" x14ac:dyDescent="0.2"/>
    <row r="980" s="11" customFormat="1" ht="12.75" customHeight="1" x14ac:dyDescent="0.2"/>
    <row r="981" s="11" customFormat="1" ht="12.75" customHeight="1" x14ac:dyDescent="0.2"/>
    <row r="982" s="11" customFormat="1" ht="12.75" customHeight="1" x14ac:dyDescent="0.2"/>
    <row r="983" s="11" customFormat="1" ht="12.75" customHeight="1" x14ac:dyDescent="0.2"/>
    <row r="984" s="11" customFormat="1" ht="12.75" customHeight="1" x14ac:dyDescent="0.2"/>
    <row r="985" s="11" customFormat="1" ht="12.75" customHeight="1" x14ac:dyDescent="0.2"/>
    <row r="986" s="11" customFormat="1" ht="12.75" customHeight="1" x14ac:dyDescent="0.2"/>
    <row r="987" s="11" customFormat="1" ht="12.75" customHeight="1" x14ac:dyDescent="0.2"/>
    <row r="988" s="11" customFormat="1" ht="12.75" customHeight="1" x14ac:dyDescent="0.2"/>
    <row r="989" s="11" customFormat="1" ht="12.75" customHeight="1" x14ac:dyDescent="0.2"/>
    <row r="990" s="11" customFormat="1" ht="12.75" customHeight="1" x14ac:dyDescent="0.2"/>
    <row r="991" s="11" customFormat="1" ht="12.75" customHeight="1" x14ac:dyDescent="0.2"/>
    <row r="992" s="11" customFormat="1" ht="12.75" customHeight="1" x14ac:dyDescent="0.2"/>
    <row r="993" s="11" customFormat="1" ht="12.75" customHeight="1" x14ac:dyDescent="0.2"/>
    <row r="994" s="11" customFormat="1" ht="12.75" customHeight="1" x14ac:dyDescent="0.2"/>
    <row r="995" s="11" customFormat="1" ht="12.75" customHeight="1" x14ac:dyDescent="0.2"/>
    <row r="996" s="11" customFormat="1" ht="12.75" customHeight="1" x14ac:dyDescent="0.2"/>
    <row r="997" s="11" customFormat="1" ht="12.75" customHeight="1" x14ac:dyDescent="0.2"/>
    <row r="998" s="11" customFormat="1" ht="12.75" customHeight="1" x14ac:dyDescent="0.2"/>
    <row r="999" s="11" customFormat="1" ht="12.75" customHeight="1" x14ac:dyDescent="0.2"/>
    <row r="1000" s="11" customFormat="1" ht="12.75" customHeight="1" x14ac:dyDescent="0.2"/>
    <row r="1001" s="11" customFormat="1" ht="12.75" customHeight="1" x14ac:dyDescent="0.2"/>
    <row r="1002" s="11" customFormat="1" ht="12.75" customHeight="1" x14ac:dyDescent="0.2"/>
    <row r="1003" s="11" customFormat="1" ht="12.75" customHeight="1" x14ac:dyDescent="0.2"/>
    <row r="1004" s="11" customFormat="1" ht="12.75" customHeight="1" x14ac:dyDescent="0.2"/>
    <row r="1005" s="11" customFormat="1" ht="12.75" customHeight="1" x14ac:dyDescent="0.2"/>
    <row r="1006" s="11" customFormat="1" ht="12.75" customHeight="1" x14ac:dyDescent="0.2"/>
    <row r="1007" s="11" customFormat="1" ht="12.75" customHeight="1" x14ac:dyDescent="0.2"/>
    <row r="1008" s="11" customFormat="1" ht="12.75" customHeight="1" x14ac:dyDescent="0.2"/>
    <row r="1009" s="11" customFormat="1" ht="12.75" customHeight="1" x14ac:dyDescent="0.2"/>
    <row r="1010" s="11" customFormat="1" ht="12.75" customHeight="1" x14ac:dyDescent="0.2"/>
    <row r="1011" s="11" customFormat="1" ht="12.75" customHeight="1" x14ac:dyDescent="0.2"/>
    <row r="1012" s="11" customFormat="1" ht="12.75" customHeight="1" x14ac:dyDescent="0.2"/>
    <row r="1013" s="11" customFormat="1" ht="12.75" customHeight="1" x14ac:dyDescent="0.2"/>
    <row r="1014" s="11" customFormat="1" ht="12.75" customHeight="1" x14ac:dyDescent="0.2"/>
    <row r="1015" s="11" customFormat="1" ht="12.75" customHeight="1" x14ac:dyDescent="0.2"/>
    <row r="1016" s="11" customFormat="1" ht="12.75" customHeight="1" x14ac:dyDescent="0.2"/>
    <row r="1017" s="11" customFormat="1" ht="12.75" customHeight="1" x14ac:dyDescent="0.2"/>
    <row r="1018" s="11" customFormat="1" ht="12.75" customHeight="1" x14ac:dyDescent="0.2"/>
    <row r="1019" s="11" customFormat="1" ht="12.75" customHeight="1" x14ac:dyDescent="0.2"/>
    <row r="1020" s="11" customFormat="1" ht="12.75" customHeight="1" x14ac:dyDescent="0.2"/>
    <row r="1021" s="11" customFormat="1" ht="12.75" customHeight="1" x14ac:dyDescent="0.2"/>
    <row r="1022" s="11" customFormat="1" ht="12.75" customHeight="1" x14ac:dyDescent="0.2"/>
    <row r="1023" s="11" customFormat="1" ht="12.75" customHeight="1" x14ac:dyDescent="0.2"/>
    <row r="1024" s="11" customFormat="1" ht="12.75" customHeight="1" x14ac:dyDescent="0.2"/>
    <row r="1025" s="11" customFormat="1" ht="12.75" customHeight="1" x14ac:dyDescent="0.2"/>
    <row r="1026" s="11" customFormat="1" ht="12.75" customHeight="1" x14ac:dyDescent="0.2"/>
    <row r="1027" s="11" customFormat="1" ht="12.75" customHeight="1" x14ac:dyDescent="0.2"/>
    <row r="1028" s="11" customFormat="1" ht="12.75" customHeight="1" x14ac:dyDescent="0.2"/>
    <row r="1029" s="11" customFormat="1" ht="12.75" customHeight="1" x14ac:dyDescent="0.2"/>
    <row r="1030" s="11" customFormat="1" ht="12.75" customHeight="1" x14ac:dyDescent="0.2"/>
    <row r="1031" s="11" customFormat="1" ht="12.75" customHeight="1" x14ac:dyDescent="0.2"/>
    <row r="1032" s="11" customFormat="1" ht="12.75" customHeight="1" x14ac:dyDescent="0.2"/>
    <row r="1033" s="11" customFormat="1" ht="12.75" customHeight="1" x14ac:dyDescent="0.2"/>
    <row r="1034" s="11" customFormat="1" ht="12.75" customHeight="1" x14ac:dyDescent="0.2"/>
    <row r="1035" s="11" customFormat="1" ht="12.75" customHeight="1" x14ac:dyDescent="0.2"/>
    <row r="1036" s="11" customFormat="1" ht="12.75" customHeight="1" x14ac:dyDescent="0.2"/>
    <row r="1037" s="11" customFormat="1" ht="12.75" customHeight="1" x14ac:dyDescent="0.2"/>
    <row r="1038" s="11" customFormat="1" ht="12.75" customHeight="1" x14ac:dyDescent="0.2"/>
    <row r="1039" s="11" customFormat="1" ht="12.75" customHeight="1" x14ac:dyDescent="0.2"/>
    <row r="1040" s="11" customFormat="1" ht="12.75" customHeight="1" x14ac:dyDescent="0.2"/>
    <row r="1041" s="11" customFormat="1" ht="12.75" customHeight="1" x14ac:dyDescent="0.2"/>
    <row r="1042" s="11" customFormat="1" ht="12.75" customHeight="1" x14ac:dyDescent="0.2"/>
    <row r="1043" s="11" customFormat="1" ht="12.75" customHeight="1" x14ac:dyDescent="0.2"/>
    <row r="1044" s="11" customFormat="1" ht="12.75" customHeight="1" x14ac:dyDescent="0.2"/>
    <row r="1045" s="11" customFormat="1" ht="12.75" customHeight="1" x14ac:dyDescent="0.2"/>
    <row r="1046" s="11" customFormat="1" ht="12.75" customHeight="1" x14ac:dyDescent="0.2"/>
    <row r="1047" s="11" customFormat="1" ht="12.75" customHeight="1" x14ac:dyDescent="0.2"/>
    <row r="1048" s="11" customFormat="1" ht="12.75" customHeight="1" x14ac:dyDescent="0.2"/>
    <row r="1049" s="11" customFormat="1" ht="12.75" customHeight="1" x14ac:dyDescent="0.2"/>
    <row r="1050" s="11" customFormat="1" ht="12.75" customHeight="1" x14ac:dyDescent="0.2"/>
    <row r="1051" s="11" customFormat="1" ht="12.75" customHeight="1" x14ac:dyDescent="0.2"/>
    <row r="1052" s="11" customFormat="1" ht="12.75" customHeight="1" x14ac:dyDescent="0.2"/>
    <row r="1053" s="11" customFormat="1" ht="12.75" customHeight="1" x14ac:dyDescent="0.2"/>
    <row r="1054" s="11" customFormat="1" ht="12.75" customHeight="1" x14ac:dyDescent="0.2"/>
    <row r="1055" s="11" customFormat="1" ht="12.75" customHeight="1" x14ac:dyDescent="0.2"/>
    <row r="1056" s="11" customFormat="1" ht="12.75" customHeight="1" x14ac:dyDescent="0.2"/>
    <row r="1057" s="11" customFormat="1" ht="12.75" customHeight="1" x14ac:dyDescent="0.2"/>
    <row r="1058" s="11" customFormat="1" ht="12.75" customHeight="1" x14ac:dyDescent="0.2"/>
    <row r="1059" s="11" customFormat="1" ht="12.75" customHeight="1" x14ac:dyDescent="0.2"/>
    <row r="1060" s="11" customFormat="1" ht="12.75" customHeight="1" x14ac:dyDescent="0.2"/>
    <row r="1061" s="11" customFormat="1" ht="12.75" customHeight="1" x14ac:dyDescent="0.2"/>
    <row r="1062" s="11" customFormat="1" ht="12.75" customHeight="1" x14ac:dyDescent="0.2"/>
    <row r="1063" s="11" customFormat="1" ht="12.75" customHeight="1" x14ac:dyDescent="0.2"/>
    <row r="1064" s="11" customFormat="1" ht="12.75" customHeight="1" x14ac:dyDescent="0.2"/>
    <row r="1065" s="11" customFormat="1" ht="12.75" customHeight="1" x14ac:dyDescent="0.2"/>
    <row r="1066" s="11" customFormat="1" ht="12.75" customHeight="1" x14ac:dyDescent="0.2"/>
    <row r="1067" s="11" customFormat="1" ht="12.75" customHeight="1" x14ac:dyDescent="0.2"/>
    <row r="1068" s="11" customFormat="1" ht="12.75" customHeight="1" x14ac:dyDescent="0.2"/>
    <row r="1069" s="11" customFormat="1" ht="12.75" customHeight="1" x14ac:dyDescent="0.2"/>
    <row r="1070" s="11" customFormat="1" ht="12.75" customHeight="1" x14ac:dyDescent="0.2"/>
    <row r="1071" s="11" customFormat="1" ht="12.75" customHeight="1" x14ac:dyDescent="0.2"/>
    <row r="1072" s="11" customFormat="1" ht="12.75" customHeight="1" x14ac:dyDescent="0.2"/>
    <row r="1073" s="11" customFormat="1" ht="12.75" customHeight="1" x14ac:dyDescent="0.2"/>
    <row r="1074" s="11" customFormat="1" ht="12.75" customHeight="1" x14ac:dyDescent="0.2"/>
    <row r="1075" s="11" customFormat="1" ht="12.75" customHeight="1" x14ac:dyDescent="0.2"/>
    <row r="1076" s="11" customFormat="1" ht="12.75" customHeight="1" x14ac:dyDescent="0.2"/>
    <row r="1077" s="11" customFormat="1" ht="12.75" customHeight="1" x14ac:dyDescent="0.2"/>
    <row r="1078" s="11" customFormat="1" ht="12.75" customHeight="1" x14ac:dyDescent="0.2"/>
    <row r="1079" s="11" customFormat="1" ht="12.75" customHeight="1" x14ac:dyDescent="0.2"/>
    <row r="1080" s="11" customFormat="1" ht="12.75" customHeight="1" x14ac:dyDescent="0.2"/>
    <row r="1081" s="11" customFormat="1" ht="12.75" customHeight="1" x14ac:dyDescent="0.2"/>
    <row r="1082" s="11" customFormat="1" ht="12.75" customHeight="1" x14ac:dyDescent="0.2"/>
    <row r="1083" s="11" customFormat="1" ht="12.75" customHeight="1" x14ac:dyDescent="0.2"/>
    <row r="1084" s="11" customFormat="1" ht="12.75" customHeight="1" x14ac:dyDescent="0.2"/>
    <row r="1085" s="11" customFormat="1" ht="12.75" customHeight="1" x14ac:dyDescent="0.2"/>
    <row r="1086" s="11" customFormat="1" ht="12.75" customHeight="1" x14ac:dyDescent="0.2"/>
    <row r="1087" s="11" customFormat="1" ht="12.75" customHeight="1" x14ac:dyDescent="0.2"/>
    <row r="1088" s="11" customFormat="1" ht="12.75" customHeight="1" x14ac:dyDescent="0.2"/>
    <row r="1089" s="11" customFormat="1" ht="12.75" customHeight="1" x14ac:dyDescent="0.2"/>
    <row r="1090" s="11" customFormat="1" ht="12.75" customHeight="1" x14ac:dyDescent="0.2"/>
    <row r="1091" s="11" customFormat="1" ht="12.75" customHeight="1" x14ac:dyDescent="0.2"/>
    <row r="1092" s="11" customFormat="1" ht="12.75" customHeight="1" x14ac:dyDescent="0.2"/>
    <row r="1093" s="11" customFormat="1" ht="12.75" customHeight="1" x14ac:dyDescent="0.2"/>
    <row r="1094" s="11" customFormat="1" ht="12.75" customHeight="1" x14ac:dyDescent="0.2"/>
    <row r="1095" s="11" customFormat="1" ht="12.75" customHeight="1" x14ac:dyDescent="0.2"/>
    <row r="1096" s="11" customFormat="1" ht="12.75" customHeight="1" x14ac:dyDescent="0.2"/>
    <row r="1097" s="11" customFormat="1" ht="12.75" customHeight="1" x14ac:dyDescent="0.2"/>
    <row r="1098" s="11" customFormat="1" ht="12.75" customHeight="1" x14ac:dyDescent="0.2"/>
    <row r="1099" s="11" customFormat="1" ht="12.75" customHeight="1" x14ac:dyDescent="0.2"/>
    <row r="1100" s="11" customFormat="1" ht="12.75" customHeight="1" x14ac:dyDescent="0.2"/>
    <row r="1101" s="11" customFormat="1" ht="12.75" customHeight="1" x14ac:dyDescent="0.2"/>
    <row r="1102" s="11" customFormat="1" ht="12.75" customHeight="1" x14ac:dyDescent="0.2"/>
    <row r="1103" s="11" customFormat="1" ht="12.75" customHeight="1" x14ac:dyDescent="0.2"/>
    <row r="1104" s="11" customFormat="1" ht="12.75" customHeight="1" x14ac:dyDescent="0.2"/>
    <row r="1105" s="11" customFormat="1" ht="12.75" customHeight="1" x14ac:dyDescent="0.2"/>
    <row r="1106" s="11" customFormat="1" ht="12.75" customHeight="1" x14ac:dyDescent="0.2"/>
    <row r="1107" s="11" customFormat="1" ht="12.75" customHeight="1" x14ac:dyDescent="0.2"/>
    <row r="1108" s="11" customFormat="1" ht="12.75" customHeight="1" x14ac:dyDescent="0.2"/>
    <row r="1109" s="11" customFormat="1" ht="12.75" customHeight="1" x14ac:dyDescent="0.2"/>
    <row r="1110" s="11" customFormat="1" ht="12.75" customHeight="1" x14ac:dyDescent="0.2"/>
    <row r="1111" s="11" customFormat="1" ht="12.75" customHeight="1" x14ac:dyDescent="0.2"/>
    <row r="1112" s="11" customFormat="1" ht="12.75" customHeight="1" x14ac:dyDescent="0.2"/>
    <row r="1113" s="11" customFormat="1" ht="12.75" customHeight="1" x14ac:dyDescent="0.2"/>
    <row r="1114" s="11" customFormat="1" ht="12.75" customHeight="1" x14ac:dyDescent="0.2"/>
    <row r="1115" s="11" customFormat="1" ht="12.75" customHeight="1" x14ac:dyDescent="0.2"/>
    <row r="1116" s="11" customFormat="1" ht="12.75" customHeight="1" x14ac:dyDescent="0.2"/>
    <row r="1117" s="11" customFormat="1" ht="12.75" customHeight="1" x14ac:dyDescent="0.2"/>
    <row r="1118" s="11" customFormat="1" ht="12.75" customHeight="1" x14ac:dyDescent="0.2"/>
    <row r="1119" s="11" customFormat="1" ht="12.75" customHeight="1" x14ac:dyDescent="0.2"/>
    <row r="1120" s="11" customFormat="1" ht="12.75" customHeight="1" x14ac:dyDescent="0.2"/>
    <row r="1121" s="11" customFormat="1" ht="12.75" customHeight="1" x14ac:dyDescent="0.2"/>
    <row r="1122" s="11" customFormat="1" ht="12.75" customHeight="1" x14ac:dyDescent="0.2"/>
    <row r="1123" s="11" customFormat="1" ht="12.75" customHeight="1" x14ac:dyDescent="0.2"/>
    <row r="1124" s="11" customFormat="1" ht="12.75" customHeight="1" x14ac:dyDescent="0.2"/>
    <row r="1125" s="11" customFormat="1" ht="12.75" customHeight="1" x14ac:dyDescent="0.2"/>
    <row r="1126" s="11" customFormat="1" ht="12.75" customHeight="1" x14ac:dyDescent="0.2"/>
    <row r="1127" s="11" customFormat="1" ht="12.75" customHeight="1" x14ac:dyDescent="0.2"/>
    <row r="1128" s="11" customFormat="1" ht="12.75" customHeight="1" x14ac:dyDescent="0.2"/>
    <row r="1129" s="11" customFormat="1" ht="12.75" customHeight="1" x14ac:dyDescent="0.2"/>
    <row r="1130" s="11" customFormat="1" ht="12.75" customHeight="1" x14ac:dyDescent="0.2"/>
    <row r="1131" s="11" customFormat="1" ht="12.75" customHeight="1" x14ac:dyDescent="0.2"/>
    <row r="1132" s="11" customFormat="1" ht="12.75" customHeight="1" x14ac:dyDescent="0.2"/>
    <row r="1133" s="11" customFormat="1" ht="12.75" customHeight="1" x14ac:dyDescent="0.2"/>
    <row r="1134" s="11" customFormat="1" ht="12.75" customHeight="1" x14ac:dyDescent="0.2"/>
    <row r="1135" s="11" customFormat="1" ht="12.75" customHeight="1" x14ac:dyDescent="0.2"/>
    <row r="1136" s="11" customFormat="1" ht="12.75" customHeight="1" x14ac:dyDescent="0.2"/>
    <row r="1137" s="11" customFormat="1" ht="12.75" customHeight="1" x14ac:dyDescent="0.2"/>
    <row r="1138" s="11" customFormat="1" ht="12.75" customHeight="1" x14ac:dyDescent="0.2"/>
    <row r="1139" s="11" customFormat="1" ht="12.75" customHeight="1" x14ac:dyDescent="0.2"/>
    <row r="1140" s="11" customFormat="1" ht="12.75" customHeight="1" x14ac:dyDescent="0.2"/>
    <row r="1141" s="11" customFormat="1" ht="12.75" customHeight="1" x14ac:dyDescent="0.2"/>
    <row r="1142" s="11" customFormat="1" ht="12.75" customHeight="1" x14ac:dyDescent="0.2"/>
    <row r="1143" s="11" customFormat="1" ht="12.75" customHeight="1" x14ac:dyDescent="0.2"/>
    <row r="1144" s="11" customFormat="1" ht="12.75" customHeight="1" x14ac:dyDescent="0.2"/>
    <row r="1145" s="11" customFormat="1" ht="12.75" customHeight="1" x14ac:dyDescent="0.2"/>
    <row r="1146" s="11" customFormat="1" ht="12.75" customHeight="1" x14ac:dyDescent="0.2"/>
    <row r="1147" s="11" customFormat="1" ht="12.75" customHeight="1" x14ac:dyDescent="0.2"/>
    <row r="1148" s="11" customFormat="1" ht="12.75" customHeight="1" x14ac:dyDescent="0.2"/>
    <row r="1149" s="11" customFormat="1" ht="12.75" customHeight="1" x14ac:dyDescent="0.2"/>
    <row r="1150" s="11" customFormat="1" ht="12.75" customHeight="1" x14ac:dyDescent="0.2"/>
    <row r="1151" s="11" customFormat="1" ht="12.75" customHeight="1" x14ac:dyDescent="0.2"/>
    <row r="1152" s="11" customFormat="1" ht="12.75" customHeight="1" x14ac:dyDescent="0.2"/>
    <row r="1153" s="11" customFormat="1" ht="12.75" customHeight="1" x14ac:dyDescent="0.2"/>
    <row r="1154" s="11" customFormat="1" ht="12.75" customHeight="1" x14ac:dyDescent="0.2"/>
    <row r="1155" s="11" customFormat="1" ht="12.75" customHeight="1" x14ac:dyDescent="0.2"/>
    <row r="1156" s="11" customFormat="1" ht="12.75" customHeight="1" x14ac:dyDescent="0.2"/>
    <row r="1157" s="11" customFormat="1" ht="12.75" customHeight="1" x14ac:dyDescent="0.2"/>
    <row r="1158" s="11" customFormat="1" ht="12.75" customHeight="1" x14ac:dyDescent="0.2"/>
    <row r="1159" s="11" customFormat="1" ht="12.75" customHeight="1" x14ac:dyDescent="0.2"/>
    <row r="1160" s="11" customFormat="1" ht="12.75" customHeight="1" x14ac:dyDescent="0.2"/>
    <row r="1161" s="11" customFormat="1" ht="12.75" customHeight="1" x14ac:dyDescent="0.2"/>
    <row r="1162" s="11" customFormat="1" ht="12.75" customHeight="1" x14ac:dyDescent="0.2"/>
    <row r="1163" s="11" customFormat="1" ht="12.75" customHeight="1" x14ac:dyDescent="0.2"/>
    <row r="1164" s="11" customFormat="1" ht="12.75" customHeight="1" x14ac:dyDescent="0.2"/>
    <row r="1165" s="11" customFormat="1" ht="12.75" customHeight="1" x14ac:dyDescent="0.2"/>
    <row r="1166" s="11" customFormat="1" ht="12.75" customHeight="1" x14ac:dyDescent="0.2"/>
    <row r="1167" s="11" customFormat="1" ht="12.75" customHeight="1" x14ac:dyDescent="0.2"/>
    <row r="1168" s="11" customFormat="1" ht="12.75" customHeight="1" x14ac:dyDescent="0.2"/>
    <row r="1169" s="11" customFormat="1" ht="12.75" customHeight="1" x14ac:dyDescent="0.2"/>
    <row r="1170" s="11" customFormat="1" ht="12.75" customHeight="1" x14ac:dyDescent="0.2"/>
    <row r="1171" s="11" customFormat="1" ht="12.75" customHeight="1" x14ac:dyDescent="0.2"/>
    <row r="1172" s="11" customFormat="1" ht="12.75" customHeight="1" x14ac:dyDescent="0.2"/>
    <row r="1173" s="11" customFormat="1" ht="12.75" customHeight="1" x14ac:dyDescent="0.2"/>
    <row r="1174" s="11" customFormat="1" ht="12.75" customHeight="1" x14ac:dyDescent="0.2"/>
    <row r="1175" s="11" customFormat="1" ht="12.75" customHeight="1" x14ac:dyDescent="0.2"/>
    <row r="1176" s="11" customFormat="1" ht="12.75" customHeight="1" x14ac:dyDescent="0.2"/>
    <row r="1177" s="11" customFormat="1" ht="12.75" customHeight="1" x14ac:dyDescent="0.2"/>
    <row r="1178" s="11" customFormat="1" ht="12.75" customHeight="1" x14ac:dyDescent="0.2"/>
    <row r="1179" s="11" customFormat="1" ht="12.75" customHeight="1" x14ac:dyDescent="0.2"/>
    <row r="1180" s="11" customFormat="1" ht="12.75" customHeight="1" x14ac:dyDescent="0.2"/>
    <row r="1181" s="11" customFormat="1" ht="12.75" customHeight="1" x14ac:dyDescent="0.2"/>
    <row r="1182" s="11" customFormat="1" ht="12.75" customHeight="1" x14ac:dyDescent="0.2"/>
    <row r="1183" s="11" customFormat="1" ht="12.75" customHeight="1" x14ac:dyDescent="0.2"/>
    <row r="1184" s="11" customFormat="1" ht="12.75" customHeight="1" x14ac:dyDescent="0.2"/>
    <row r="1185" s="11" customFormat="1" ht="12.75" customHeight="1" x14ac:dyDescent="0.2"/>
    <row r="1186" s="11" customFormat="1" ht="12.75" customHeight="1" x14ac:dyDescent="0.2"/>
    <row r="1187" s="11" customFormat="1" ht="12.75" customHeight="1" x14ac:dyDescent="0.2"/>
    <row r="1188" s="11" customFormat="1" ht="12.75" customHeight="1" x14ac:dyDescent="0.2"/>
    <row r="1189" s="11" customFormat="1" ht="12.75" customHeight="1" x14ac:dyDescent="0.2"/>
    <row r="1190" s="11" customFormat="1" ht="12.75" customHeight="1" x14ac:dyDescent="0.2"/>
    <row r="1191" s="11" customFormat="1" ht="12.75" customHeight="1" x14ac:dyDescent="0.2"/>
    <row r="1192" s="11" customFormat="1" ht="12.75" customHeight="1" x14ac:dyDescent="0.2"/>
    <row r="1193" s="11" customFormat="1" ht="12.75" customHeight="1" x14ac:dyDescent="0.2"/>
    <row r="1194" s="11" customFormat="1" ht="12.75" customHeight="1" x14ac:dyDescent="0.2"/>
    <row r="1195" s="11" customFormat="1" ht="12.75" customHeight="1" x14ac:dyDescent="0.2"/>
    <row r="1196" s="11" customFormat="1" ht="12.75" customHeight="1" x14ac:dyDescent="0.2"/>
    <row r="1197" s="11" customFormat="1" ht="12.75" customHeight="1" x14ac:dyDescent="0.2"/>
    <row r="1198" s="11" customFormat="1" ht="12.75" customHeight="1" x14ac:dyDescent="0.2"/>
    <row r="1199" s="11" customFormat="1" ht="12.75" customHeight="1" x14ac:dyDescent="0.2"/>
    <row r="1200" s="11" customFormat="1" ht="12.75" customHeight="1" x14ac:dyDescent="0.2"/>
    <row r="1201" s="11" customFormat="1" ht="12.75" customHeight="1" x14ac:dyDescent="0.2"/>
    <row r="1202" s="11" customFormat="1" ht="12.75" customHeight="1" x14ac:dyDescent="0.2"/>
    <row r="1203" s="11" customFormat="1" ht="12.75" customHeight="1" x14ac:dyDescent="0.2"/>
    <row r="1204" s="11" customFormat="1" ht="12.75" customHeight="1" x14ac:dyDescent="0.2"/>
    <row r="1205" s="11" customFormat="1" ht="12.75" customHeight="1" x14ac:dyDescent="0.2"/>
    <row r="1206" s="11" customFormat="1" ht="12.75" customHeight="1" x14ac:dyDescent="0.2"/>
    <row r="1207" s="11" customFormat="1" ht="12.75" customHeight="1" x14ac:dyDescent="0.2"/>
    <row r="1208" s="11" customFormat="1" ht="12.75" customHeight="1" x14ac:dyDescent="0.2"/>
    <row r="1209" s="11" customFormat="1" ht="12.75" customHeight="1" x14ac:dyDescent="0.2"/>
    <row r="1210" s="11" customFormat="1" ht="12.75" customHeight="1" x14ac:dyDescent="0.2"/>
    <row r="1211" s="11" customFormat="1" ht="12.75" customHeight="1" x14ac:dyDescent="0.2"/>
    <row r="1212" s="11" customFormat="1" ht="12.75" customHeight="1" x14ac:dyDescent="0.2"/>
    <row r="1213" s="11" customFormat="1" ht="12.75" customHeight="1" x14ac:dyDescent="0.2"/>
    <row r="1214" s="11" customFormat="1" ht="12.75" customHeight="1" x14ac:dyDescent="0.2"/>
    <row r="1215" s="11" customFormat="1" ht="12.75" customHeight="1" x14ac:dyDescent="0.2"/>
    <row r="1216" s="11" customFormat="1" ht="12.75" customHeight="1" x14ac:dyDescent="0.2"/>
    <row r="1217" s="11" customFormat="1" ht="12.75" customHeight="1" x14ac:dyDescent="0.2"/>
    <row r="1218" s="11" customFormat="1" ht="12.75" customHeight="1" x14ac:dyDescent="0.2"/>
    <row r="1219" s="11" customFormat="1" ht="12.75" customHeight="1" x14ac:dyDescent="0.2"/>
    <row r="1220" s="11" customFormat="1" ht="12.75" customHeight="1" x14ac:dyDescent="0.2"/>
    <row r="1221" s="11" customFormat="1" ht="12.75" customHeight="1" x14ac:dyDescent="0.2"/>
    <row r="1222" s="11" customFormat="1" ht="12.75" customHeight="1" x14ac:dyDescent="0.2"/>
    <row r="1223" s="11" customFormat="1" ht="12.75" customHeight="1" x14ac:dyDescent="0.2"/>
    <row r="1224" s="11" customFormat="1" ht="12.75" customHeight="1" x14ac:dyDescent="0.2"/>
    <row r="1225" s="11" customFormat="1" ht="12.75" customHeight="1" x14ac:dyDescent="0.2"/>
    <row r="1226" s="11" customFormat="1" ht="12.75" customHeight="1" x14ac:dyDescent="0.2"/>
    <row r="1227" s="11" customFormat="1" ht="12.75" customHeight="1" x14ac:dyDescent="0.2"/>
    <row r="1228" s="11" customFormat="1" ht="12.75" customHeight="1" x14ac:dyDescent="0.2"/>
    <row r="1229" s="11" customFormat="1" ht="12.75" customHeight="1" x14ac:dyDescent="0.2"/>
    <row r="1230" s="11" customFormat="1" ht="12.75" customHeight="1" x14ac:dyDescent="0.2"/>
    <row r="1231" s="11" customFormat="1" ht="12.75" customHeight="1" x14ac:dyDescent="0.2"/>
    <row r="1232" s="11" customFormat="1" ht="12.75" customHeight="1" x14ac:dyDescent="0.2"/>
    <row r="1233" s="11" customFormat="1" ht="12.75" customHeight="1" x14ac:dyDescent="0.2"/>
    <row r="1234" s="11" customFormat="1" ht="12.75" customHeight="1" x14ac:dyDescent="0.2"/>
    <row r="1235" s="11" customFormat="1" ht="12.75" customHeight="1" x14ac:dyDescent="0.2"/>
    <row r="1236" s="11" customFormat="1" ht="12.75" customHeight="1" x14ac:dyDescent="0.2"/>
    <row r="1237" s="11" customFormat="1" ht="12.75" customHeight="1" x14ac:dyDescent="0.2"/>
    <row r="1238" s="11" customFormat="1" ht="12.75" customHeight="1" x14ac:dyDescent="0.2"/>
    <row r="1239" s="11" customFormat="1" ht="12.75" customHeight="1" x14ac:dyDescent="0.2"/>
    <row r="1240" s="11" customFormat="1" ht="12.75" customHeight="1" x14ac:dyDescent="0.2"/>
    <row r="1241" s="11" customFormat="1" ht="12.75" customHeight="1" x14ac:dyDescent="0.2"/>
    <row r="1242" s="11" customFormat="1" ht="12.75" customHeight="1" x14ac:dyDescent="0.2"/>
    <row r="1243" s="11" customFormat="1" ht="12.75" customHeight="1" x14ac:dyDescent="0.2"/>
    <row r="1244" s="11" customFormat="1" ht="12.75" customHeight="1" x14ac:dyDescent="0.2"/>
    <row r="1245" s="11" customFormat="1" ht="12.75" customHeight="1" x14ac:dyDescent="0.2"/>
    <row r="1246" s="11" customFormat="1" ht="12.75" customHeight="1" x14ac:dyDescent="0.2"/>
    <row r="1247" s="11" customFormat="1" ht="12.75" customHeight="1" x14ac:dyDescent="0.2"/>
    <row r="1248" s="11" customFormat="1" ht="12.75" customHeight="1" x14ac:dyDescent="0.2"/>
    <row r="1249" s="11" customFormat="1" ht="12.75" customHeight="1" x14ac:dyDescent="0.2"/>
    <row r="1250" s="11" customFormat="1" ht="12.75" customHeight="1" x14ac:dyDescent="0.2"/>
    <row r="1251" s="11" customFormat="1" ht="12.75" customHeight="1" x14ac:dyDescent="0.2"/>
    <row r="1252" s="11" customFormat="1" ht="12.75" customHeight="1" x14ac:dyDescent="0.2"/>
    <row r="1253" s="11" customFormat="1" ht="12.75" customHeight="1" x14ac:dyDescent="0.2"/>
    <row r="1254" s="11" customFormat="1" ht="12.75" customHeight="1" x14ac:dyDescent="0.2"/>
    <row r="1255" s="11" customFormat="1" ht="12.75" customHeight="1" x14ac:dyDescent="0.2"/>
    <row r="1256" s="11" customFormat="1" ht="12.75" customHeight="1" x14ac:dyDescent="0.2"/>
    <row r="1257" s="11" customFormat="1" ht="12.75" customHeight="1" x14ac:dyDescent="0.2"/>
    <row r="1258" s="11" customFormat="1" ht="12.75" customHeight="1" x14ac:dyDescent="0.2"/>
    <row r="1259" s="11" customFormat="1" ht="12.75" customHeight="1" x14ac:dyDescent="0.2"/>
    <row r="1260" s="11" customFormat="1" ht="12.75" customHeight="1" x14ac:dyDescent="0.2"/>
    <row r="1261" s="11" customFormat="1" ht="12.75" customHeight="1" x14ac:dyDescent="0.2"/>
    <row r="1262" s="11" customFormat="1" ht="12.75" customHeight="1" x14ac:dyDescent="0.2"/>
    <row r="1263" s="11" customFormat="1" ht="12.75" customHeight="1" x14ac:dyDescent="0.2"/>
    <row r="1264" s="11" customFormat="1" ht="12.75" customHeight="1" x14ac:dyDescent="0.2"/>
    <row r="1265" s="11" customFormat="1" ht="12.75" customHeight="1" x14ac:dyDescent="0.2"/>
    <row r="1266" s="11" customFormat="1" ht="12.75" customHeight="1" x14ac:dyDescent="0.2"/>
    <row r="1267" s="11" customFormat="1" ht="12.75" customHeight="1" x14ac:dyDescent="0.2"/>
    <row r="1268" s="11" customFormat="1" ht="12.75" customHeight="1" x14ac:dyDescent="0.2"/>
    <row r="1269" s="11" customFormat="1" ht="12.75" customHeight="1" x14ac:dyDescent="0.2"/>
    <row r="1270" s="11" customFormat="1" ht="12.75" customHeight="1" x14ac:dyDescent="0.2"/>
    <row r="1271" s="11" customFormat="1" ht="12.75" customHeight="1" x14ac:dyDescent="0.2"/>
    <row r="1272" s="11" customFormat="1" ht="12.75" customHeight="1" x14ac:dyDescent="0.2"/>
    <row r="1273" s="11" customFormat="1" ht="12.75" customHeight="1" x14ac:dyDescent="0.2"/>
    <row r="1274" s="11" customFormat="1" ht="12.75" customHeight="1" x14ac:dyDescent="0.2"/>
    <row r="1275" s="11" customFormat="1" ht="12.75" customHeight="1" x14ac:dyDescent="0.2"/>
    <row r="1276" s="11" customFormat="1" ht="12.75" customHeight="1" x14ac:dyDescent="0.2"/>
    <row r="1277" s="11" customFormat="1" ht="12.75" customHeight="1" x14ac:dyDescent="0.2"/>
    <row r="1278" s="11" customFormat="1" ht="12.75" customHeight="1" x14ac:dyDescent="0.2"/>
    <row r="1279" s="11" customFormat="1" ht="12.75" customHeight="1" x14ac:dyDescent="0.2"/>
    <row r="1280" s="11" customFormat="1" ht="12.75" customHeight="1" x14ac:dyDescent="0.2"/>
    <row r="1281" s="11" customFormat="1" ht="12.75" customHeight="1" x14ac:dyDescent="0.2"/>
    <row r="1282" s="11" customFormat="1" ht="12.75" customHeight="1" x14ac:dyDescent="0.2"/>
    <row r="1283" s="11" customFormat="1" ht="12.75" customHeight="1" x14ac:dyDescent="0.2"/>
    <row r="1284" s="11" customFormat="1" ht="12.75" customHeight="1" x14ac:dyDescent="0.2"/>
    <row r="1285" s="11" customFormat="1" ht="12.75" customHeight="1" x14ac:dyDescent="0.2"/>
    <row r="1286" s="11" customFormat="1" ht="12.75" customHeight="1" x14ac:dyDescent="0.2"/>
    <row r="1287" s="11" customFormat="1" ht="12.75" customHeight="1" x14ac:dyDescent="0.2"/>
    <row r="1288" s="11" customFormat="1" ht="12.75" customHeight="1" x14ac:dyDescent="0.2"/>
    <row r="1289" s="11" customFormat="1" ht="12.75" customHeight="1" x14ac:dyDescent="0.2"/>
    <row r="1290" s="11" customFormat="1" ht="12.75" customHeight="1" x14ac:dyDescent="0.2"/>
    <row r="1291" s="11" customFormat="1" ht="12.75" customHeight="1" x14ac:dyDescent="0.2"/>
    <row r="1292" s="11" customFormat="1" ht="12.75" customHeight="1" x14ac:dyDescent="0.2"/>
    <row r="1293" s="11" customFormat="1" ht="12.75" customHeight="1" x14ac:dyDescent="0.2"/>
    <row r="1294" s="11" customFormat="1" ht="12.75" customHeight="1" x14ac:dyDescent="0.2"/>
    <row r="1295" s="11" customFormat="1" ht="12.75" customHeight="1" x14ac:dyDescent="0.2"/>
    <row r="1296" s="11" customFormat="1" ht="12.75" customHeight="1" x14ac:dyDescent="0.2"/>
    <row r="1297" s="11" customFormat="1" ht="12.75" customHeight="1" x14ac:dyDescent="0.2"/>
    <row r="1298" s="11" customFormat="1" ht="12.75" customHeight="1" x14ac:dyDescent="0.2"/>
    <row r="1299" s="11" customFormat="1" ht="12.75" customHeight="1" x14ac:dyDescent="0.2"/>
    <row r="1300" s="11" customFormat="1" ht="12.75" customHeight="1" x14ac:dyDescent="0.2"/>
    <row r="1301" s="11" customFormat="1" ht="12.75" customHeight="1" x14ac:dyDescent="0.2"/>
    <row r="1302" s="11" customFormat="1" ht="12.75" customHeight="1" x14ac:dyDescent="0.2"/>
    <row r="1303" s="11" customFormat="1" ht="12.75" customHeight="1" x14ac:dyDescent="0.2"/>
    <row r="1304" s="11" customFormat="1" ht="12.75" customHeight="1" x14ac:dyDescent="0.2"/>
    <row r="1305" s="11" customFormat="1" ht="12.75" customHeight="1" x14ac:dyDescent="0.2"/>
    <row r="1306" s="11" customFormat="1" ht="12.75" customHeight="1" x14ac:dyDescent="0.2"/>
    <row r="1307" s="11" customFormat="1" ht="12.75" customHeight="1" x14ac:dyDescent="0.2"/>
    <row r="1308" s="11" customFormat="1" ht="12.75" customHeight="1" x14ac:dyDescent="0.2"/>
    <row r="1309" s="11" customFormat="1" ht="12.75" customHeight="1" x14ac:dyDescent="0.2"/>
    <row r="1310" s="11" customFormat="1" ht="12.75" customHeight="1" x14ac:dyDescent="0.2"/>
    <row r="1311" s="11" customFormat="1" ht="12.75" customHeight="1" x14ac:dyDescent="0.2"/>
    <row r="1312" s="11" customFormat="1" ht="12.75" customHeight="1" x14ac:dyDescent="0.2"/>
    <row r="1313" s="11" customFormat="1" ht="12.75" customHeight="1" x14ac:dyDescent="0.2"/>
    <row r="1314" s="11" customFormat="1" ht="12.75" customHeight="1" x14ac:dyDescent="0.2"/>
    <row r="1315" s="11" customFormat="1" ht="12.75" customHeight="1" x14ac:dyDescent="0.2"/>
    <row r="1316" s="11" customFormat="1" ht="12.75" customHeight="1" x14ac:dyDescent="0.2"/>
    <row r="1317" s="11" customFormat="1" ht="12.75" customHeight="1" x14ac:dyDescent="0.2"/>
    <row r="1318" s="11" customFormat="1" ht="12.75" customHeight="1" x14ac:dyDescent="0.2"/>
    <row r="1319" s="11" customFormat="1" ht="12.75" customHeight="1" x14ac:dyDescent="0.2"/>
    <row r="1320" s="11" customFormat="1" ht="12.75" customHeight="1" x14ac:dyDescent="0.2"/>
    <row r="1321" s="11" customFormat="1" ht="12.75" customHeight="1" x14ac:dyDescent="0.2"/>
    <row r="1322" s="11" customFormat="1" ht="12.75" customHeight="1" x14ac:dyDescent="0.2"/>
    <row r="1323" s="11" customFormat="1" ht="12.75" customHeight="1" x14ac:dyDescent="0.2"/>
    <row r="1324" s="11" customFormat="1" ht="12.75" customHeight="1" x14ac:dyDescent="0.2"/>
    <row r="1325" s="11" customFormat="1" ht="12.75" customHeight="1" x14ac:dyDescent="0.2"/>
    <row r="1326" s="11" customFormat="1" ht="12.75" customHeight="1" x14ac:dyDescent="0.2"/>
    <row r="1327" s="11" customFormat="1" ht="12.75" customHeight="1" x14ac:dyDescent="0.2"/>
    <row r="1328" s="11" customFormat="1" ht="12.75" customHeight="1" x14ac:dyDescent="0.2"/>
    <row r="1329" s="11" customFormat="1" ht="12.75" customHeight="1" x14ac:dyDescent="0.2"/>
    <row r="1330" s="11" customFormat="1" ht="12.75" customHeight="1" x14ac:dyDescent="0.2"/>
    <row r="1331" s="11" customFormat="1" ht="12.75" customHeight="1" x14ac:dyDescent="0.2"/>
    <row r="1332" s="11" customFormat="1" ht="12.75" customHeight="1" x14ac:dyDescent="0.2"/>
    <row r="1333" s="11" customFormat="1" ht="12.75" customHeight="1" x14ac:dyDescent="0.2"/>
    <row r="1334" s="11" customFormat="1" ht="12.75" customHeight="1" x14ac:dyDescent="0.2"/>
    <row r="1335" s="11" customFormat="1" ht="12.75" customHeight="1" x14ac:dyDescent="0.2"/>
    <row r="1336" s="11" customFormat="1" ht="12.75" customHeight="1" x14ac:dyDescent="0.2"/>
    <row r="1337" s="11" customFormat="1" ht="12.75" customHeight="1" x14ac:dyDescent="0.2"/>
    <row r="1338" s="11" customFormat="1" ht="12.75" customHeight="1" x14ac:dyDescent="0.2"/>
    <row r="1339" s="11" customFormat="1" ht="12.75" customHeight="1" x14ac:dyDescent="0.2"/>
    <row r="1340" s="11" customFormat="1" ht="12.75" customHeight="1" x14ac:dyDescent="0.2"/>
    <row r="1341" s="11" customFormat="1" ht="12.75" customHeight="1" x14ac:dyDescent="0.2"/>
    <row r="1342" s="11" customFormat="1" ht="12.75" customHeight="1" x14ac:dyDescent="0.2"/>
    <row r="1343" s="11" customFormat="1" ht="12.75" customHeight="1" x14ac:dyDescent="0.2"/>
    <row r="1344" s="11" customFormat="1" ht="12.75" customHeight="1" x14ac:dyDescent="0.2"/>
    <row r="1345" s="11" customFormat="1" ht="12.75" customHeight="1" x14ac:dyDescent="0.2"/>
    <row r="1346" s="11" customFormat="1" ht="12.75" customHeight="1" x14ac:dyDescent="0.2"/>
    <row r="1347" s="11" customFormat="1" ht="12.75" customHeight="1" x14ac:dyDescent="0.2"/>
    <row r="1348" s="11" customFormat="1" ht="12.75" customHeight="1" x14ac:dyDescent="0.2"/>
    <row r="1349" s="11" customFormat="1" ht="12.75" customHeight="1" x14ac:dyDescent="0.2"/>
    <row r="1350" s="11" customFormat="1" ht="12.75" customHeight="1" x14ac:dyDescent="0.2"/>
    <row r="1351" s="11" customFormat="1" ht="12.75" customHeight="1" x14ac:dyDescent="0.2"/>
    <row r="1352" s="11" customFormat="1" ht="12.75" customHeight="1" x14ac:dyDescent="0.2"/>
    <row r="1353" s="11" customFormat="1" ht="12.75" customHeight="1" x14ac:dyDescent="0.2"/>
    <row r="1354" s="11" customFormat="1" ht="12.75" customHeight="1" x14ac:dyDescent="0.2"/>
    <row r="1355" s="11" customFormat="1" ht="12.75" customHeight="1" x14ac:dyDescent="0.2"/>
    <row r="1356" s="11" customFormat="1" ht="12.75" customHeight="1" x14ac:dyDescent="0.2"/>
    <row r="1357" s="11" customFormat="1" ht="12.75" customHeight="1" x14ac:dyDescent="0.2"/>
    <row r="1358" s="11" customFormat="1" ht="12.75" customHeight="1" x14ac:dyDescent="0.2"/>
    <row r="1359" s="11" customFormat="1" ht="12.75" customHeight="1" x14ac:dyDescent="0.2"/>
    <row r="1360" s="11" customFormat="1" ht="12.75" customHeight="1" x14ac:dyDescent="0.2"/>
    <row r="1361" s="11" customFormat="1" ht="12.75" customHeight="1" x14ac:dyDescent="0.2"/>
    <row r="1362" s="11" customFormat="1" ht="12.75" customHeight="1" x14ac:dyDescent="0.2"/>
    <row r="1363" s="11" customFormat="1" ht="12.75" customHeight="1" x14ac:dyDescent="0.2"/>
    <row r="1364" s="11" customFormat="1" ht="12.75" customHeight="1" x14ac:dyDescent="0.2"/>
    <row r="1365" s="11" customFormat="1" ht="12.75" customHeight="1" x14ac:dyDescent="0.2"/>
    <row r="1366" s="11" customFormat="1" ht="12.75" customHeight="1" x14ac:dyDescent="0.2"/>
    <row r="1367" s="11" customFormat="1" ht="12.75" customHeight="1" x14ac:dyDescent="0.2"/>
    <row r="1368" s="11" customFormat="1" ht="12.75" customHeight="1" x14ac:dyDescent="0.2"/>
    <row r="1369" s="11" customFormat="1" ht="12.75" customHeight="1" x14ac:dyDescent="0.2"/>
    <row r="1370" s="11" customFormat="1" ht="12.75" customHeight="1" x14ac:dyDescent="0.2"/>
    <row r="1371" s="11" customFormat="1" ht="12.75" customHeight="1" x14ac:dyDescent="0.2"/>
    <row r="1372" s="11" customFormat="1" ht="12.75" customHeight="1" x14ac:dyDescent="0.2"/>
    <row r="1373" s="11" customFormat="1" ht="12.75" customHeight="1" x14ac:dyDescent="0.2"/>
    <row r="1374" s="11" customFormat="1" ht="12.75" customHeight="1" x14ac:dyDescent="0.2"/>
    <row r="1375" s="11" customFormat="1" ht="12.75" customHeight="1" x14ac:dyDescent="0.2"/>
    <row r="1376" s="11" customFormat="1" ht="12.75" customHeight="1" x14ac:dyDescent="0.2"/>
    <row r="1377" s="11" customFormat="1" ht="12.75" customHeight="1" x14ac:dyDescent="0.2"/>
    <row r="1378" s="11" customFormat="1" ht="12.75" customHeight="1" x14ac:dyDescent="0.2"/>
    <row r="1379" s="11" customFormat="1" ht="12.75" customHeight="1" x14ac:dyDescent="0.2"/>
    <row r="1380" s="11" customFormat="1" ht="12.75" customHeight="1" x14ac:dyDescent="0.2"/>
    <row r="1381" s="11" customFormat="1" ht="12.75" customHeight="1" x14ac:dyDescent="0.2"/>
    <row r="1382" s="11" customFormat="1" ht="12.75" customHeight="1" x14ac:dyDescent="0.2"/>
    <row r="1383" s="11" customFormat="1" ht="12.75" customHeight="1" x14ac:dyDescent="0.2"/>
    <row r="1384" s="11" customFormat="1" ht="12.75" customHeight="1" x14ac:dyDescent="0.2"/>
    <row r="1385" s="11" customFormat="1" ht="12.75" customHeight="1" x14ac:dyDescent="0.2"/>
    <row r="1386" s="11" customFormat="1" ht="12.75" customHeight="1" x14ac:dyDescent="0.2"/>
    <row r="1387" s="11" customFormat="1" ht="12.75" customHeight="1" x14ac:dyDescent="0.2"/>
    <row r="1388" s="11" customFormat="1" ht="12.75" customHeight="1" x14ac:dyDescent="0.2"/>
    <row r="1389" s="11" customFormat="1" ht="12.75" customHeight="1" x14ac:dyDescent="0.2"/>
    <row r="1390" s="11" customFormat="1" ht="12.75" customHeight="1" x14ac:dyDescent="0.2"/>
    <row r="1391" s="11" customFormat="1" ht="12.75" customHeight="1" x14ac:dyDescent="0.2"/>
    <row r="1392" s="11" customFormat="1" ht="12.75" customHeight="1" x14ac:dyDescent="0.2"/>
    <row r="1393" s="11" customFormat="1" ht="12.75" customHeight="1" x14ac:dyDescent="0.2"/>
    <row r="1394" s="11" customFormat="1" ht="12.75" customHeight="1" x14ac:dyDescent="0.2"/>
    <row r="1395" s="11" customFormat="1" ht="12.75" customHeight="1" x14ac:dyDescent="0.2"/>
    <row r="1396" s="11" customFormat="1" ht="12.75" customHeight="1" x14ac:dyDescent="0.2"/>
    <row r="1397" s="11" customFormat="1" ht="12.75" customHeight="1" x14ac:dyDescent="0.2"/>
    <row r="1398" s="11" customFormat="1" ht="12.75" customHeight="1" x14ac:dyDescent="0.2"/>
    <row r="1399" s="11" customFormat="1" ht="12.75" customHeight="1" x14ac:dyDescent="0.2"/>
    <row r="1400" s="11" customFormat="1" ht="12.75" customHeight="1" x14ac:dyDescent="0.2"/>
    <row r="1401" s="11" customFormat="1" ht="12.75" customHeight="1" x14ac:dyDescent="0.2"/>
    <row r="1402" s="11" customFormat="1" ht="12.75" customHeight="1" x14ac:dyDescent="0.2"/>
    <row r="1403" s="11" customFormat="1" ht="12.75" customHeight="1" x14ac:dyDescent="0.2"/>
    <row r="1404" s="11" customFormat="1" ht="12.75" customHeight="1" x14ac:dyDescent="0.2"/>
    <row r="1405" s="11" customFormat="1" ht="12.75" customHeight="1" x14ac:dyDescent="0.2"/>
    <row r="1406" s="11" customFormat="1" ht="12.75" customHeight="1" x14ac:dyDescent="0.2"/>
    <row r="1407" s="11" customFormat="1" ht="12.75" customHeight="1" x14ac:dyDescent="0.2"/>
    <row r="1408" s="11" customFormat="1" ht="12.75" customHeight="1" x14ac:dyDescent="0.2"/>
    <row r="1409" s="11" customFormat="1" ht="12.75" customHeight="1" x14ac:dyDescent="0.2"/>
    <row r="1410" s="11" customFormat="1" ht="12.75" customHeight="1" x14ac:dyDescent="0.2"/>
    <row r="1411" s="11" customFormat="1" ht="12.75" customHeight="1" x14ac:dyDescent="0.2"/>
    <row r="1412" s="11" customFormat="1" ht="12.75" customHeight="1" x14ac:dyDescent="0.2"/>
    <row r="1413" s="11" customFormat="1" ht="12.75" customHeight="1" x14ac:dyDescent="0.2"/>
    <row r="1414" s="11" customFormat="1" ht="12.75" customHeight="1" x14ac:dyDescent="0.2"/>
    <row r="1415" s="11" customFormat="1" ht="12.75" customHeight="1" x14ac:dyDescent="0.2"/>
    <row r="1416" s="11" customFormat="1" ht="12.75" customHeight="1" x14ac:dyDescent="0.2"/>
    <row r="1417" s="11" customFormat="1" ht="12.75" customHeight="1" x14ac:dyDescent="0.2"/>
    <row r="1418" s="11" customFormat="1" ht="12.75" customHeight="1" x14ac:dyDescent="0.2"/>
    <row r="1419" s="11" customFormat="1" ht="12.75" customHeight="1" x14ac:dyDescent="0.2"/>
    <row r="1420" s="11" customFormat="1" ht="12.75" customHeight="1" x14ac:dyDescent="0.2"/>
    <row r="1421" s="11" customFormat="1" ht="12.75" customHeight="1" x14ac:dyDescent="0.2"/>
    <row r="1422" s="11" customFormat="1" ht="12.75" customHeight="1" x14ac:dyDescent="0.2"/>
    <row r="1423" s="11" customFormat="1" ht="12.75" customHeight="1" x14ac:dyDescent="0.2"/>
    <row r="1424" s="11" customFormat="1" ht="12.75" customHeight="1" x14ac:dyDescent="0.2"/>
    <row r="1425" s="11" customFormat="1" ht="12.75" customHeight="1" x14ac:dyDescent="0.2"/>
    <row r="1426" s="11" customFormat="1" ht="12.75" customHeight="1" x14ac:dyDescent="0.2"/>
    <row r="1427" s="11" customFormat="1" ht="12.75" customHeight="1" x14ac:dyDescent="0.2"/>
    <row r="1428" s="11" customFormat="1" ht="12.75" customHeight="1" x14ac:dyDescent="0.2"/>
    <row r="1429" s="11" customFormat="1" ht="12.75" customHeight="1" x14ac:dyDescent="0.2"/>
    <row r="1430" s="11" customFormat="1" ht="12.75" customHeight="1" x14ac:dyDescent="0.2"/>
    <row r="1431" s="11" customFormat="1" ht="12.75" customHeight="1" x14ac:dyDescent="0.2"/>
    <row r="1432" s="11" customFormat="1" ht="12.75" customHeight="1" x14ac:dyDescent="0.2"/>
    <row r="1433" s="11" customFormat="1" ht="12.75" customHeight="1" x14ac:dyDescent="0.2"/>
    <row r="1434" s="11" customFormat="1" ht="12.75" customHeight="1" x14ac:dyDescent="0.2"/>
    <row r="1435" s="11" customFormat="1" ht="12.75" customHeight="1" x14ac:dyDescent="0.2"/>
    <row r="1436" s="11" customFormat="1" ht="12.75" customHeight="1" x14ac:dyDescent="0.2"/>
    <row r="1437" s="11" customFormat="1" ht="12.75" customHeight="1" x14ac:dyDescent="0.2"/>
    <row r="1438" s="11" customFormat="1" ht="12.75" customHeight="1" x14ac:dyDescent="0.2"/>
    <row r="1439" s="11" customFormat="1" ht="12.75" customHeight="1" x14ac:dyDescent="0.2"/>
    <row r="1440" s="11" customFormat="1" ht="12.75" customHeight="1" x14ac:dyDescent="0.2"/>
    <row r="1441" s="11" customFormat="1" ht="12.75" customHeight="1" x14ac:dyDescent="0.2"/>
    <row r="1442" s="11" customFormat="1" ht="12.75" customHeight="1" x14ac:dyDescent="0.2"/>
    <row r="1443" s="11" customFormat="1" ht="12.75" customHeight="1" x14ac:dyDescent="0.2"/>
    <row r="1444" s="11" customFormat="1" ht="12.75" customHeight="1" x14ac:dyDescent="0.2"/>
    <row r="1445" s="11" customFormat="1" ht="12.75" customHeight="1" x14ac:dyDescent="0.2"/>
    <row r="1446" s="11" customFormat="1" ht="12.75" customHeight="1" x14ac:dyDescent="0.2"/>
    <row r="1447" s="11" customFormat="1" ht="12.75" customHeight="1" x14ac:dyDescent="0.2"/>
    <row r="1448" s="11" customFormat="1" ht="12.75" customHeight="1" x14ac:dyDescent="0.2"/>
    <row r="1449" s="11" customFormat="1" ht="12.75" customHeight="1" x14ac:dyDescent="0.2"/>
    <row r="1450" s="11" customFormat="1" ht="12.75" customHeight="1" x14ac:dyDescent="0.2"/>
    <row r="1451" s="11" customFormat="1" ht="12.75" customHeight="1" x14ac:dyDescent="0.2"/>
    <row r="1452" s="11" customFormat="1" ht="12.75" customHeight="1" x14ac:dyDescent="0.2"/>
    <row r="1453" s="11" customFormat="1" ht="12.75" customHeight="1" x14ac:dyDescent="0.2"/>
    <row r="1454" s="11" customFormat="1" ht="12.75" customHeight="1" x14ac:dyDescent="0.2"/>
    <row r="1455" s="11" customFormat="1" ht="12.75" customHeight="1" x14ac:dyDescent="0.2"/>
    <row r="1456" s="11" customFormat="1" ht="12.75" customHeight="1" x14ac:dyDescent="0.2"/>
    <row r="1457" s="11" customFormat="1" ht="12.75" customHeight="1" x14ac:dyDescent="0.2"/>
    <row r="1458" s="11" customFormat="1" ht="12.75" customHeight="1" x14ac:dyDescent="0.2"/>
    <row r="1459" s="11" customFormat="1" ht="12.75" customHeight="1" x14ac:dyDescent="0.2"/>
    <row r="1460" s="11" customFormat="1" ht="12.75" customHeight="1" x14ac:dyDescent="0.2"/>
    <row r="1461" s="11" customFormat="1" ht="12.75" customHeight="1" x14ac:dyDescent="0.2"/>
    <row r="1462" s="11" customFormat="1" ht="12.75" customHeight="1" x14ac:dyDescent="0.2"/>
    <row r="1463" s="11" customFormat="1" ht="12.75" customHeight="1" x14ac:dyDescent="0.2"/>
    <row r="1464" s="11" customFormat="1" ht="12.75" customHeight="1" x14ac:dyDescent="0.2"/>
    <row r="1465" s="11" customFormat="1" ht="12.75" customHeight="1" x14ac:dyDescent="0.2"/>
    <row r="1466" s="11" customFormat="1" ht="12.75" customHeight="1" x14ac:dyDescent="0.2"/>
    <row r="1467" s="11" customFormat="1" ht="12.75" customHeight="1" x14ac:dyDescent="0.2"/>
    <row r="1468" s="11" customFormat="1" ht="12.75" customHeight="1" x14ac:dyDescent="0.2"/>
    <row r="1469" s="11" customFormat="1" ht="12.75" customHeight="1" x14ac:dyDescent="0.2"/>
    <row r="1470" s="11" customFormat="1" ht="12.75" customHeight="1" x14ac:dyDescent="0.2"/>
    <row r="1471" s="11" customFormat="1" ht="12.75" customHeight="1" x14ac:dyDescent="0.2"/>
    <row r="1472" s="11" customFormat="1" ht="12.75" customHeight="1" x14ac:dyDescent="0.2"/>
    <row r="1473" s="11" customFormat="1" ht="12.75" customHeight="1" x14ac:dyDescent="0.2"/>
    <row r="1474" s="11" customFormat="1" ht="12.75" customHeight="1" x14ac:dyDescent="0.2"/>
    <row r="1475" s="11" customFormat="1" ht="12.75" customHeight="1" x14ac:dyDescent="0.2"/>
    <row r="1476" s="11" customFormat="1" ht="12.75" customHeight="1" x14ac:dyDescent="0.2"/>
    <row r="1477" s="11" customFormat="1" ht="12.75" customHeight="1" x14ac:dyDescent="0.2"/>
    <row r="1478" s="11" customFormat="1" ht="12.75" customHeight="1" x14ac:dyDescent="0.2"/>
    <row r="1479" s="11" customFormat="1" ht="12.75" customHeight="1" x14ac:dyDescent="0.2"/>
    <row r="1480" s="11" customFormat="1" ht="12.75" customHeight="1" x14ac:dyDescent="0.2"/>
    <row r="1481" s="11" customFormat="1" ht="12.75" customHeight="1" x14ac:dyDescent="0.2"/>
    <row r="1482" s="11" customFormat="1" ht="12.75" customHeight="1" x14ac:dyDescent="0.2"/>
    <row r="1483" s="11" customFormat="1" ht="12.75" customHeight="1" x14ac:dyDescent="0.2"/>
    <row r="1484" s="11" customFormat="1" ht="12.75" customHeight="1" x14ac:dyDescent="0.2"/>
    <row r="1485" s="11" customFormat="1" ht="12.75" customHeight="1" x14ac:dyDescent="0.2"/>
    <row r="1486" s="11" customFormat="1" ht="12.75" customHeight="1" x14ac:dyDescent="0.2"/>
    <row r="1487" s="11" customFormat="1" ht="12.75" customHeight="1" x14ac:dyDescent="0.2"/>
    <row r="1488" s="11" customFormat="1" ht="12.75" customHeight="1" x14ac:dyDescent="0.2"/>
    <row r="1489" s="11" customFormat="1" ht="12.75" customHeight="1" x14ac:dyDescent="0.2"/>
    <row r="1490" s="11" customFormat="1" ht="12.75" customHeight="1" x14ac:dyDescent="0.2"/>
    <row r="1491" s="11" customFormat="1" ht="12.75" customHeight="1" x14ac:dyDescent="0.2"/>
    <row r="1492" s="11" customFormat="1" ht="12.75" customHeight="1" x14ac:dyDescent="0.2"/>
    <row r="1493" s="11" customFormat="1" ht="12.75" customHeight="1" x14ac:dyDescent="0.2"/>
    <row r="1494" s="11" customFormat="1" ht="12.75" customHeight="1" x14ac:dyDescent="0.2"/>
    <row r="1495" s="11" customFormat="1" ht="12.75" customHeight="1" x14ac:dyDescent="0.2"/>
    <row r="1496" s="11" customFormat="1" ht="12.75" customHeight="1" x14ac:dyDescent="0.2"/>
    <row r="1497" s="11" customFormat="1" ht="12.75" customHeight="1" x14ac:dyDescent="0.2"/>
    <row r="1498" s="11" customFormat="1" ht="12.75" customHeight="1" x14ac:dyDescent="0.2"/>
    <row r="1499" s="11" customFormat="1" ht="12.75" customHeight="1" x14ac:dyDescent="0.2"/>
    <row r="1500" s="11" customFormat="1" ht="12.75" customHeight="1" x14ac:dyDescent="0.2"/>
    <row r="1501" s="11" customFormat="1" ht="12.75" customHeight="1" x14ac:dyDescent="0.2"/>
    <row r="1502" s="11" customFormat="1" ht="12.75" customHeight="1" x14ac:dyDescent="0.2"/>
    <row r="1503" s="11" customFormat="1" ht="12.75" customHeight="1" x14ac:dyDescent="0.2"/>
    <row r="1504" s="11" customFormat="1" ht="12.75" customHeight="1" x14ac:dyDescent="0.2"/>
    <row r="1505" s="11" customFormat="1" ht="12.75" customHeight="1" x14ac:dyDescent="0.2"/>
    <row r="1506" s="11" customFormat="1" ht="12.75" customHeight="1" x14ac:dyDescent="0.2"/>
    <row r="1507" s="11" customFormat="1" ht="12.75" customHeight="1" x14ac:dyDescent="0.2"/>
    <row r="1508" s="11" customFormat="1" ht="12.75" customHeight="1" x14ac:dyDescent="0.2"/>
    <row r="1509" s="11" customFormat="1" ht="12.75" customHeight="1" x14ac:dyDescent="0.2"/>
    <row r="1510" s="11" customFormat="1" ht="12.75" customHeight="1" x14ac:dyDescent="0.2"/>
    <row r="1511" s="11" customFormat="1" ht="12.75" customHeight="1" x14ac:dyDescent="0.2"/>
    <row r="1512" s="11" customFormat="1" ht="12.75" customHeight="1" x14ac:dyDescent="0.2"/>
    <row r="1513" s="11" customFormat="1" ht="12.75" customHeight="1" x14ac:dyDescent="0.2"/>
    <row r="1514" s="11" customFormat="1" ht="12.75" customHeight="1" x14ac:dyDescent="0.2"/>
    <row r="1515" s="11" customFormat="1" ht="12.75" customHeight="1" x14ac:dyDescent="0.2"/>
    <row r="1516" s="11" customFormat="1" ht="12.75" customHeight="1" x14ac:dyDescent="0.2"/>
    <row r="1517" s="11" customFormat="1" ht="12.75" customHeight="1" x14ac:dyDescent="0.2"/>
    <row r="1518" s="11" customFormat="1" ht="12.75" customHeight="1" x14ac:dyDescent="0.2"/>
    <row r="1519" s="11" customFormat="1" ht="12.75" customHeight="1" x14ac:dyDescent="0.2"/>
    <row r="1520" s="11" customFormat="1" ht="12.75" customHeight="1" x14ac:dyDescent="0.2"/>
    <row r="1521" s="11" customFormat="1" ht="12.75" customHeight="1" x14ac:dyDescent="0.2"/>
    <row r="1522" s="11" customFormat="1" ht="12.75" customHeight="1" x14ac:dyDescent="0.2"/>
    <row r="1523" s="11" customFormat="1" ht="12.75" customHeight="1" x14ac:dyDescent="0.2"/>
    <row r="1524" s="11" customFormat="1" ht="12.75" customHeight="1" x14ac:dyDescent="0.2"/>
    <row r="1525" s="11" customFormat="1" ht="12.75" customHeight="1" x14ac:dyDescent="0.2"/>
    <row r="1526" s="11" customFormat="1" ht="12.75" customHeight="1" x14ac:dyDescent="0.2"/>
    <row r="1527" s="11" customFormat="1" ht="12.75" customHeight="1" x14ac:dyDescent="0.2"/>
    <row r="1528" s="11" customFormat="1" ht="12.75" customHeight="1" x14ac:dyDescent="0.2"/>
    <row r="1529" s="11" customFormat="1" ht="12.75" customHeight="1" x14ac:dyDescent="0.2"/>
    <row r="1530" s="11" customFormat="1" ht="12.75" customHeight="1" x14ac:dyDescent="0.2"/>
    <row r="1531" s="11" customFormat="1" ht="12.75" customHeight="1" x14ac:dyDescent="0.2"/>
    <row r="1532" s="11" customFormat="1" ht="12.75" customHeight="1" x14ac:dyDescent="0.2"/>
    <row r="1533" s="11" customFormat="1" ht="12.75" customHeight="1" x14ac:dyDescent="0.2"/>
    <row r="1534" s="11" customFormat="1" ht="12.75" customHeight="1" x14ac:dyDescent="0.2"/>
    <row r="1535" s="11" customFormat="1" ht="12.75" customHeight="1" x14ac:dyDescent="0.2"/>
    <row r="1536" s="11" customFormat="1" ht="12.75" customHeight="1" x14ac:dyDescent="0.2"/>
    <row r="1537" s="11" customFormat="1" ht="12.75" customHeight="1" x14ac:dyDescent="0.2"/>
    <row r="1538" s="11" customFormat="1" ht="12.75" customHeight="1" x14ac:dyDescent="0.2"/>
    <row r="1539" s="11" customFormat="1" ht="12.75" customHeight="1" x14ac:dyDescent="0.2"/>
    <row r="1540" s="11" customFormat="1" ht="12.75" customHeight="1" x14ac:dyDescent="0.2"/>
    <row r="1541" s="11" customFormat="1" ht="12.75" customHeight="1" x14ac:dyDescent="0.2"/>
    <row r="1542" s="11" customFormat="1" ht="12.75" customHeight="1" x14ac:dyDescent="0.2"/>
    <row r="1543" s="11" customFormat="1" ht="12.75" customHeight="1" x14ac:dyDescent="0.2"/>
    <row r="1544" s="11" customFormat="1" ht="12.75" customHeight="1" x14ac:dyDescent="0.2"/>
    <row r="1545" s="11" customFormat="1" ht="12.75" customHeight="1" x14ac:dyDescent="0.2"/>
    <row r="1546" s="11" customFormat="1" ht="12.75" customHeight="1" x14ac:dyDescent="0.2"/>
    <row r="1547" s="11" customFormat="1" ht="12.75" customHeight="1" x14ac:dyDescent="0.2"/>
    <row r="1548" s="11" customFormat="1" ht="12.75" customHeight="1" x14ac:dyDescent="0.2"/>
    <row r="1549" s="11" customFormat="1" ht="12.75" customHeight="1" x14ac:dyDescent="0.2"/>
    <row r="1550" s="11" customFormat="1" ht="12.75" customHeight="1" x14ac:dyDescent="0.2"/>
    <row r="1551" s="11" customFormat="1" ht="12.75" customHeight="1" x14ac:dyDescent="0.2"/>
    <row r="1552" s="11" customFormat="1" ht="12.75" customHeight="1" x14ac:dyDescent="0.2"/>
    <row r="1553" s="11" customFormat="1" ht="12.75" customHeight="1" x14ac:dyDescent="0.2"/>
    <row r="1554" s="11" customFormat="1" ht="12.75" customHeight="1" x14ac:dyDescent="0.2"/>
    <row r="1555" s="11" customFormat="1" ht="12.75" customHeight="1" x14ac:dyDescent="0.2"/>
    <row r="1556" s="11" customFormat="1" ht="12.75" customHeight="1" x14ac:dyDescent="0.2"/>
    <row r="1557" s="11" customFormat="1" ht="12.75" customHeight="1" x14ac:dyDescent="0.2"/>
    <row r="1558" s="11" customFormat="1" ht="12.75" customHeight="1" x14ac:dyDescent="0.2"/>
    <row r="1559" s="11" customFormat="1" ht="12.75" customHeight="1" x14ac:dyDescent="0.2"/>
    <row r="1560" s="11" customFormat="1" ht="12.75" customHeight="1" x14ac:dyDescent="0.2"/>
    <row r="1561" s="11" customFormat="1" ht="12.75" customHeight="1" x14ac:dyDescent="0.2"/>
    <row r="1562" s="11" customFormat="1" ht="12.75" customHeight="1" x14ac:dyDescent="0.2"/>
    <row r="1563" s="11" customFormat="1" ht="12.75" customHeight="1" x14ac:dyDescent="0.2"/>
    <row r="1564" s="11" customFormat="1" ht="12.75" customHeight="1" x14ac:dyDescent="0.2"/>
    <row r="1565" s="11" customFormat="1" ht="12.75" customHeight="1" x14ac:dyDescent="0.2"/>
    <row r="1566" s="11" customFormat="1" ht="12.75" customHeight="1" x14ac:dyDescent="0.2"/>
    <row r="1567" s="11" customFormat="1" ht="12.75" customHeight="1" x14ac:dyDescent="0.2"/>
    <row r="1568" s="11" customFormat="1" ht="12.75" customHeight="1" x14ac:dyDescent="0.2"/>
    <row r="1569" s="11" customFormat="1" ht="12.75" customHeight="1" x14ac:dyDescent="0.2"/>
    <row r="1570" s="11" customFormat="1" ht="12.75" customHeight="1" x14ac:dyDescent="0.2"/>
    <row r="1571" s="11" customFormat="1" ht="12.75" customHeight="1" x14ac:dyDescent="0.2"/>
    <row r="1572" s="11" customFormat="1" ht="12.75" customHeight="1" x14ac:dyDescent="0.2"/>
    <row r="1573" s="11" customFormat="1" ht="12.75" customHeight="1" x14ac:dyDescent="0.2"/>
    <row r="1574" s="11" customFormat="1" ht="12.75" customHeight="1" x14ac:dyDescent="0.2"/>
    <row r="1575" s="11" customFormat="1" ht="12.75" customHeight="1" x14ac:dyDescent="0.2"/>
    <row r="1576" s="11" customFormat="1" ht="12.75" customHeight="1" x14ac:dyDescent="0.2"/>
    <row r="1577" s="11" customFormat="1" ht="12.75" customHeight="1" x14ac:dyDescent="0.2"/>
    <row r="1578" s="11" customFormat="1" ht="12.75" customHeight="1" x14ac:dyDescent="0.2"/>
    <row r="1579" s="11" customFormat="1" ht="12.75" customHeight="1" x14ac:dyDescent="0.2"/>
    <row r="1580" s="11" customFormat="1" ht="12.75" customHeight="1" x14ac:dyDescent="0.2"/>
    <row r="1581" s="11" customFormat="1" ht="12.75" customHeight="1" x14ac:dyDescent="0.2"/>
    <row r="1582" s="11" customFormat="1" ht="12.75" customHeight="1" x14ac:dyDescent="0.2"/>
    <row r="1583" s="11" customFormat="1" ht="12.75" customHeight="1" x14ac:dyDescent="0.2"/>
    <row r="1584" s="11" customFormat="1" ht="12.75" customHeight="1" x14ac:dyDescent="0.2"/>
    <row r="1585" s="11" customFormat="1" ht="12.75" customHeight="1" x14ac:dyDescent="0.2"/>
    <row r="1586" s="11" customFormat="1" ht="12.75" customHeight="1" x14ac:dyDescent="0.2"/>
    <row r="1587" s="11" customFormat="1" ht="12.75" customHeight="1" x14ac:dyDescent="0.2"/>
    <row r="1588" s="11" customFormat="1" ht="12.75" customHeight="1" x14ac:dyDescent="0.2"/>
    <row r="1589" s="11" customFormat="1" ht="12.75" customHeight="1" x14ac:dyDescent="0.2"/>
    <row r="1590" s="11" customFormat="1" ht="12.75" customHeight="1" x14ac:dyDescent="0.2"/>
    <row r="1591" s="11" customFormat="1" ht="12.75" customHeight="1" x14ac:dyDescent="0.2"/>
    <row r="1592" s="11" customFormat="1" ht="12.75" customHeight="1" x14ac:dyDescent="0.2"/>
    <row r="1593" s="11" customFormat="1" ht="12.75" customHeight="1" x14ac:dyDescent="0.2"/>
    <row r="1594" s="11" customFormat="1" ht="12.75" customHeight="1" x14ac:dyDescent="0.2"/>
    <row r="1595" s="11" customFormat="1" ht="12.75" customHeight="1" x14ac:dyDescent="0.2"/>
    <row r="1596" s="11" customFormat="1" ht="12.75" customHeight="1" x14ac:dyDescent="0.2"/>
    <row r="1597" s="11" customFormat="1" ht="12.75" customHeight="1" x14ac:dyDescent="0.2"/>
    <row r="1598" s="11" customFormat="1" ht="12.75" customHeight="1" x14ac:dyDescent="0.2"/>
    <row r="1599" s="11" customFormat="1" ht="12.75" customHeight="1" x14ac:dyDescent="0.2"/>
    <row r="1600" s="11" customFormat="1" ht="12.75" customHeight="1" x14ac:dyDescent="0.2"/>
    <row r="1601" s="11" customFormat="1" ht="12.75" customHeight="1" x14ac:dyDescent="0.2"/>
    <row r="1602" s="11" customFormat="1" ht="12.75" customHeight="1" x14ac:dyDescent="0.2"/>
    <row r="1603" s="11" customFormat="1" ht="12.75" customHeight="1" x14ac:dyDescent="0.2"/>
    <row r="1604" s="11" customFormat="1" ht="12.75" customHeight="1" x14ac:dyDescent="0.2"/>
    <row r="1605" s="11" customFormat="1" ht="12.75" customHeight="1" x14ac:dyDescent="0.2"/>
    <row r="1606" s="11" customFormat="1" ht="12.75" customHeight="1" x14ac:dyDescent="0.2"/>
    <row r="1607" s="11" customFormat="1" ht="12.75" customHeight="1" x14ac:dyDescent="0.2"/>
    <row r="1608" s="11" customFormat="1" ht="12.75" customHeight="1" x14ac:dyDescent="0.2"/>
    <row r="1609" s="11" customFormat="1" ht="12.75" customHeight="1" x14ac:dyDescent="0.2"/>
    <row r="1610" s="11" customFormat="1" ht="12.75" customHeight="1" x14ac:dyDescent="0.2"/>
    <row r="1611" s="11" customFormat="1" ht="12.75" customHeight="1" x14ac:dyDescent="0.2"/>
    <row r="1612" s="11" customFormat="1" ht="12.75" customHeight="1" x14ac:dyDescent="0.2"/>
    <row r="1613" s="11" customFormat="1" ht="12.75" customHeight="1" x14ac:dyDescent="0.2"/>
    <row r="1614" s="11" customFormat="1" ht="12.75" customHeight="1" x14ac:dyDescent="0.2"/>
    <row r="1615" s="11" customFormat="1" ht="12.75" customHeight="1" x14ac:dyDescent="0.2"/>
    <row r="1616" s="11" customFormat="1" ht="12.75" customHeight="1" x14ac:dyDescent="0.2"/>
    <row r="1617" s="11" customFormat="1" ht="12.75" customHeight="1" x14ac:dyDescent="0.2"/>
    <row r="1618" s="11" customFormat="1" ht="12.75" customHeight="1" x14ac:dyDescent="0.2"/>
    <row r="1619" s="11" customFormat="1" ht="12.75" customHeight="1" x14ac:dyDescent="0.2"/>
    <row r="1620" s="11" customFormat="1" ht="12.75" customHeight="1" x14ac:dyDescent="0.2"/>
    <row r="1621" s="11" customFormat="1" ht="12.75" customHeight="1" x14ac:dyDescent="0.2"/>
    <row r="1622" s="11" customFormat="1" ht="12.75" customHeight="1" x14ac:dyDescent="0.2"/>
    <row r="1623" s="11" customFormat="1" ht="12.75" customHeight="1" x14ac:dyDescent="0.2"/>
    <row r="1624" s="11" customFormat="1" ht="12.75" customHeight="1" x14ac:dyDescent="0.2"/>
    <row r="1625" s="11" customFormat="1" ht="12.75" customHeight="1" x14ac:dyDescent="0.2"/>
    <row r="1626" s="11" customFormat="1" ht="12.75" customHeight="1" x14ac:dyDescent="0.2"/>
    <row r="1627" s="11" customFormat="1" ht="12.75" customHeight="1" x14ac:dyDescent="0.2"/>
    <row r="1628" s="11" customFormat="1" ht="12.75" customHeight="1" x14ac:dyDescent="0.2"/>
    <row r="1629" s="11" customFormat="1" ht="12.75" customHeight="1" x14ac:dyDescent="0.2"/>
    <row r="1630" s="11" customFormat="1" ht="12.75" customHeight="1" x14ac:dyDescent="0.2"/>
    <row r="1631" s="11" customFormat="1" ht="12.75" customHeight="1" x14ac:dyDescent="0.2"/>
    <row r="1632" s="11" customFormat="1" ht="12.75" customHeight="1" x14ac:dyDescent="0.2"/>
    <row r="1633" s="11" customFormat="1" ht="12.75" customHeight="1" x14ac:dyDescent="0.2"/>
    <row r="1634" s="11" customFormat="1" ht="12.75" customHeight="1" x14ac:dyDescent="0.2"/>
    <row r="1635" s="11" customFormat="1" ht="12.75" customHeight="1" x14ac:dyDescent="0.2"/>
    <row r="1636" s="11" customFormat="1" ht="12.75" customHeight="1" x14ac:dyDescent="0.2"/>
    <row r="1637" s="11" customFormat="1" ht="12.75" customHeight="1" x14ac:dyDescent="0.2"/>
    <row r="1638" s="11" customFormat="1" ht="12.75" customHeight="1" x14ac:dyDescent="0.2"/>
    <row r="1639" s="11" customFormat="1" ht="12.75" customHeight="1" x14ac:dyDescent="0.2"/>
    <row r="1640" s="11" customFormat="1" ht="12.75" customHeight="1" x14ac:dyDescent="0.2"/>
    <row r="1641" s="11" customFormat="1" ht="12.75" customHeight="1" x14ac:dyDescent="0.2"/>
    <row r="1642" s="11" customFormat="1" ht="12.75" customHeight="1" x14ac:dyDescent="0.2"/>
    <row r="1643" s="11" customFormat="1" ht="12.75" customHeight="1" x14ac:dyDescent="0.2"/>
    <row r="1644" s="11" customFormat="1" ht="12.75" customHeight="1" x14ac:dyDescent="0.2"/>
    <row r="1645" s="11" customFormat="1" ht="12.75" customHeight="1" x14ac:dyDescent="0.2"/>
    <row r="1646" s="11" customFormat="1" ht="12.75" customHeight="1" x14ac:dyDescent="0.2"/>
    <row r="1647" s="11" customFormat="1" ht="12.75" customHeight="1" x14ac:dyDescent="0.2"/>
    <row r="1648" s="11" customFormat="1" ht="12.75" customHeight="1" x14ac:dyDescent="0.2"/>
    <row r="1649" s="11" customFormat="1" ht="12.75" customHeight="1" x14ac:dyDescent="0.2"/>
    <row r="1650" s="11" customFormat="1" ht="12.75" customHeight="1" x14ac:dyDescent="0.2"/>
    <row r="1651" s="11" customFormat="1" ht="12.75" customHeight="1" x14ac:dyDescent="0.2"/>
    <row r="1652" s="11" customFormat="1" ht="12.75" customHeight="1" x14ac:dyDescent="0.2"/>
    <row r="1653" s="11" customFormat="1" ht="12.75" customHeight="1" x14ac:dyDescent="0.2"/>
    <row r="1654" s="11" customFormat="1" ht="12.75" customHeight="1" x14ac:dyDescent="0.2"/>
    <row r="1655" s="11" customFormat="1" ht="12.75" customHeight="1" x14ac:dyDescent="0.2"/>
    <row r="1656" s="11" customFormat="1" ht="12.75" customHeight="1" x14ac:dyDescent="0.2"/>
    <row r="1657" s="11" customFormat="1" ht="12.75" customHeight="1" x14ac:dyDescent="0.2"/>
    <row r="1658" s="11" customFormat="1" ht="12.75" customHeight="1" x14ac:dyDescent="0.2"/>
    <row r="1659" s="11" customFormat="1" ht="12.75" customHeight="1" x14ac:dyDescent="0.2"/>
    <row r="1660" s="11" customFormat="1" ht="12.75" customHeight="1" x14ac:dyDescent="0.2"/>
    <row r="1661" s="11" customFormat="1" ht="12.75" customHeight="1" x14ac:dyDescent="0.2"/>
    <row r="1662" s="11" customFormat="1" ht="12.75" customHeight="1" x14ac:dyDescent="0.2"/>
    <row r="1663" s="11" customFormat="1" ht="12.75" customHeight="1" x14ac:dyDescent="0.2"/>
    <row r="1664" s="11" customFormat="1" ht="12.75" customHeight="1" x14ac:dyDescent="0.2"/>
    <row r="1665" s="11" customFormat="1" ht="12.75" customHeight="1" x14ac:dyDescent="0.2"/>
    <row r="1666" s="11" customFormat="1" ht="12.75" customHeight="1" x14ac:dyDescent="0.2"/>
    <row r="1667" s="11" customFormat="1" ht="12.75" customHeight="1" x14ac:dyDescent="0.2"/>
    <row r="1668" s="11" customFormat="1" ht="12.75" customHeight="1" x14ac:dyDescent="0.2"/>
    <row r="1669" s="11" customFormat="1" ht="12.75" customHeight="1" x14ac:dyDescent="0.2"/>
    <row r="1670" s="11" customFormat="1" ht="12.75" customHeight="1" x14ac:dyDescent="0.2"/>
    <row r="1671" s="11" customFormat="1" ht="12.75" customHeight="1" x14ac:dyDescent="0.2"/>
    <row r="1672" s="11" customFormat="1" ht="12.75" customHeight="1" x14ac:dyDescent="0.2"/>
    <row r="1673" s="11" customFormat="1" ht="12.75" customHeight="1" x14ac:dyDescent="0.2"/>
    <row r="1674" s="11" customFormat="1" ht="12.75" customHeight="1" x14ac:dyDescent="0.2"/>
    <row r="1675" s="11" customFormat="1" ht="12.75" customHeight="1" x14ac:dyDescent="0.2"/>
    <row r="1676" s="11" customFormat="1" ht="12.75" customHeight="1" x14ac:dyDescent="0.2"/>
    <row r="1677" s="11" customFormat="1" ht="12.75" customHeight="1" x14ac:dyDescent="0.2"/>
    <row r="1678" s="11" customFormat="1" ht="12.75" customHeight="1" x14ac:dyDescent="0.2"/>
    <row r="1679" s="11" customFormat="1" ht="12.75" customHeight="1" x14ac:dyDescent="0.2"/>
    <row r="1680" s="11" customFormat="1" ht="12.75" customHeight="1" x14ac:dyDescent="0.2"/>
    <row r="1681" s="11" customFormat="1" ht="12.75" customHeight="1" x14ac:dyDescent="0.2"/>
    <row r="1682" s="11" customFormat="1" ht="12.75" customHeight="1" x14ac:dyDescent="0.2"/>
    <row r="1683" s="11" customFormat="1" ht="12.75" customHeight="1" x14ac:dyDescent="0.2"/>
    <row r="1684" s="11" customFormat="1" ht="12.75" customHeight="1" x14ac:dyDescent="0.2"/>
    <row r="1685" s="11" customFormat="1" ht="12.75" customHeight="1" x14ac:dyDescent="0.2"/>
    <row r="1686" s="11" customFormat="1" ht="12.75" customHeight="1" x14ac:dyDescent="0.2"/>
    <row r="1687" s="11" customFormat="1" ht="12.75" customHeight="1" x14ac:dyDescent="0.2"/>
    <row r="1688" s="11" customFormat="1" ht="12.75" customHeight="1" x14ac:dyDescent="0.2"/>
    <row r="1689" s="11" customFormat="1" ht="12.75" customHeight="1" x14ac:dyDescent="0.2"/>
    <row r="1690" s="11" customFormat="1" ht="12.75" customHeight="1" x14ac:dyDescent="0.2"/>
    <row r="1691" s="11" customFormat="1" ht="12.75" customHeight="1" x14ac:dyDescent="0.2"/>
    <row r="1692" s="11" customFormat="1" ht="12.75" customHeight="1" x14ac:dyDescent="0.2"/>
    <row r="1693" s="11" customFormat="1" ht="12.75" customHeight="1" x14ac:dyDescent="0.2"/>
    <row r="1694" s="11" customFormat="1" ht="12.75" customHeight="1" x14ac:dyDescent="0.2"/>
    <row r="1695" s="11" customFormat="1" ht="12.75" customHeight="1" x14ac:dyDescent="0.2"/>
    <row r="1696" s="11" customFormat="1" ht="12.75" customHeight="1" x14ac:dyDescent="0.2"/>
    <row r="1697" s="11" customFormat="1" ht="12.75" customHeight="1" x14ac:dyDescent="0.2"/>
    <row r="1698" s="11" customFormat="1" ht="12.75" customHeight="1" x14ac:dyDescent="0.2"/>
    <row r="1699" s="11" customFormat="1" ht="12.75" customHeight="1" x14ac:dyDescent="0.2"/>
    <row r="1700" s="11" customFormat="1" ht="12.75" customHeight="1" x14ac:dyDescent="0.2"/>
    <row r="1701" s="11" customFormat="1" ht="12.75" customHeight="1" x14ac:dyDescent="0.2"/>
    <row r="1702" s="11" customFormat="1" ht="12.75" customHeight="1" x14ac:dyDescent="0.2"/>
    <row r="1703" s="11" customFormat="1" ht="12.75" customHeight="1" x14ac:dyDescent="0.2"/>
    <row r="1704" s="11" customFormat="1" ht="12.75" customHeight="1" x14ac:dyDescent="0.2"/>
    <row r="1705" s="11" customFormat="1" ht="12.75" customHeight="1" x14ac:dyDescent="0.2"/>
    <row r="1706" s="11" customFormat="1" ht="12.75" customHeight="1" x14ac:dyDescent="0.2"/>
    <row r="1707" s="11" customFormat="1" ht="12.75" customHeight="1" x14ac:dyDescent="0.2"/>
    <row r="1708" s="11" customFormat="1" ht="12.75" customHeight="1" x14ac:dyDescent="0.2"/>
    <row r="1709" s="11" customFormat="1" ht="12.75" customHeight="1" x14ac:dyDescent="0.2"/>
    <row r="1710" s="11" customFormat="1" ht="12.75" customHeight="1" x14ac:dyDescent="0.2"/>
    <row r="1711" s="11" customFormat="1" ht="12.75" customHeight="1" x14ac:dyDescent="0.2"/>
    <row r="1712" s="11" customFormat="1" ht="12.75" customHeight="1" x14ac:dyDescent="0.2"/>
    <row r="1713" s="11" customFormat="1" ht="12.75" customHeight="1" x14ac:dyDescent="0.2"/>
    <row r="1714" s="11" customFormat="1" ht="12.75" customHeight="1" x14ac:dyDescent="0.2"/>
    <row r="1715" s="11" customFormat="1" ht="12.75" customHeight="1" x14ac:dyDescent="0.2"/>
    <row r="1716" s="11" customFormat="1" ht="12.75" customHeight="1" x14ac:dyDescent="0.2"/>
    <row r="1717" s="11" customFormat="1" ht="12.75" customHeight="1" x14ac:dyDescent="0.2"/>
    <row r="1718" s="11" customFormat="1" ht="12.75" customHeight="1" x14ac:dyDescent="0.2"/>
    <row r="1719" s="11" customFormat="1" ht="12.75" customHeight="1" x14ac:dyDescent="0.2"/>
    <row r="1720" s="11" customFormat="1" ht="12.75" customHeight="1" x14ac:dyDescent="0.2"/>
    <row r="1721" s="11" customFormat="1" ht="12.75" customHeight="1" x14ac:dyDescent="0.2"/>
    <row r="1722" s="11" customFormat="1" ht="12.75" customHeight="1" x14ac:dyDescent="0.2"/>
    <row r="1723" s="11" customFormat="1" ht="12.75" customHeight="1" x14ac:dyDescent="0.2"/>
    <row r="1724" s="11" customFormat="1" ht="12.75" customHeight="1" x14ac:dyDescent="0.2"/>
    <row r="1725" s="11" customFormat="1" ht="12.75" customHeight="1" x14ac:dyDescent="0.2"/>
    <row r="1726" s="11" customFormat="1" ht="12.75" customHeight="1" x14ac:dyDescent="0.2"/>
    <row r="1727" s="11" customFormat="1" ht="12.75" customHeight="1" x14ac:dyDescent="0.2"/>
    <row r="1728" s="11" customFormat="1" ht="12.75" customHeight="1" x14ac:dyDescent="0.2"/>
    <row r="1729" s="11" customFormat="1" ht="12.75" customHeight="1" x14ac:dyDescent="0.2"/>
    <row r="1730" s="11" customFormat="1" ht="12.75" customHeight="1" x14ac:dyDescent="0.2"/>
    <row r="1731" s="11" customFormat="1" ht="12.75" customHeight="1" x14ac:dyDescent="0.2"/>
    <row r="1732" s="11" customFormat="1" ht="12.75" customHeight="1" x14ac:dyDescent="0.2"/>
    <row r="1733" s="11" customFormat="1" ht="12.75" customHeight="1" x14ac:dyDescent="0.2"/>
    <row r="1734" s="11" customFormat="1" ht="12.75" customHeight="1" x14ac:dyDescent="0.2"/>
    <row r="1735" s="11" customFormat="1" ht="12.75" customHeight="1" x14ac:dyDescent="0.2"/>
    <row r="1736" s="11" customFormat="1" ht="12.75" customHeight="1" x14ac:dyDescent="0.2"/>
    <row r="1737" s="11" customFormat="1" ht="12.75" customHeight="1" x14ac:dyDescent="0.2"/>
    <row r="1738" s="11" customFormat="1" ht="12.75" customHeight="1" x14ac:dyDescent="0.2"/>
    <row r="1739" s="11" customFormat="1" ht="12.75" customHeight="1" x14ac:dyDescent="0.2"/>
    <row r="1740" s="11" customFormat="1" ht="12.75" customHeight="1" x14ac:dyDescent="0.2"/>
    <row r="1741" s="11" customFormat="1" ht="12.75" customHeight="1" x14ac:dyDescent="0.2"/>
    <row r="1742" s="11" customFormat="1" ht="12.75" customHeight="1" x14ac:dyDescent="0.2"/>
    <row r="1743" s="11" customFormat="1" ht="12.75" customHeight="1" x14ac:dyDescent="0.2"/>
    <row r="1744" s="11" customFormat="1" ht="12.75" customHeight="1" x14ac:dyDescent="0.2"/>
    <row r="1745" s="11" customFormat="1" ht="12.75" customHeight="1" x14ac:dyDescent="0.2"/>
    <row r="1746" s="11" customFormat="1" ht="12.75" customHeight="1" x14ac:dyDescent="0.2"/>
    <row r="1747" s="11" customFormat="1" ht="12.75" customHeight="1" x14ac:dyDescent="0.2"/>
    <row r="1748" s="11" customFormat="1" ht="12.75" customHeight="1" x14ac:dyDescent="0.2"/>
    <row r="1749" s="11" customFormat="1" ht="12.75" customHeight="1" x14ac:dyDescent="0.2"/>
    <row r="1750" s="11" customFormat="1" ht="12.75" customHeight="1" x14ac:dyDescent="0.2"/>
    <row r="1751" s="11" customFormat="1" ht="12.75" customHeight="1" x14ac:dyDescent="0.2"/>
    <row r="1752" s="11" customFormat="1" ht="12.75" customHeight="1" x14ac:dyDescent="0.2"/>
    <row r="1753" s="11" customFormat="1" ht="12.75" customHeight="1" x14ac:dyDescent="0.2"/>
    <row r="1754" s="11" customFormat="1" ht="12.75" customHeight="1" x14ac:dyDescent="0.2"/>
    <row r="1755" s="11" customFormat="1" ht="12.75" customHeight="1" x14ac:dyDescent="0.2"/>
    <row r="1756" s="11" customFormat="1" ht="12.75" customHeight="1" x14ac:dyDescent="0.2"/>
    <row r="1757" s="11" customFormat="1" ht="12.75" customHeight="1" x14ac:dyDescent="0.2"/>
    <row r="1758" s="11" customFormat="1" ht="12.75" customHeight="1" x14ac:dyDescent="0.2"/>
    <row r="1759" s="11" customFormat="1" ht="12.75" customHeight="1" x14ac:dyDescent="0.2"/>
    <row r="1760" s="11" customFormat="1" ht="12.75" customHeight="1" x14ac:dyDescent="0.2"/>
    <row r="1761" s="11" customFormat="1" ht="12.75" customHeight="1" x14ac:dyDescent="0.2"/>
    <row r="1762" s="11" customFormat="1" ht="12.75" customHeight="1" x14ac:dyDescent="0.2"/>
    <row r="1763" s="11" customFormat="1" ht="12.75" customHeight="1" x14ac:dyDescent="0.2"/>
    <row r="1764" s="11" customFormat="1" ht="12.75" customHeight="1" x14ac:dyDescent="0.2"/>
    <row r="1765" s="11" customFormat="1" ht="12.75" customHeight="1" x14ac:dyDescent="0.2"/>
    <row r="1766" s="11" customFormat="1" ht="12.75" customHeight="1" x14ac:dyDescent="0.2"/>
    <row r="1767" s="11" customFormat="1" ht="12.75" customHeight="1" x14ac:dyDescent="0.2"/>
    <row r="1768" s="11" customFormat="1" ht="12.75" customHeight="1" x14ac:dyDescent="0.2"/>
    <row r="1769" s="11" customFormat="1" ht="12.75" customHeight="1" x14ac:dyDescent="0.2"/>
    <row r="1770" s="11" customFormat="1" ht="12.75" customHeight="1" x14ac:dyDescent="0.2"/>
    <row r="1771" s="11" customFormat="1" ht="12.75" customHeight="1" x14ac:dyDescent="0.2"/>
    <row r="1772" s="11" customFormat="1" ht="12.75" customHeight="1" x14ac:dyDescent="0.2"/>
    <row r="1773" s="11" customFormat="1" ht="12.75" customHeight="1" x14ac:dyDescent="0.2"/>
    <row r="1774" s="11" customFormat="1" ht="12.75" customHeight="1" x14ac:dyDescent="0.2"/>
    <row r="1775" s="11" customFormat="1" ht="12.75" customHeight="1" x14ac:dyDescent="0.2"/>
    <row r="1776" s="11" customFormat="1" ht="12.75" customHeight="1" x14ac:dyDescent="0.2"/>
    <row r="1777" s="11" customFormat="1" ht="12.75" customHeight="1" x14ac:dyDescent="0.2"/>
    <row r="1778" s="11" customFormat="1" ht="12.75" customHeight="1" x14ac:dyDescent="0.2"/>
    <row r="1779" s="11" customFormat="1" ht="12.75" customHeight="1" x14ac:dyDescent="0.2"/>
    <row r="1780" s="11" customFormat="1" ht="12.75" customHeight="1" x14ac:dyDescent="0.2"/>
    <row r="1781" s="11" customFormat="1" ht="12.75" customHeight="1" x14ac:dyDescent="0.2"/>
    <row r="1782" s="11" customFormat="1" ht="12.75" customHeight="1" x14ac:dyDescent="0.2"/>
    <row r="1783" s="11" customFormat="1" ht="12.75" customHeight="1" x14ac:dyDescent="0.2"/>
    <row r="1784" s="11" customFormat="1" ht="12.75" customHeight="1" x14ac:dyDescent="0.2"/>
    <row r="1785" s="11" customFormat="1" ht="12.75" customHeight="1" x14ac:dyDescent="0.2"/>
    <row r="1786" s="11" customFormat="1" ht="12.75" customHeight="1" x14ac:dyDescent="0.2"/>
    <row r="1787" s="11" customFormat="1" ht="12.75" customHeight="1" x14ac:dyDescent="0.2"/>
    <row r="1788" s="11" customFormat="1" ht="12.75" customHeight="1" x14ac:dyDescent="0.2"/>
    <row r="1789" s="11" customFormat="1" ht="12.75" customHeight="1" x14ac:dyDescent="0.2"/>
    <row r="1790" s="11" customFormat="1" ht="12.75" customHeight="1" x14ac:dyDescent="0.2"/>
    <row r="1791" s="11" customFormat="1" ht="12.75" customHeight="1" x14ac:dyDescent="0.2"/>
    <row r="1792" s="11" customFormat="1" ht="12.75" customHeight="1" x14ac:dyDescent="0.2"/>
    <row r="1793" s="11" customFormat="1" ht="12.75" customHeight="1" x14ac:dyDescent="0.2"/>
    <row r="1794" s="11" customFormat="1" ht="12.75" customHeight="1" x14ac:dyDescent="0.2"/>
    <row r="1795" s="11" customFormat="1" ht="12.75" customHeight="1" x14ac:dyDescent="0.2"/>
    <row r="1796" s="11" customFormat="1" ht="12.75" customHeight="1" x14ac:dyDescent="0.2"/>
    <row r="1797" s="11" customFormat="1" ht="12.75" customHeight="1" x14ac:dyDescent="0.2"/>
    <row r="1798" s="11" customFormat="1" ht="12.75" customHeight="1" x14ac:dyDescent="0.2"/>
    <row r="1799" s="11" customFormat="1" ht="12.75" customHeight="1" x14ac:dyDescent="0.2"/>
    <row r="1800" s="11" customFormat="1" ht="12.75" customHeight="1" x14ac:dyDescent="0.2"/>
    <row r="1801" s="11" customFormat="1" ht="12.75" customHeight="1" x14ac:dyDescent="0.2"/>
    <row r="1802" s="11" customFormat="1" ht="12.75" customHeight="1" x14ac:dyDescent="0.2"/>
    <row r="1803" s="11" customFormat="1" ht="12.75" customHeight="1" x14ac:dyDescent="0.2"/>
    <row r="1804" s="11" customFormat="1" ht="12.75" customHeight="1" x14ac:dyDescent="0.2"/>
    <row r="1805" s="11" customFormat="1" ht="12.75" customHeight="1" x14ac:dyDescent="0.2"/>
    <row r="1806" s="11" customFormat="1" ht="12.75" customHeight="1" x14ac:dyDescent="0.2"/>
    <row r="1807" s="11" customFormat="1" ht="12.75" customHeight="1" x14ac:dyDescent="0.2"/>
    <row r="1808" s="11" customFormat="1" ht="12.75" customHeight="1" x14ac:dyDescent="0.2"/>
    <row r="1809" s="11" customFormat="1" ht="12.75" customHeight="1" x14ac:dyDescent="0.2"/>
    <row r="1810" s="11" customFormat="1" ht="12.75" customHeight="1" x14ac:dyDescent="0.2"/>
    <row r="1811" s="11" customFormat="1" ht="12.75" customHeight="1" x14ac:dyDescent="0.2"/>
    <row r="1812" s="11" customFormat="1" ht="12.75" customHeight="1" x14ac:dyDescent="0.2"/>
    <row r="1813" s="11" customFormat="1" ht="12.75" customHeight="1" x14ac:dyDescent="0.2"/>
    <row r="1814" s="11" customFormat="1" ht="12.75" customHeight="1" x14ac:dyDescent="0.2"/>
    <row r="1815" s="11" customFormat="1" ht="12.75" customHeight="1" x14ac:dyDescent="0.2"/>
    <row r="1816" s="11" customFormat="1" ht="12.75" customHeight="1" x14ac:dyDescent="0.2"/>
    <row r="1817" s="11" customFormat="1" ht="12.75" customHeight="1" x14ac:dyDescent="0.2"/>
    <row r="1818" s="11" customFormat="1" ht="12.75" customHeight="1" x14ac:dyDescent="0.2"/>
    <row r="1819" s="11" customFormat="1" ht="12.75" customHeight="1" x14ac:dyDescent="0.2"/>
    <row r="1820" s="11" customFormat="1" ht="12.75" customHeight="1" x14ac:dyDescent="0.2"/>
    <row r="1821" s="11" customFormat="1" ht="12.75" customHeight="1" x14ac:dyDescent="0.2"/>
    <row r="1822" s="11" customFormat="1" ht="12.75" customHeight="1" x14ac:dyDescent="0.2"/>
    <row r="1823" s="11" customFormat="1" ht="12.75" customHeight="1" x14ac:dyDescent="0.2"/>
    <row r="1824" s="11" customFormat="1" ht="12.75" customHeight="1" x14ac:dyDescent="0.2"/>
    <row r="1825" s="11" customFormat="1" ht="12.75" customHeight="1" x14ac:dyDescent="0.2"/>
    <row r="1826" s="11" customFormat="1" ht="12.75" customHeight="1" x14ac:dyDescent="0.2"/>
    <row r="1827" s="11" customFormat="1" ht="12.75" customHeight="1" x14ac:dyDescent="0.2"/>
    <row r="1828" s="11" customFormat="1" ht="12.75" customHeight="1" x14ac:dyDescent="0.2"/>
    <row r="1829" s="11" customFormat="1" ht="12.75" customHeight="1" x14ac:dyDescent="0.2"/>
    <row r="1830" s="11" customFormat="1" ht="12.75" customHeight="1" x14ac:dyDescent="0.2"/>
    <row r="1831" s="11" customFormat="1" ht="12.75" customHeight="1" x14ac:dyDescent="0.2"/>
    <row r="1832" s="11" customFormat="1" ht="12.75" customHeight="1" x14ac:dyDescent="0.2"/>
    <row r="1833" s="11" customFormat="1" ht="12.75" customHeight="1" x14ac:dyDescent="0.2"/>
    <row r="1834" s="11" customFormat="1" ht="12.75" customHeight="1" x14ac:dyDescent="0.2"/>
    <row r="1835" s="11" customFormat="1" ht="12.75" customHeight="1" x14ac:dyDescent="0.2"/>
    <row r="1836" s="11" customFormat="1" ht="12.75" customHeight="1" x14ac:dyDescent="0.2"/>
    <row r="1837" s="11" customFormat="1" ht="12.75" customHeight="1" x14ac:dyDescent="0.2"/>
    <row r="1838" s="11" customFormat="1" ht="12.75" customHeight="1" x14ac:dyDescent="0.2"/>
    <row r="1839" s="11" customFormat="1" ht="12.75" customHeight="1" x14ac:dyDescent="0.2"/>
    <row r="1840" s="11" customFormat="1" ht="12.75" customHeight="1" x14ac:dyDescent="0.2"/>
    <row r="1841" s="11" customFormat="1" ht="12.75" customHeight="1" x14ac:dyDescent="0.2"/>
    <row r="1842" s="11" customFormat="1" ht="12.75" customHeight="1" x14ac:dyDescent="0.2"/>
    <row r="1843" s="11" customFormat="1" ht="12.75" customHeight="1" x14ac:dyDescent="0.2"/>
    <row r="1844" s="11" customFormat="1" ht="12.75" customHeight="1" x14ac:dyDescent="0.2"/>
    <row r="1845" s="11" customFormat="1" ht="12.75" customHeight="1" x14ac:dyDescent="0.2"/>
    <row r="1846" s="11" customFormat="1" ht="12.75" customHeight="1" x14ac:dyDescent="0.2"/>
    <row r="1847" s="11" customFormat="1" ht="12.75" customHeight="1" x14ac:dyDescent="0.2"/>
    <row r="1848" s="11" customFormat="1" ht="12.75" customHeight="1" x14ac:dyDescent="0.2"/>
    <row r="1849" s="11" customFormat="1" ht="12.75" customHeight="1" x14ac:dyDescent="0.2"/>
    <row r="1850" s="11" customFormat="1" ht="12.75" customHeight="1" x14ac:dyDescent="0.2"/>
    <row r="1851" s="11" customFormat="1" ht="12.75" customHeight="1" x14ac:dyDescent="0.2"/>
    <row r="1852" s="11" customFormat="1" ht="12.75" customHeight="1" x14ac:dyDescent="0.2"/>
    <row r="1853" s="11" customFormat="1" ht="12.75" customHeight="1" x14ac:dyDescent="0.2"/>
    <row r="1854" s="11" customFormat="1" ht="12.75" customHeight="1" x14ac:dyDescent="0.2"/>
    <row r="1855" s="11" customFormat="1" ht="12.75" customHeight="1" x14ac:dyDescent="0.2"/>
    <row r="1856" s="11" customFormat="1" ht="12.75" customHeight="1" x14ac:dyDescent="0.2"/>
    <row r="1857" s="11" customFormat="1" ht="12.75" customHeight="1" x14ac:dyDescent="0.2"/>
    <row r="1858" s="11" customFormat="1" ht="12.75" customHeight="1" x14ac:dyDescent="0.2"/>
    <row r="1859" s="11" customFormat="1" ht="12.75" customHeight="1" x14ac:dyDescent="0.2"/>
    <row r="1860" s="11" customFormat="1" ht="12.75" customHeight="1" x14ac:dyDescent="0.2"/>
    <row r="1861" s="11" customFormat="1" ht="12.75" customHeight="1" x14ac:dyDescent="0.2"/>
    <row r="1862" s="11" customFormat="1" ht="12.75" customHeight="1" x14ac:dyDescent="0.2"/>
    <row r="1863" s="11" customFormat="1" ht="12.75" customHeight="1" x14ac:dyDescent="0.2"/>
    <row r="1864" s="11" customFormat="1" ht="12.75" customHeight="1" x14ac:dyDescent="0.2"/>
    <row r="1865" s="11" customFormat="1" ht="12.75" customHeight="1" x14ac:dyDescent="0.2"/>
    <row r="1866" s="11" customFormat="1" ht="12.75" customHeight="1" x14ac:dyDescent="0.2"/>
    <row r="1867" s="11" customFormat="1" ht="12.75" customHeight="1" x14ac:dyDescent="0.2"/>
    <row r="1868" s="11" customFormat="1" ht="12.75" customHeight="1" x14ac:dyDescent="0.2"/>
    <row r="1869" s="11" customFormat="1" ht="12.75" customHeight="1" x14ac:dyDescent="0.2"/>
    <row r="1870" s="11" customFormat="1" ht="12.75" customHeight="1" x14ac:dyDescent="0.2"/>
    <row r="1871" s="11" customFormat="1" ht="12.75" customHeight="1" x14ac:dyDescent="0.2"/>
    <row r="1872" s="11" customFormat="1" ht="12.75" customHeight="1" x14ac:dyDescent="0.2"/>
    <row r="1873" s="11" customFormat="1" ht="12.75" customHeight="1" x14ac:dyDescent="0.2"/>
    <row r="1874" s="11" customFormat="1" ht="12.75" customHeight="1" x14ac:dyDescent="0.2"/>
    <row r="1875" s="11" customFormat="1" ht="12.75" customHeight="1" x14ac:dyDescent="0.2"/>
    <row r="1876" s="11" customFormat="1" ht="12.75" customHeight="1" x14ac:dyDescent="0.2"/>
    <row r="1877" s="11" customFormat="1" ht="12.75" customHeight="1" x14ac:dyDescent="0.2"/>
    <row r="1878" s="11" customFormat="1" ht="12.75" customHeight="1" x14ac:dyDescent="0.2"/>
    <row r="1879" s="11" customFormat="1" ht="12.75" customHeight="1" x14ac:dyDescent="0.2"/>
    <row r="1880" s="11" customFormat="1" ht="12.75" customHeight="1" x14ac:dyDescent="0.2"/>
    <row r="1881" s="11" customFormat="1" ht="12.75" customHeight="1" x14ac:dyDescent="0.2"/>
    <row r="1882" s="11" customFormat="1" ht="12.75" customHeight="1" x14ac:dyDescent="0.2"/>
    <row r="1883" s="11" customFormat="1" ht="12.75" customHeight="1" x14ac:dyDescent="0.2"/>
    <row r="1884" s="11" customFormat="1" ht="12.75" customHeight="1" x14ac:dyDescent="0.2"/>
    <row r="1885" s="11" customFormat="1" ht="12.75" customHeight="1" x14ac:dyDescent="0.2"/>
    <row r="1886" s="11" customFormat="1" ht="12.75" customHeight="1" x14ac:dyDescent="0.2"/>
    <row r="1887" s="11" customFormat="1" ht="12.75" customHeight="1" x14ac:dyDescent="0.2"/>
    <row r="1888" s="11" customFormat="1" ht="12.75" customHeight="1" x14ac:dyDescent="0.2"/>
    <row r="1889" s="11" customFormat="1" ht="12.75" customHeight="1" x14ac:dyDescent="0.2"/>
    <row r="1890" s="11" customFormat="1" ht="12.75" customHeight="1" x14ac:dyDescent="0.2"/>
    <row r="1891" s="11" customFormat="1" ht="12.75" customHeight="1" x14ac:dyDescent="0.2"/>
    <row r="1892" s="11" customFormat="1" ht="12.75" customHeight="1" x14ac:dyDescent="0.2"/>
    <row r="1893" s="11" customFormat="1" ht="12.75" customHeight="1" x14ac:dyDescent="0.2"/>
    <row r="1894" s="11" customFormat="1" ht="12.75" customHeight="1" x14ac:dyDescent="0.2"/>
    <row r="1895" s="11" customFormat="1" ht="12.75" customHeight="1" x14ac:dyDescent="0.2"/>
    <row r="1896" s="11" customFormat="1" ht="12.75" customHeight="1" x14ac:dyDescent="0.2"/>
    <row r="1897" s="11" customFormat="1" ht="12.75" customHeight="1" x14ac:dyDescent="0.2"/>
    <row r="1898" s="11" customFormat="1" ht="12.75" customHeight="1" x14ac:dyDescent="0.2"/>
    <row r="1899" s="11" customFormat="1" ht="12.75" customHeight="1" x14ac:dyDescent="0.2"/>
    <row r="1900" s="11" customFormat="1" ht="12.75" customHeight="1" x14ac:dyDescent="0.2"/>
    <row r="1901" s="11" customFormat="1" ht="12.75" customHeight="1" x14ac:dyDescent="0.2"/>
    <row r="1902" s="11" customFormat="1" ht="12.75" customHeight="1" x14ac:dyDescent="0.2"/>
    <row r="1903" s="11" customFormat="1" ht="12.75" customHeight="1" x14ac:dyDescent="0.2"/>
    <row r="1904" s="11" customFormat="1" ht="12.75" customHeight="1" x14ac:dyDescent="0.2"/>
    <row r="1905" s="11" customFormat="1" ht="12.75" customHeight="1" x14ac:dyDescent="0.2"/>
    <row r="1906" s="11" customFormat="1" ht="12.75" customHeight="1" x14ac:dyDescent="0.2"/>
    <row r="1907" s="11" customFormat="1" ht="12.75" customHeight="1" x14ac:dyDescent="0.2"/>
    <row r="1908" s="11" customFormat="1" ht="12.75" customHeight="1" x14ac:dyDescent="0.2"/>
    <row r="1909" s="11" customFormat="1" ht="12.75" customHeight="1" x14ac:dyDescent="0.2"/>
    <row r="1910" s="11" customFormat="1" ht="12.75" customHeight="1" x14ac:dyDescent="0.2"/>
    <row r="1911" s="11" customFormat="1" ht="12.75" customHeight="1" x14ac:dyDescent="0.2"/>
    <row r="1912" s="11" customFormat="1" ht="12.75" customHeight="1" x14ac:dyDescent="0.2"/>
    <row r="1913" s="11" customFormat="1" ht="12.75" customHeight="1" x14ac:dyDescent="0.2"/>
    <row r="1914" s="11" customFormat="1" ht="12.75" customHeight="1" x14ac:dyDescent="0.2"/>
    <row r="1915" s="11" customFormat="1" ht="12.75" customHeight="1" x14ac:dyDescent="0.2"/>
    <row r="1916" s="11" customFormat="1" ht="12.75" customHeight="1" x14ac:dyDescent="0.2"/>
    <row r="1917" s="11" customFormat="1" ht="12.75" customHeight="1" x14ac:dyDescent="0.2"/>
    <row r="1918" s="11" customFormat="1" ht="12.75" customHeight="1" x14ac:dyDescent="0.2"/>
    <row r="1919" s="11" customFormat="1" ht="12.75" customHeight="1" x14ac:dyDescent="0.2"/>
    <row r="1920" s="11" customFormat="1" ht="12.75" customHeight="1" x14ac:dyDescent="0.2"/>
    <row r="1921" s="11" customFormat="1" ht="12.75" customHeight="1" x14ac:dyDescent="0.2"/>
    <row r="1922" s="11" customFormat="1" ht="12.75" customHeight="1" x14ac:dyDescent="0.2"/>
    <row r="1923" s="11" customFormat="1" ht="12.75" customHeight="1" x14ac:dyDescent="0.2"/>
    <row r="1924" s="11" customFormat="1" ht="12.75" customHeight="1" x14ac:dyDescent="0.2"/>
    <row r="1925" s="11" customFormat="1" ht="12.75" customHeight="1" x14ac:dyDescent="0.2"/>
    <row r="1926" s="11" customFormat="1" ht="12.75" customHeight="1" x14ac:dyDescent="0.2"/>
    <row r="1927" s="11" customFormat="1" ht="12.75" customHeight="1" x14ac:dyDescent="0.2"/>
    <row r="1928" s="11" customFormat="1" ht="12.75" customHeight="1" x14ac:dyDescent="0.2"/>
    <row r="1929" s="11" customFormat="1" ht="12.75" customHeight="1" x14ac:dyDescent="0.2"/>
    <row r="1930" s="11" customFormat="1" ht="12.75" customHeight="1" x14ac:dyDescent="0.2"/>
    <row r="1931" s="11" customFormat="1" ht="12.75" customHeight="1" x14ac:dyDescent="0.2"/>
    <row r="1932" s="11" customFormat="1" ht="12.75" customHeight="1" x14ac:dyDescent="0.2"/>
    <row r="1933" s="11" customFormat="1" ht="12.75" customHeight="1" x14ac:dyDescent="0.2"/>
    <row r="1934" s="11" customFormat="1" ht="12.75" customHeight="1" x14ac:dyDescent="0.2"/>
    <row r="1935" s="11" customFormat="1" ht="12.75" customHeight="1" x14ac:dyDescent="0.2"/>
    <row r="1936" s="11" customFormat="1" ht="12.75" customHeight="1" x14ac:dyDescent="0.2"/>
    <row r="1937" s="11" customFormat="1" ht="12.75" customHeight="1" x14ac:dyDescent="0.2"/>
    <row r="1938" s="11" customFormat="1" ht="12.75" customHeight="1" x14ac:dyDescent="0.2"/>
    <row r="1939" s="11" customFormat="1" ht="12.75" customHeight="1" x14ac:dyDescent="0.2"/>
    <row r="1940" s="11" customFormat="1" ht="12.75" customHeight="1" x14ac:dyDescent="0.2"/>
    <row r="1941" s="11" customFormat="1" ht="12.75" customHeight="1" x14ac:dyDescent="0.2"/>
    <row r="1942" s="11" customFormat="1" ht="12.75" customHeight="1" x14ac:dyDescent="0.2"/>
    <row r="1943" s="11" customFormat="1" ht="12.75" customHeight="1" x14ac:dyDescent="0.2"/>
    <row r="1944" s="11" customFormat="1" ht="12.75" customHeight="1" x14ac:dyDescent="0.2"/>
    <row r="1945" s="11" customFormat="1" ht="12.75" customHeight="1" x14ac:dyDescent="0.2"/>
    <row r="1946" s="11" customFormat="1" ht="12.75" customHeight="1" x14ac:dyDescent="0.2"/>
    <row r="1947" s="11" customFormat="1" ht="12.75" customHeight="1" x14ac:dyDescent="0.2"/>
    <row r="1948" s="11" customFormat="1" ht="12.75" customHeight="1" x14ac:dyDescent="0.2"/>
    <row r="1949" s="11" customFormat="1" ht="12.75" customHeight="1" x14ac:dyDescent="0.2"/>
    <row r="1950" s="11" customFormat="1" ht="12.75" customHeight="1" x14ac:dyDescent="0.2"/>
    <row r="1951" s="11" customFormat="1" ht="12.75" customHeight="1" x14ac:dyDescent="0.2"/>
    <row r="1952" s="11" customFormat="1" ht="12.75" customHeight="1" x14ac:dyDescent="0.2"/>
    <row r="1953" s="11" customFormat="1" ht="12.75" customHeight="1" x14ac:dyDescent="0.2"/>
    <row r="1954" s="11" customFormat="1" ht="12.75" customHeight="1" x14ac:dyDescent="0.2"/>
    <row r="1955" s="11" customFormat="1" ht="12.75" customHeight="1" x14ac:dyDescent="0.2"/>
    <row r="1956" s="11" customFormat="1" ht="12.75" customHeight="1" x14ac:dyDescent="0.2"/>
    <row r="1957" s="11" customFormat="1" ht="12.75" customHeight="1" x14ac:dyDescent="0.2"/>
    <row r="1958" s="11" customFormat="1" ht="12.75" customHeight="1" x14ac:dyDescent="0.2"/>
    <row r="1959" s="11" customFormat="1" ht="12.75" customHeight="1" x14ac:dyDescent="0.2"/>
    <row r="1960" s="11" customFormat="1" ht="12.75" customHeight="1" x14ac:dyDescent="0.2"/>
    <row r="1961" s="11" customFormat="1" ht="12.75" customHeight="1" x14ac:dyDescent="0.2"/>
    <row r="1962" s="11" customFormat="1" ht="12.75" customHeight="1" x14ac:dyDescent="0.2"/>
    <row r="1963" s="11" customFormat="1" ht="12.75" customHeight="1" x14ac:dyDescent="0.2"/>
    <row r="1964" s="11" customFormat="1" ht="12.75" customHeight="1" x14ac:dyDescent="0.2"/>
    <row r="1965" s="11" customFormat="1" ht="12.75" customHeight="1" x14ac:dyDescent="0.2"/>
    <row r="1966" s="11" customFormat="1" ht="12.75" customHeight="1" x14ac:dyDescent="0.2"/>
    <row r="1967" s="11" customFormat="1" ht="12.75" customHeight="1" x14ac:dyDescent="0.2"/>
    <row r="1968" s="11" customFormat="1" ht="12.75" customHeight="1" x14ac:dyDescent="0.2"/>
    <row r="1969" s="11" customFormat="1" ht="12.75" customHeight="1" x14ac:dyDescent="0.2"/>
    <row r="1970" s="11" customFormat="1" ht="12.75" customHeight="1" x14ac:dyDescent="0.2"/>
    <row r="1971" s="11" customFormat="1" ht="12.75" customHeight="1" x14ac:dyDescent="0.2"/>
    <row r="1972" s="11" customFormat="1" ht="12.75" customHeight="1" x14ac:dyDescent="0.2"/>
    <row r="1973" s="11" customFormat="1" ht="12.75" customHeight="1" x14ac:dyDescent="0.2"/>
    <row r="1974" s="11" customFormat="1" ht="12.75" customHeight="1" x14ac:dyDescent="0.2"/>
    <row r="1975" s="11" customFormat="1" ht="12.75" customHeight="1" x14ac:dyDescent="0.2"/>
    <row r="1976" s="11" customFormat="1" ht="12.75" customHeight="1" x14ac:dyDescent="0.2"/>
    <row r="1977" s="11" customFormat="1" ht="12.75" customHeight="1" x14ac:dyDescent="0.2"/>
    <row r="1978" s="11" customFormat="1" ht="12.75" customHeight="1" x14ac:dyDescent="0.2"/>
    <row r="1979" s="11" customFormat="1" ht="12.75" customHeight="1" x14ac:dyDescent="0.2"/>
    <row r="1980" s="11" customFormat="1" ht="12.75" customHeight="1" x14ac:dyDescent="0.2"/>
    <row r="1981" s="11" customFormat="1" ht="12.75" customHeight="1" x14ac:dyDescent="0.2"/>
    <row r="1982" s="11" customFormat="1" ht="12.75" customHeight="1" x14ac:dyDescent="0.2"/>
    <row r="1983" s="11" customFormat="1" ht="12.75" customHeight="1" x14ac:dyDescent="0.2"/>
    <row r="1984" s="11" customFormat="1" ht="12.75" customHeight="1" x14ac:dyDescent="0.2"/>
    <row r="1985" s="11" customFormat="1" ht="12.75" customHeight="1" x14ac:dyDescent="0.2"/>
    <row r="1986" s="11" customFormat="1" ht="12.75" customHeight="1" x14ac:dyDescent="0.2"/>
    <row r="1987" s="11" customFormat="1" ht="12.75" customHeight="1" x14ac:dyDescent="0.2"/>
    <row r="1988" s="11" customFormat="1" ht="12.75" customHeight="1" x14ac:dyDescent="0.2"/>
    <row r="1989" s="11" customFormat="1" ht="12.75" customHeight="1" x14ac:dyDescent="0.2"/>
    <row r="1990" s="11" customFormat="1" ht="12.75" customHeight="1" x14ac:dyDescent="0.2"/>
    <row r="1991" s="11" customFormat="1" ht="12.75" customHeight="1" x14ac:dyDescent="0.2"/>
    <row r="1992" s="11" customFormat="1" ht="12.75" customHeight="1" x14ac:dyDescent="0.2"/>
    <row r="1993" s="11" customFormat="1" ht="12.75" customHeight="1" x14ac:dyDescent="0.2"/>
    <row r="1994" s="11" customFormat="1" ht="12.75" customHeight="1" x14ac:dyDescent="0.2"/>
    <row r="1995" s="11" customFormat="1" ht="12.75" customHeight="1" x14ac:dyDescent="0.2"/>
    <row r="1996" s="11" customFormat="1" ht="12.75" customHeight="1" x14ac:dyDescent="0.2"/>
    <row r="1997" s="11" customFormat="1" ht="12.75" customHeight="1" x14ac:dyDescent="0.2"/>
    <row r="1998" s="11" customFormat="1" ht="12.75" customHeight="1" x14ac:dyDescent="0.2"/>
    <row r="1999" s="11" customFormat="1" ht="12.75" customHeight="1" x14ac:dyDescent="0.2"/>
    <row r="2000" s="11" customFormat="1" ht="12.75" customHeight="1" x14ac:dyDescent="0.2"/>
    <row r="2001" s="11" customFormat="1" ht="12.75" customHeight="1" x14ac:dyDescent="0.2"/>
    <row r="2002" s="11" customFormat="1" ht="12.75" customHeight="1" x14ac:dyDescent="0.2"/>
    <row r="2003" s="11" customFormat="1" ht="12.75" customHeight="1" x14ac:dyDescent="0.2"/>
    <row r="2004" s="11" customFormat="1" ht="12.75" customHeight="1" x14ac:dyDescent="0.2"/>
    <row r="2005" s="11" customFormat="1" ht="12.75" customHeight="1" x14ac:dyDescent="0.2"/>
    <row r="2006" s="11" customFormat="1" ht="12.75" customHeight="1" x14ac:dyDescent="0.2"/>
    <row r="2007" s="11" customFormat="1" ht="12.75" customHeight="1" x14ac:dyDescent="0.2"/>
    <row r="2008" s="11" customFormat="1" ht="12.75" customHeight="1" x14ac:dyDescent="0.2"/>
    <row r="2009" s="11" customFormat="1" ht="12.75" customHeight="1" x14ac:dyDescent="0.2"/>
    <row r="2010" s="11" customFormat="1" ht="12.75" customHeight="1" x14ac:dyDescent="0.2"/>
    <row r="2011" s="11" customFormat="1" ht="12.75" customHeight="1" x14ac:dyDescent="0.2"/>
    <row r="2012" s="11" customFormat="1" ht="12.75" customHeight="1" x14ac:dyDescent="0.2"/>
    <row r="2013" s="11" customFormat="1" ht="12.75" customHeight="1" x14ac:dyDescent="0.2"/>
    <row r="2014" s="11" customFormat="1" ht="12.75" customHeight="1" x14ac:dyDescent="0.2"/>
    <row r="2015" s="11" customFormat="1" ht="12.75" customHeight="1" x14ac:dyDescent="0.2"/>
    <row r="2016" s="11" customFormat="1" ht="12.75" customHeight="1" x14ac:dyDescent="0.2"/>
    <row r="2017" s="11" customFormat="1" ht="12.75" customHeight="1" x14ac:dyDescent="0.2"/>
    <row r="2018" s="11" customFormat="1" ht="12.75" customHeight="1" x14ac:dyDescent="0.2"/>
    <row r="2019" s="11" customFormat="1" ht="12.75" customHeight="1" x14ac:dyDescent="0.2"/>
    <row r="2020" s="11" customFormat="1" ht="12.75" customHeight="1" x14ac:dyDescent="0.2"/>
    <row r="2021" s="11" customFormat="1" ht="12.75" customHeight="1" x14ac:dyDescent="0.2"/>
    <row r="2022" s="11" customFormat="1" ht="12.75" customHeight="1" x14ac:dyDescent="0.2"/>
    <row r="2023" s="11" customFormat="1" ht="12.75" customHeight="1" x14ac:dyDescent="0.2"/>
    <row r="2024" s="11" customFormat="1" ht="12.75" customHeight="1" x14ac:dyDescent="0.2"/>
    <row r="2025" s="11" customFormat="1" ht="12.75" customHeight="1" x14ac:dyDescent="0.2"/>
    <row r="2026" s="11" customFormat="1" ht="12.75" customHeight="1" x14ac:dyDescent="0.2"/>
    <row r="2027" s="11" customFormat="1" ht="12.75" customHeight="1" x14ac:dyDescent="0.2"/>
    <row r="2028" s="11" customFormat="1" ht="12.75" customHeight="1" x14ac:dyDescent="0.2"/>
    <row r="2029" s="11" customFormat="1" ht="12.75" customHeight="1" x14ac:dyDescent="0.2"/>
    <row r="2030" s="11" customFormat="1" ht="12.75" customHeight="1" x14ac:dyDescent="0.2"/>
    <row r="2031" s="11" customFormat="1" ht="12.75" customHeight="1" x14ac:dyDescent="0.2"/>
    <row r="2032" s="11" customFormat="1" ht="12.75" customHeight="1" x14ac:dyDescent="0.2"/>
    <row r="2033" s="11" customFormat="1" ht="12.75" customHeight="1" x14ac:dyDescent="0.2"/>
    <row r="2034" s="11" customFormat="1" ht="12.75" customHeight="1" x14ac:dyDescent="0.2"/>
    <row r="2035" s="11" customFormat="1" ht="12.75" customHeight="1" x14ac:dyDescent="0.2"/>
    <row r="2036" s="11" customFormat="1" ht="12.75" customHeight="1" x14ac:dyDescent="0.2"/>
    <row r="2037" s="11" customFormat="1" ht="12.75" customHeight="1" x14ac:dyDescent="0.2"/>
    <row r="2038" s="11" customFormat="1" ht="12.75" customHeight="1" x14ac:dyDescent="0.2"/>
    <row r="2039" s="11" customFormat="1" ht="12.75" customHeight="1" x14ac:dyDescent="0.2"/>
    <row r="2040" s="11" customFormat="1" ht="12.75" customHeight="1" x14ac:dyDescent="0.2"/>
    <row r="2041" s="11" customFormat="1" ht="12.75" customHeight="1" x14ac:dyDescent="0.2"/>
    <row r="2042" s="11" customFormat="1" ht="12.75" customHeight="1" x14ac:dyDescent="0.2"/>
    <row r="2043" s="11" customFormat="1" ht="12.75" customHeight="1" x14ac:dyDescent="0.2"/>
    <row r="2044" s="11" customFormat="1" ht="12.75" customHeight="1" x14ac:dyDescent="0.2"/>
    <row r="2045" s="11" customFormat="1" ht="12.75" customHeight="1" x14ac:dyDescent="0.2"/>
    <row r="2046" s="11" customFormat="1" ht="12.75" customHeight="1" x14ac:dyDescent="0.2"/>
    <row r="2047" s="11" customFormat="1" ht="12.75" customHeight="1" x14ac:dyDescent="0.2"/>
    <row r="2048" s="11" customFormat="1" ht="12.75" customHeight="1" x14ac:dyDescent="0.2"/>
    <row r="2049" s="11" customFormat="1" ht="12.75" customHeight="1" x14ac:dyDescent="0.2"/>
    <row r="2050" s="11" customFormat="1" ht="12.75" customHeight="1" x14ac:dyDescent="0.2"/>
    <row r="2051" s="11" customFormat="1" ht="12.75" customHeight="1" x14ac:dyDescent="0.2"/>
    <row r="2052" s="11" customFormat="1" ht="12.75" customHeight="1" x14ac:dyDescent="0.2"/>
    <row r="2053" s="11" customFormat="1" ht="12.75" customHeight="1" x14ac:dyDescent="0.2"/>
    <row r="2054" s="11" customFormat="1" ht="12.75" customHeight="1" x14ac:dyDescent="0.2"/>
    <row r="2055" s="11" customFormat="1" ht="12.75" customHeight="1" x14ac:dyDescent="0.2"/>
    <row r="2056" s="11" customFormat="1" ht="12.75" customHeight="1" x14ac:dyDescent="0.2"/>
    <row r="2057" s="11" customFormat="1" ht="12.75" customHeight="1" x14ac:dyDescent="0.2"/>
    <row r="2058" s="11" customFormat="1" ht="12.75" customHeight="1" x14ac:dyDescent="0.2"/>
    <row r="2059" s="11" customFormat="1" ht="12.75" customHeight="1" x14ac:dyDescent="0.2"/>
    <row r="2060" s="11" customFormat="1" ht="12.75" customHeight="1" x14ac:dyDescent="0.2"/>
    <row r="2061" s="11" customFormat="1" ht="12.75" customHeight="1" x14ac:dyDescent="0.2"/>
    <row r="2062" s="11" customFormat="1" ht="12.75" customHeight="1" x14ac:dyDescent="0.2"/>
    <row r="2063" s="11" customFormat="1" ht="12.75" customHeight="1" x14ac:dyDescent="0.2"/>
    <row r="2064" s="11" customFormat="1" ht="12.75" customHeight="1" x14ac:dyDescent="0.2"/>
    <row r="2065" s="11" customFormat="1" ht="12.75" customHeight="1" x14ac:dyDescent="0.2"/>
    <row r="2066" s="11" customFormat="1" ht="12.75" customHeight="1" x14ac:dyDescent="0.2"/>
    <row r="2067" s="11" customFormat="1" ht="12.75" customHeight="1" x14ac:dyDescent="0.2"/>
    <row r="2068" s="11" customFormat="1" ht="12.75" customHeight="1" x14ac:dyDescent="0.2"/>
    <row r="2069" s="11" customFormat="1" ht="12.75" customHeight="1" x14ac:dyDescent="0.2"/>
    <row r="2070" s="11" customFormat="1" ht="12.75" customHeight="1" x14ac:dyDescent="0.2"/>
    <row r="2071" s="11" customFormat="1" ht="12.75" customHeight="1" x14ac:dyDescent="0.2"/>
    <row r="2072" s="11" customFormat="1" ht="12.75" customHeight="1" x14ac:dyDescent="0.2"/>
    <row r="2073" s="11" customFormat="1" ht="12.75" customHeight="1" x14ac:dyDescent="0.2"/>
    <row r="2074" s="11" customFormat="1" ht="12.75" customHeight="1" x14ac:dyDescent="0.2"/>
    <row r="2075" s="11" customFormat="1" ht="12.75" customHeight="1" x14ac:dyDescent="0.2"/>
    <row r="2076" s="11" customFormat="1" ht="12.75" customHeight="1" x14ac:dyDescent="0.2"/>
    <row r="2077" s="11" customFormat="1" ht="12.75" customHeight="1" x14ac:dyDescent="0.2"/>
    <row r="2078" s="11" customFormat="1" ht="12.75" customHeight="1" x14ac:dyDescent="0.2"/>
    <row r="2079" s="11" customFormat="1" ht="12.75" customHeight="1" x14ac:dyDescent="0.2"/>
    <row r="2080" s="11" customFormat="1" ht="12.75" customHeight="1" x14ac:dyDescent="0.2"/>
    <row r="2081" s="11" customFormat="1" ht="12.75" customHeight="1" x14ac:dyDescent="0.2"/>
    <row r="2082" s="11" customFormat="1" ht="12.75" customHeight="1" x14ac:dyDescent="0.2"/>
    <row r="2083" s="11" customFormat="1" ht="12.75" customHeight="1" x14ac:dyDescent="0.2"/>
    <row r="2084" s="11" customFormat="1" ht="12.75" customHeight="1" x14ac:dyDescent="0.2"/>
    <row r="2085" s="11" customFormat="1" ht="12.75" customHeight="1" x14ac:dyDescent="0.2"/>
    <row r="2086" s="11" customFormat="1" ht="12.75" customHeight="1" x14ac:dyDescent="0.2"/>
    <row r="2087" s="11" customFormat="1" ht="12.75" customHeight="1" x14ac:dyDescent="0.2"/>
    <row r="2088" s="11" customFormat="1" ht="12.75" customHeight="1" x14ac:dyDescent="0.2"/>
    <row r="2089" s="11" customFormat="1" ht="12.75" customHeight="1" x14ac:dyDescent="0.2"/>
    <row r="2090" s="11" customFormat="1" ht="12.75" customHeight="1" x14ac:dyDescent="0.2"/>
    <row r="2091" s="11" customFormat="1" ht="12.75" customHeight="1" x14ac:dyDescent="0.2"/>
    <row r="2092" s="11" customFormat="1" ht="12.75" customHeight="1" x14ac:dyDescent="0.2"/>
    <row r="2093" s="11" customFormat="1" ht="12.75" customHeight="1" x14ac:dyDescent="0.2"/>
    <row r="2094" s="11" customFormat="1" ht="12.75" customHeight="1" x14ac:dyDescent="0.2"/>
    <row r="2095" s="11" customFormat="1" ht="12.75" customHeight="1" x14ac:dyDescent="0.2"/>
    <row r="2096" s="11" customFormat="1" ht="12.75" customHeight="1" x14ac:dyDescent="0.2"/>
    <row r="2097" s="11" customFormat="1" ht="12.75" customHeight="1" x14ac:dyDescent="0.2"/>
    <row r="2098" s="11" customFormat="1" ht="12.75" customHeight="1" x14ac:dyDescent="0.2"/>
    <row r="2099" s="11" customFormat="1" ht="12.75" customHeight="1" x14ac:dyDescent="0.2"/>
    <row r="2100" s="11" customFormat="1" ht="12.75" customHeight="1" x14ac:dyDescent="0.2"/>
    <row r="2101" s="11" customFormat="1" ht="12.75" customHeight="1" x14ac:dyDescent="0.2"/>
    <row r="2102" s="11" customFormat="1" ht="12.75" customHeight="1" x14ac:dyDescent="0.2"/>
    <row r="2103" s="11" customFormat="1" ht="12.75" customHeight="1" x14ac:dyDescent="0.2"/>
    <row r="2104" s="11" customFormat="1" ht="12.75" customHeight="1" x14ac:dyDescent="0.2"/>
    <row r="2105" s="11" customFormat="1" ht="12.75" customHeight="1" x14ac:dyDescent="0.2"/>
    <row r="2106" s="11" customFormat="1" ht="12.75" customHeight="1" x14ac:dyDescent="0.2"/>
    <row r="2107" s="11" customFormat="1" ht="12.75" customHeight="1" x14ac:dyDescent="0.2"/>
    <row r="2108" s="11" customFormat="1" ht="12.75" customHeight="1" x14ac:dyDescent="0.2"/>
    <row r="2109" s="11" customFormat="1" ht="12.75" customHeight="1" x14ac:dyDescent="0.2"/>
    <row r="2110" s="11" customFormat="1" ht="12.75" customHeight="1" x14ac:dyDescent="0.2"/>
    <row r="2111" s="11" customFormat="1" ht="12.75" customHeight="1" x14ac:dyDescent="0.2"/>
    <row r="2112" s="11" customFormat="1" ht="12.75" customHeight="1" x14ac:dyDescent="0.2"/>
    <row r="2113" s="11" customFormat="1" ht="12.75" customHeight="1" x14ac:dyDescent="0.2"/>
    <row r="2114" s="11" customFormat="1" ht="12.75" customHeight="1" x14ac:dyDescent="0.2"/>
    <row r="2115" s="11" customFormat="1" ht="12.75" customHeight="1" x14ac:dyDescent="0.2"/>
    <row r="2116" s="11" customFormat="1" ht="12.75" customHeight="1" x14ac:dyDescent="0.2"/>
    <row r="2117" s="11" customFormat="1" ht="12.75" customHeight="1" x14ac:dyDescent="0.2"/>
    <row r="2118" s="11" customFormat="1" ht="12.75" customHeight="1" x14ac:dyDescent="0.2"/>
    <row r="2119" s="11" customFormat="1" ht="12.75" customHeight="1" x14ac:dyDescent="0.2"/>
    <row r="2120" s="11" customFormat="1" ht="12.75" customHeight="1" x14ac:dyDescent="0.2"/>
    <row r="2121" s="11" customFormat="1" ht="12.75" customHeight="1" x14ac:dyDescent="0.2"/>
    <row r="2122" s="11" customFormat="1" ht="12.75" customHeight="1" x14ac:dyDescent="0.2"/>
    <row r="2123" s="11" customFormat="1" ht="12.75" customHeight="1" x14ac:dyDescent="0.2"/>
    <row r="2124" s="11" customFormat="1" ht="12.75" customHeight="1" x14ac:dyDescent="0.2"/>
    <row r="2125" s="11" customFormat="1" ht="12.75" customHeight="1" x14ac:dyDescent="0.2"/>
    <row r="2126" s="11" customFormat="1" ht="12.75" customHeight="1" x14ac:dyDescent="0.2"/>
    <row r="2127" s="11" customFormat="1" ht="12.75" customHeight="1" x14ac:dyDescent="0.2"/>
    <row r="2128" s="11" customFormat="1" ht="12.75" customHeight="1" x14ac:dyDescent="0.2"/>
    <row r="2129" s="11" customFormat="1" ht="12.75" customHeight="1" x14ac:dyDescent="0.2"/>
    <row r="2130" s="11" customFormat="1" ht="12.75" customHeight="1" x14ac:dyDescent="0.2"/>
    <row r="2131" s="11" customFormat="1" ht="12.75" customHeight="1" x14ac:dyDescent="0.2"/>
    <row r="2132" s="11" customFormat="1" ht="12.75" customHeight="1" x14ac:dyDescent="0.2"/>
    <row r="2133" s="11" customFormat="1" ht="12.75" customHeight="1" x14ac:dyDescent="0.2"/>
    <row r="2134" s="11" customFormat="1" ht="12.75" customHeight="1" x14ac:dyDescent="0.2"/>
    <row r="2135" s="11" customFormat="1" ht="12.75" customHeight="1" x14ac:dyDescent="0.2"/>
    <row r="2136" s="11" customFormat="1" ht="12.75" customHeight="1" x14ac:dyDescent="0.2"/>
    <row r="2137" s="11" customFormat="1" ht="12.75" customHeight="1" x14ac:dyDescent="0.2"/>
    <row r="2138" s="11" customFormat="1" ht="12.75" customHeight="1" x14ac:dyDescent="0.2"/>
    <row r="2139" s="11" customFormat="1" ht="12.75" customHeight="1" x14ac:dyDescent="0.2"/>
    <row r="2140" s="11" customFormat="1" ht="12.75" customHeight="1" x14ac:dyDescent="0.2"/>
    <row r="2141" s="11" customFormat="1" ht="12.75" customHeight="1" x14ac:dyDescent="0.2"/>
    <row r="2142" s="11" customFormat="1" ht="12.75" customHeight="1" x14ac:dyDescent="0.2"/>
    <row r="2143" s="11" customFormat="1" ht="12.75" customHeight="1" x14ac:dyDescent="0.2"/>
    <row r="2144" s="11" customFormat="1" ht="12.75" customHeight="1" x14ac:dyDescent="0.2"/>
    <row r="2145" s="11" customFormat="1" ht="12.75" customHeight="1" x14ac:dyDescent="0.2"/>
    <row r="2146" s="11" customFormat="1" ht="12.75" customHeight="1" x14ac:dyDescent="0.2"/>
    <row r="2147" s="11" customFormat="1" ht="12.75" customHeight="1" x14ac:dyDescent="0.2"/>
    <row r="2148" s="11" customFormat="1" ht="12.75" customHeight="1" x14ac:dyDescent="0.2"/>
    <row r="2149" s="11" customFormat="1" ht="12.75" customHeight="1" x14ac:dyDescent="0.2"/>
    <row r="2150" s="11" customFormat="1" ht="12.75" customHeight="1" x14ac:dyDescent="0.2"/>
    <row r="2151" s="11" customFormat="1" ht="12.75" customHeight="1" x14ac:dyDescent="0.2"/>
    <row r="2152" s="11" customFormat="1" ht="12.75" customHeight="1" x14ac:dyDescent="0.2"/>
    <row r="2153" s="11" customFormat="1" ht="12.75" customHeight="1" x14ac:dyDescent="0.2"/>
    <row r="2154" s="11" customFormat="1" ht="12.75" customHeight="1" x14ac:dyDescent="0.2"/>
    <row r="2155" s="11" customFormat="1" ht="12.75" customHeight="1" x14ac:dyDescent="0.2"/>
    <row r="2156" s="11" customFormat="1" ht="12.75" customHeight="1" x14ac:dyDescent="0.2"/>
    <row r="2157" s="11" customFormat="1" ht="12.75" customHeight="1" x14ac:dyDescent="0.2"/>
    <row r="2158" s="11" customFormat="1" ht="12.75" customHeight="1" x14ac:dyDescent="0.2"/>
    <row r="2159" s="11" customFormat="1" ht="12.75" customHeight="1" x14ac:dyDescent="0.2"/>
    <row r="2160" s="11" customFormat="1" ht="12.75" customHeight="1" x14ac:dyDescent="0.2"/>
    <row r="2161" s="11" customFormat="1" ht="12.75" customHeight="1" x14ac:dyDescent="0.2"/>
    <row r="2162" s="11" customFormat="1" ht="12.75" customHeight="1" x14ac:dyDescent="0.2"/>
    <row r="2163" s="11" customFormat="1" ht="12.75" customHeight="1" x14ac:dyDescent="0.2"/>
    <row r="2164" s="11" customFormat="1" ht="12.75" customHeight="1" x14ac:dyDescent="0.2"/>
    <row r="2165" s="11" customFormat="1" ht="12.75" customHeight="1" x14ac:dyDescent="0.2"/>
    <row r="2166" s="11" customFormat="1" ht="12.75" customHeight="1" x14ac:dyDescent="0.2"/>
    <row r="2167" s="11" customFormat="1" ht="12.75" customHeight="1" x14ac:dyDescent="0.2"/>
    <row r="2168" s="11" customFormat="1" ht="12.75" customHeight="1" x14ac:dyDescent="0.2"/>
    <row r="2169" s="11" customFormat="1" ht="12.75" customHeight="1" x14ac:dyDescent="0.2"/>
    <row r="2170" s="11" customFormat="1" ht="12.75" customHeight="1" x14ac:dyDescent="0.2"/>
    <row r="2171" s="11" customFormat="1" ht="12.75" customHeight="1" x14ac:dyDescent="0.2"/>
    <row r="2172" s="11" customFormat="1" ht="12.75" customHeight="1" x14ac:dyDescent="0.2"/>
    <row r="2173" s="11" customFormat="1" ht="12.75" customHeight="1" x14ac:dyDescent="0.2"/>
    <row r="2174" s="11" customFormat="1" ht="12.75" customHeight="1" x14ac:dyDescent="0.2"/>
    <row r="2175" s="11" customFormat="1" ht="12.75" customHeight="1" x14ac:dyDescent="0.2"/>
    <row r="2176" s="11" customFormat="1" ht="12.75" customHeight="1" x14ac:dyDescent="0.2"/>
    <row r="2177" s="11" customFormat="1" ht="12.75" customHeight="1" x14ac:dyDescent="0.2"/>
    <row r="2178" s="11" customFormat="1" ht="12.75" customHeight="1" x14ac:dyDescent="0.2"/>
    <row r="2179" s="11" customFormat="1" ht="12.75" customHeight="1" x14ac:dyDescent="0.2"/>
    <row r="2180" s="11" customFormat="1" ht="12.75" customHeight="1" x14ac:dyDescent="0.2"/>
    <row r="2181" s="11" customFormat="1" ht="12.75" customHeight="1" x14ac:dyDescent="0.2"/>
    <row r="2182" s="11" customFormat="1" ht="12.75" customHeight="1" x14ac:dyDescent="0.2"/>
    <row r="2183" s="11" customFormat="1" ht="12.75" customHeight="1" x14ac:dyDescent="0.2"/>
    <row r="2184" s="11" customFormat="1" ht="12.75" customHeight="1" x14ac:dyDescent="0.2"/>
    <row r="2185" s="11" customFormat="1" ht="12.75" customHeight="1" x14ac:dyDescent="0.2"/>
    <row r="2186" s="11" customFormat="1" ht="12.75" customHeight="1" x14ac:dyDescent="0.2"/>
    <row r="2187" s="11" customFormat="1" ht="12.75" customHeight="1" x14ac:dyDescent="0.2"/>
    <row r="2188" s="11" customFormat="1" ht="12.75" customHeight="1" x14ac:dyDescent="0.2"/>
    <row r="2189" s="11" customFormat="1" ht="12.75" customHeight="1" x14ac:dyDescent="0.2"/>
    <row r="2190" s="11" customFormat="1" ht="12.75" customHeight="1" x14ac:dyDescent="0.2"/>
    <row r="2191" s="11" customFormat="1" ht="12.75" customHeight="1" x14ac:dyDescent="0.2"/>
    <row r="2192" s="11" customFormat="1" ht="12.75" customHeight="1" x14ac:dyDescent="0.2"/>
    <row r="2193" s="11" customFormat="1" ht="12.75" customHeight="1" x14ac:dyDescent="0.2"/>
    <row r="2194" s="11" customFormat="1" ht="12.75" customHeight="1" x14ac:dyDescent="0.2"/>
    <row r="2195" s="11" customFormat="1" ht="12.75" customHeight="1" x14ac:dyDescent="0.2"/>
    <row r="2196" s="11" customFormat="1" ht="12.75" customHeight="1" x14ac:dyDescent="0.2"/>
    <row r="2197" s="11" customFormat="1" ht="12.75" customHeight="1" x14ac:dyDescent="0.2"/>
    <row r="2198" s="11" customFormat="1" ht="12.75" customHeight="1" x14ac:dyDescent="0.2"/>
    <row r="2199" s="11" customFormat="1" ht="12.75" customHeight="1" x14ac:dyDescent="0.2"/>
    <row r="2200" s="11" customFormat="1" ht="12.75" customHeight="1" x14ac:dyDescent="0.2"/>
    <row r="2201" s="11" customFormat="1" ht="12.75" customHeight="1" x14ac:dyDescent="0.2"/>
    <row r="2202" s="11" customFormat="1" ht="12.75" customHeight="1" x14ac:dyDescent="0.2"/>
    <row r="2203" s="11" customFormat="1" ht="12.75" customHeight="1" x14ac:dyDescent="0.2"/>
    <row r="2204" s="11" customFormat="1" ht="12.75" customHeight="1" x14ac:dyDescent="0.2"/>
    <row r="2205" s="11" customFormat="1" ht="12.75" customHeight="1" x14ac:dyDescent="0.2"/>
    <row r="2206" s="11" customFormat="1" ht="12.75" customHeight="1" x14ac:dyDescent="0.2"/>
    <row r="2207" s="11" customFormat="1" ht="12.75" customHeight="1" x14ac:dyDescent="0.2"/>
    <row r="2208" s="11" customFormat="1" ht="12.75" customHeight="1" x14ac:dyDescent="0.2"/>
    <row r="2209" s="11" customFormat="1" ht="12.75" customHeight="1" x14ac:dyDescent="0.2"/>
    <row r="2210" s="11" customFormat="1" ht="12.75" customHeight="1" x14ac:dyDescent="0.2"/>
    <row r="2211" s="11" customFormat="1" ht="12.75" customHeight="1" x14ac:dyDescent="0.2"/>
    <row r="2212" s="11" customFormat="1" ht="12.75" customHeight="1" x14ac:dyDescent="0.2"/>
    <row r="2213" s="11" customFormat="1" ht="12.75" customHeight="1" x14ac:dyDescent="0.2"/>
    <row r="2214" s="11" customFormat="1" ht="12.75" customHeight="1" x14ac:dyDescent="0.2"/>
    <row r="2215" s="11" customFormat="1" ht="12.75" customHeight="1" x14ac:dyDescent="0.2"/>
    <row r="2216" s="11" customFormat="1" ht="12.75" customHeight="1" x14ac:dyDescent="0.2"/>
    <row r="2217" s="11" customFormat="1" ht="12.75" customHeight="1" x14ac:dyDescent="0.2"/>
    <row r="2218" s="11" customFormat="1" ht="12.75" customHeight="1" x14ac:dyDescent="0.2"/>
    <row r="2219" s="11" customFormat="1" ht="12.75" customHeight="1" x14ac:dyDescent="0.2"/>
    <row r="2220" s="11" customFormat="1" ht="12.75" customHeight="1" x14ac:dyDescent="0.2"/>
    <row r="2221" s="11" customFormat="1" ht="12.75" customHeight="1" x14ac:dyDescent="0.2"/>
    <row r="2222" s="11" customFormat="1" ht="12.75" customHeight="1" x14ac:dyDescent="0.2"/>
    <row r="2223" s="11" customFormat="1" ht="12.75" customHeight="1" x14ac:dyDescent="0.2"/>
    <row r="2224" s="11" customFormat="1" ht="12.75" customHeight="1" x14ac:dyDescent="0.2"/>
    <row r="2225" s="11" customFormat="1" ht="12.75" customHeight="1" x14ac:dyDescent="0.2"/>
    <row r="2226" s="11" customFormat="1" ht="12.75" customHeight="1" x14ac:dyDescent="0.2"/>
    <row r="2227" s="11" customFormat="1" ht="12.75" customHeight="1" x14ac:dyDescent="0.2"/>
    <row r="2228" s="11" customFormat="1" ht="12.75" customHeight="1" x14ac:dyDescent="0.2"/>
    <row r="2229" s="11" customFormat="1" ht="12.75" customHeight="1" x14ac:dyDescent="0.2"/>
    <row r="2230" s="11" customFormat="1" ht="12.75" customHeight="1" x14ac:dyDescent="0.2"/>
    <row r="2231" s="11" customFormat="1" ht="12.75" customHeight="1" x14ac:dyDescent="0.2"/>
    <row r="2232" s="11" customFormat="1" ht="12.75" customHeight="1" x14ac:dyDescent="0.2"/>
    <row r="2233" s="11" customFormat="1" ht="12.75" customHeight="1" x14ac:dyDescent="0.2"/>
    <row r="2234" s="11" customFormat="1" ht="12.75" customHeight="1" x14ac:dyDescent="0.2"/>
    <row r="2235" s="11" customFormat="1" ht="12.75" customHeight="1" x14ac:dyDescent="0.2"/>
    <row r="2236" s="11" customFormat="1" ht="12.75" customHeight="1" x14ac:dyDescent="0.2"/>
    <row r="2237" s="11" customFormat="1" ht="12.75" customHeight="1" x14ac:dyDescent="0.2"/>
    <row r="2238" s="11" customFormat="1" ht="12.75" customHeight="1" x14ac:dyDescent="0.2"/>
    <row r="2239" s="11" customFormat="1" ht="12.75" customHeight="1" x14ac:dyDescent="0.2"/>
    <row r="2240" s="11" customFormat="1" ht="12.75" customHeight="1" x14ac:dyDescent="0.2"/>
    <row r="2241" s="11" customFormat="1" ht="12.75" customHeight="1" x14ac:dyDescent="0.2"/>
    <row r="2242" s="11" customFormat="1" ht="12.75" customHeight="1" x14ac:dyDescent="0.2"/>
    <row r="2243" s="11" customFormat="1" ht="12.75" customHeight="1" x14ac:dyDescent="0.2"/>
    <row r="2244" s="11" customFormat="1" ht="12.75" customHeight="1" x14ac:dyDescent="0.2"/>
    <row r="2245" s="11" customFormat="1" ht="12.75" customHeight="1" x14ac:dyDescent="0.2"/>
    <row r="2246" s="11" customFormat="1" ht="12.75" customHeight="1" x14ac:dyDescent="0.2"/>
    <row r="2247" s="11" customFormat="1" ht="12.75" customHeight="1" x14ac:dyDescent="0.2"/>
    <row r="2248" s="11" customFormat="1" ht="12.75" customHeight="1" x14ac:dyDescent="0.2"/>
    <row r="2249" s="11" customFormat="1" ht="12.75" customHeight="1" x14ac:dyDescent="0.2"/>
    <row r="2250" s="11" customFormat="1" ht="12.75" customHeight="1" x14ac:dyDescent="0.2"/>
    <row r="2251" s="11" customFormat="1" ht="12.75" customHeight="1" x14ac:dyDescent="0.2"/>
    <row r="2252" s="11" customFormat="1" ht="12.75" customHeight="1" x14ac:dyDescent="0.2"/>
    <row r="2253" s="11" customFormat="1" ht="12.75" customHeight="1" x14ac:dyDescent="0.2"/>
    <row r="2254" s="11" customFormat="1" ht="12.75" customHeight="1" x14ac:dyDescent="0.2"/>
    <row r="2255" s="11" customFormat="1" ht="12.75" customHeight="1" x14ac:dyDescent="0.2"/>
    <row r="2256" s="11" customFormat="1" ht="12.75" customHeight="1" x14ac:dyDescent="0.2"/>
    <row r="2257" s="11" customFormat="1" ht="12.75" customHeight="1" x14ac:dyDescent="0.2"/>
    <row r="2258" s="11" customFormat="1" ht="12.75" customHeight="1" x14ac:dyDescent="0.2"/>
    <row r="2259" s="11" customFormat="1" ht="12.75" customHeight="1" x14ac:dyDescent="0.2"/>
    <row r="2260" s="11" customFormat="1" ht="12.75" customHeight="1" x14ac:dyDescent="0.2"/>
    <row r="2261" s="11" customFormat="1" ht="12.75" customHeight="1" x14ac:dyDescent="0.2"/>
    <row r="2262" s="11" customFormat="1" ht="12.75" customHeight="1" x14ac:dyDescent="0.2"/>
    <row r="2263" s="11" customFormat="1" ht="12.75" customHeight="1" x14ac:dyDescent="0.2"/>
    <row r="2264" s="11" customFormat="1" ht="12.75" customHeight="1" x14ac:dyDescent="0.2"/>
    <row r="2265" s="11" customFormat="1" ht="12.75" customHeight="1" x14ac:dyDescent="0.2"/>
    <row r="2266" s="11" customFormat="1" ht="12.75" customHeight="1" x14ac:dyDescent="0.2"/>
    <row r="2267" s="11" customFormat="1" ht="12.75" customHeight="1" x14ac:dyDescent="0.2"/>
    <row r="2268" s="11" customFormat="1" ht="12.75" customHeight="1" x14ac:dyDescent="0.2"/>
    <row r="2269" s="11" customFormat="1" ht="12.75" customHeight="1" x14ac:dyDescent="0.2"/>
    <row r="2270" s="11" customFormat="1" ht="12.75" customHeight="1" x14ac:dyDescent="0.2"/>
    <row r="2271" s="11" customFormat="1" ht="12.75" customHeight="1" x14ac:dyDescent="0.2"/>
    <row r="2272" s="11" customFormat="1" ht="12.75" customHeight="1" x14ac:dyDescent="0.2"/>
    <row r="2273" s="11" customFormat="1" ht="12.75" customHeight="1" x14ac:dyDescent="0.2"/>
    <row r="2274" s="11" customFormat="1" ht="12.75" customHeight="1" x14ac:dyDescent="0.2"/>
    <row r="2275" s="11" customFormat="1" ht="12.75" customHeight="1" x14ac:dyDescent="0.2"/>
    <row r="2276" s="11" customFormat="1" ht="12.75" customHeight="1" x14ac:dyDescent="0.2"/>
    <row r="2277" s="11" customFormat="1" ht="12.75" customHeight="1" x14ac:dyDescent="0.2"/>
    <row r="2278" s="11" customFormat="1" ht="12.75" customHeight="1" x14ac:dyDescent="0.2"/>
    <row r="2279" s="11" customFormat="1" ht="12.75" customHeight="1" x14ac:dyDescent="0.2"/>
    <row r="2280" s="11" customFormat="1" ht="12.75" customHeight="1" x14ac:dyDescent="0.2"/>
    <row r="2281" s="11" customFormat="1" ht="12.75" customHeight="1" x14ac:dyDescent="0.2"/>
    <row r="2282" s="11" customFormat="1" ht="12.75" customHeight="1" x14ac:dyDescent="0.2"/>
    <row r="2283" s="11" customFormat="1" ht="12.75" customHeight="1" x14ac:dyDescent="0.2"/>
    <row r="2284" s="11" customFormat="1" ht="12.75" customHeight="1" x14ac:dyDescent="0.2"/>
    <row r="2285" s="11" customFormat="1" ht="12.75" customHeight="1" x14ac:dyDescent="0.2"/>
    <row r="2286" s="11" customFormat="1" ht="12.75" customHeight="1" x14ac:dyDescent="0.2"/>
    <row r="2287" s="11" customFormat="1" ht="12.75" customHeight="1" x14ac:dyDescent="0.2"/>
    <row r="2288" s="11" customFormat="1" ht="12.75" customHeight="1" x14ac:dyDescent="0.2"/>
    <row r="2289" s="11" customFormat="1" ht="12.75" customHeight="1" x14ac:dyDescent="0.2"/>
    <row r="2290" s="11" customFormat="1" ht="12.75" customHeight="1" x14ac:dyDescent="0.2"/>
    <row r="2291" s="11" customFormat="1" ht="12.75" customHeight="1" x14ac:dyDescent="0.2"/>
    <row r="2292" s="11" customFormat="1" ht="12.75" customHeight="1" x14ac:dyDescent="0.2"/>
    <row r="2293" s="11" customFormat="1" ht="12.75" customHeight="1" x14ac:dyDescent="0.2"/>
    <row r="2294" s="11" customFormat="1" ht="12.75" customHeight="1" x14ac:dyDescent="0.2"/>
    <row r="2295" s="11" customFormat="1" ht="12.75" customHeight="1" x14ac:dyDescent="0.2"/>
    <row r="2296" s="11" customFormat="1" ht="12.75" customHeight="1" x14ac:dyDescent="0.2"/>
    <row r="2297" s="11" customFormat="1" ht="12.75" customHeight="1" x14ac:dyDescent="0.2"/>
    <row r="2298" s="11" customFormat="1" ht="12.75" customHeight="1" x14ac:dyDescent="0.2"/>
    <row r="2299" s="11" customFormat="1" ht="12.75" customHeight="1" x14ac:dyDescent="0.2"/>
    <row r="2300" s="11" customFormat="1" ht="12.75" customHeight="1" x14ac:dyDescent="0.2"/>
    <row r="2301" s="11" customFormat="1" ht="12.75" customHeight="1" x14ac:dyDescent="0.2"/>
    <row r="2302" s="11" customFormat="1" ht="12.75" customHeight="1" x14ac:dyDescent="0.2"/>
    <row r="2303" s="11" customFormat="1" ht="12.75" customHeight="1" x14ac:dyDescent="0.2"/>
    <row r="2304" s="11" customFormat="1" ht="12.75" customHeight="1" x14ac:dyDescent="0.2"/>
    <row r="2305" s="11" customFormat="1" ht="12.75" customHeight="1" x14ac:dyDescent="0.2"/>
    <row r="2306" s="11" customFormat="1" ht="12.75" customHeight="1" x14ac:dyDescent="0.2"/>
    <row r="2307" s="11" customFormat="1" ht="12.75" customHeight="1" x14ac:dyDescent="0.2"/>
    <row r="2308" s="11" customFormat="1" ht="12.75" customHeight="1" x14ac:dyDescent="0.2"/>
    <row r="2309" s="11" customFormat="1" ht="12.75" customHeight="1" x14ac:dyDescent="0.2"/>
    <row r="2310" s="11" customFormat="1" ht="12.75" customHeight="1" x14ac:dyDescent="0.2"/>
    <row r="2311" s="11" customFormat="1" ht="12.75" customHeight="1" x14ac:dyDescent="0.2"/>
    <row r="2312" s="11" customFormat="1" ht="12.75" customHeight="1" x14ac:dyDescent="0.2"/>
    <row r="2313" s="11" customFormat="1" ht="12.75" customHeight="1" x14ac:dyDescent="0.2"/>
    <row r="2314" s="11" customFormat="1" ht="12.75" customHeight="1" x14ac:dyDescent="0.2"/>
    <row r="2315" s="11" customFormat="1" ht="12.75" customHeight="1" x14ac:dyDescent="0.2"/>
    <row r="2316" s="11" customFormat="1" ht="12.75" customHeight="1" x14ac:dyDescent="0.2"/>
    <row r="2317" s="11" customFormat="1" ht="12.75" customHeight="1" x14ac:dyDescent="0.2"/>
    <row r="2318" s="11" customFormat="1" ht="12.75" customHeight="1" x14ac:dyDescent="0.2"/>
    <row r="2319" s="11" customFormat="1" ht="12.75" customHeight="1" x14ac:dyDescent="0.2"/>
    <row r="2320" s="11" customFormat="1" ht="12.75" customHeight="1" x14ac:dyDescent="0.2"/>
    <row r="2321" s="11" customFormat="1" ht="12.75" customHeight="1" x14ac:dyDescent="0.2"/>
    <row r="2322" s="11" customFormat="1" ht="12.75" customHeight="1" x14ac:dyDescent="0.2"/>
    <row r="2323" s="11" customFormat="1" ht="12.75" customHeight="1" x14ac:dyDescent="0.2"/>
    <row r="2324" s="11" customFormat="1" ht="12.75" customHeight="1" x14ac:dyDescent="0.2"/>
    <row r="2325" s="11" customFormat="1" ht="12.75" customHeight="1" x14ac:dyDescent="0.2"/>
    <row r="2326" s="11" customFormat="1" ht="12.75" customHeight="1" x14ac:dyDescent="0.2"/>
    <row r="2327" s="11" customFormat="1" ht="12.75" customHeight="1" x14ac:dyDescent="0.2"/>
    <row r="2328" s="11" customFormat="1" ht="12.75" customHeight="1" x14ac:dyDescent="0.2"/>
    <row r="2329" s="11" customFormat="1" ht="12.75" customHeight="1" x14ac:dyDescent="0.2"/>
    <row r="2330" s="11" customFormat="1" ht="12.75" customHeight="1" x14ac:dyDescent="0.2"/>
    <row r="2331" s="11" customFormat="1" ht="12.75" customHeight="1" x14ac:dyDescent="0.2"/>
    <row r="2332" s="11" customFormat="1" ht="12.75" customHeight="1" x14ac:dyDescent="0.2"/>
    <row r="2333" s="11" customFormat="1" ht="12.75" customHeight="1" x14ac:dyDescent="0.2"/>
    <row r="2334" s="11" customFormat="1" ht="12.75" customHeight="1" x14ac:dyDescent="0.2"/>
    <row r="2335" s="11" customFormat="1" ht="12.75" customHeight="1" x14ac:dyDescent="0.2"/>
    <row r="2336" s="11" customFormat="1" ht="12.75" customHeight="1" x14ac:dyDescent="0.2"/>
    <row r="2337" s="11" customFormat="1" ht="12.75" customHeight="1" x14ac:dyDescent="0.2"/>
    <row r="2338" s="11" customFormat="1" ht="12.75" customHeight="1" x14ac:dyDescent="0.2"/>
    <row r="2339" s="11" customFormat="1" ht="12.75" customHeight="1" x14ac:dyDescent="0.2"/>
    <row r="2340" s="11" customFormat="1" ht="12.75" customHeight="1" x14ac:dyDescent="0.2"/>
    <row r="2341" s="11" customFormat="1" ht="12.75" customHeight="1" x14ac:dyDescent="0.2"/>
    <row r="2342" s="11" customFormat="1" ht="12.75" customHeight="1" x14ac:dyDescent="0.2"/>
    <row r="2343" s="11" customFormat="1" ht="12.75" customHeight="1" x14ac:dyDescent="0.2"/>
    <row r="2344" s="11" customFormat="1" ht="12.75" customHeight="1" x14ac:dyDescent="0.2"/>
    <row r="2345" s="11" customFormat="1" ht="12.75" customHeight="1" x14ac:dyDescent="0.2"/>
    <row r="2346" s="11" customFormat="1" ht="12.75" customHeight="1" x14ac:dyDescent="0.2"/>
    <row r="2347" s="11" customFormat="1" ht="12.75" customHeight="1" x14ac:dyDescent="0.2"/>
    <row r="2348" s="11" customFormat="1" ht="12.75" customHeight="1" x14ac:dyDescent="0.2"/>
    <row r="2349" s="11" customFormat="1" ht="12.75" customHeight="1" x14ac:dyDescent="0.2"/>
    <row r="2350" s="11" customFormat="1" ht="12.75" customHeight="1" x14ac:dyDescent="0.2"/>
    <row r="2351" s="11" customFormat="1" ht="12.75" customHeight="1" x14ac:dyDescent="0.2"/>
    <row r="2352" s="11" customFormat="1" ht="12.75" customHeight="1" x14ac:dyDescent="0.2"/>
    <row r="2353" s="11" customFormat="1" ht="12.75" customHeight="1" x14ac:dyDescent="0.2"/>
    <row r="2354" s="11" customFormat="1" ht="12.75" customHeight="1" x14ac:dyDescent="0.2"/>
    <row r="2355" s="11" customFormat="1" ht="12.75" customHeight="1" x14ac:dyDescent="0.2"/>
    <row r="2356" s="11" customFormat="1" ht="12.75" customHeight="1" x14ac:dyDescent="0.2"/>
    <row r="2357" s="11" customFormat="1" ht="12.75" customHeight="1" x14ac:dyDescent="0.2"/>
    <row r="2358" s="11" customFormat="1" ht="12.75" customHeight="1" x14ac:dyDescent="0.2"/>
    <row r="2359" s="11" customFormat="1" ht="12.75" customHeight="1" x14ac:dyDescent="0.2"/>
    <row r="2360" s="11" customFormat="1" ht="12.75" customHeight="1" x14ac:dyDescent="0.2"/>
    <row r="2361" s="11" customFormat="1" ht="12.75" customHeight="1" x14ac:dyDescent="0.2"/>
    <row r="2362" s="11" customFormat="1" ht="12.75" customHeight="1" x14ac:dyDescent="0.2"/>
    <row r="2363" s="11" customFormat="1" ht="12.75" customHeight="1" x14ac:dyDescent="0.2"/>
    <row r="2364" s="11" customFormat="1" ht="12.75" customHeight="1" x14ac:dyDescent="0.2"/>
    <row r="2365" s="11" customFormat="1" ht="12.75" customHeight="1" x14ac:dyDescent="0.2"/>
    <row r="2366" s="11" customFormat="1" ht="12.75" customHeight="1" x14ac:dyDescent="0.2"/>
    <row r="2367" s="11" customFormat="1" ht="12.75" customHeight="1" x14ac:dyDescent="0.2"/>
    <row r="2368" s="11" customFormat="1" ht="12.75" customHeight="1" x14ac:dyDescent="0.2"/>
    <row r="2369" s="11" customFormat="1" ht="12.75" customHeight="1" x14ac:dyDescent="0.2"/>
    <row r="2370" s="11" customFormat="1" ht="12.75" customHeight="1" x14ac:dyDescent="0.2"/>
    <row r="2371" s="11" customFormat="1" ht="12.75" customHeight="1" x14ac:dyDescent="0.2"/>
    <row r="2372" s="11" customFormat="1" ht="12.75" customHeight="1" x14ac:dyDescent="0.2"/>
    <row r="2373" s="11" customFormat="1" ht="12.75" customHeight="1" x14ac:dyDescent="0.2"/>
    <row r="2374" s="11" customFormat="1" ht="12.75" customHeight="1" x14ac:dyDescent="0.2"/>
    <row r="2375" s="11" customFormat="1" ht="12.75" customHeight="1" x14ac:dyDescent="0.2"/>
    <row r="2376" s="11" customFormat="1" ht="12.75" customHeight="1" x14ac:dyDescent="0.2"/>
    <row r="2377" s="11" customFormat="1" ht="12.75" customHeight="1" x14ac:dyDescent="0.2"/>
    <row r="2378" s="11" customFormat="1" ht="12.75" customHeight="1" x14ac:dyDescent="0.2"/>
  </sheetData>
  <phoneticPr fontId="6" type="noConversion"/>
  <conditionalFormatting sqref="E4:AC5 E3 G3:AC3 E1:AC2 E7:AC16 E21:AC21 E24:G29 K24:V29 E22:G22 I22:AC22 I24:I29 AA23:AC29 E30:AC56 E58:AC1048576 AA57:AC57">
    <cfRule type="cellIs" dxfId="46" priority="23" operator="equal">
      <formula>0</formula>
    </cfRule>
  </conditionalFormatting>
  <conditionalFormatting sqref="F3">
    <cfRule type="cellIs" dxfId="45" priority="22" operator="equal">
      <formula>0</formula>
    </cfRule>
  </conditionalFormatting>
  <conditionalFormatting sqref="E23:Z23">
    <cfRule type="cellIs" dxfId="44" priority="20" operator="equal">
      <formula>0</formula>
    </cfRule>
  </conditionalFormatting>
  <conditionalFormatting sqref="J24:J29">
    <cfRule type="cellIs" dxfId="43" priority="19" operator="equal">
      <formula>0</formula>
    </cfRule>
  </conditionalFormatting>
  <conditionalFormatting sqref="H22">
    <cfRule type="cellIs" dxfId="42" priority="18" operator="equal">
      <formula>0</formula>
    </cfRule>
  </conditionalFormatting>
  <conditionalFormatting sqref="H24:H29">
    <cfRule type="cellIs" dxfId="41" priority="17" operator="equal">
      <formula>0</formula>
    </cfRule>
  </conditionalFormatting>
  <conditionalFormatting sqref="W24:Z29">
    <cfRule type="cellIs" dxfId="40" priority="16" operator="equal">
      <formula>0</formula>
    </cfRule>
  </conditionalFormatting>
  <conditionalFormatting sqref="E17:G17 K17:V17 I17 AA17 AA20 I20 K20:P20 E20:G20 U20:V20 AC20 AC17:AC18">
    <cfRule type="cellIs" dxfId="39" priority="15" operator="equal">
      <formula>0</formula>
    </cfRule>
  </conditionalFormatting>
  <conditionalFormatting sqref="J17">
    <cfRule type="cellIs" dxfId="38" priority="14" operator="equal">
      <formula>0</formula>
    </cfRule>
  </conditionalFormatting>
  <conditionalFormatting sqref="H17">
    <cfRule type="cellIs" dxfId="37" priority="13" operator="equal">
      <formula>0</formula>
    </cfRule>
  </conditionalFormatting>
  <conditionalFormatting sqref="W17:Z17">
    <cfRule type="cellIs" dxfId="36" priority="12" operator="equal">
      <formula>0</formula>
    </cfRule>
  </conditionalFormatting>
  <conditionalFormatting sqref="AA19 AC19">
    <cfRule type="cellIs" dxfId="35" priority="11" operator="equal">
      <formula>0</formula>
    </cfRule>
  </conditionalFormatting>
  <conditionalFormatting sqref="E19:Z19">
    <cfRule type="cellIs" dxfId="34" priority="10" operator="equal">
      <formula>0</formula>
    </cfRule>
  </conditionalFormatting>
  <conditionalFormatting sqref="Q20:T20">
    <cfRule type="cellIs" dxfId="33" priority="9" operator="equal">
      <formula>0</formula>
    </cfRule>
  </conditionalFormatting>
  <conditionalFormatting sqref="J20">
    <cfRule type="cellIs" dxfId="32" priority="8" operator="equal">
      <formula>0</formula>
    </cfRule>
  </conditionalFormatting>
  <conditionalFormatting sqref="H20">
    <cfRule type="cellIs" dxfId="31" priority="7" operator="equal">
      <formula>0</formula>
    </cfRule>
  </conditionalFormatting>
  <conditionalFormatting sqref="W20:Z20">
    <cfRule type="cellIs" dxfId="30" priority="6" operator="equal">
      <formula>0</formula>
    </cfRule>
  </conditionalFormatting>
  <conditionalFormatting sqref="E18:G18 K18:V18 I18 AA18">
    <cfRule type="cellIs" dxfId="29" priority="5" operator="equal">
      <formula>0</formula>
    </cfRule>
  </conditionalFormatting>
  <conditionalFormatting sqref="J18">
    <cfRule type="cellIs" dxfId="28" priority="4" operator="equal">
      <formula>0</formula>
    </cfRule>
  </conditionalFormatting>
  <conditionalFormatting sqref="H18">
    <cfRule type="cellIs" dxfId="27" priority="3" operator="equal">
      <formula>0</formula>
    </cfRule>
  </conditionalFormatting>
  <conditionalFormatting sqref="W18:Z18">
    <cfRule type="cellIs" dxfId="26" priority="2" operator="equal">
      <formula>0</formula>
    </cfRule>
  </conditionalFormatting>
  <conditionalFormatting sqref="E57:Z57">
    <cfRule type="cellIs" dxfId="25" priority="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topLeftCell="A5" zoomScaleNormal="100" workbookViewId="0">
      <selection activeCell="K100" sqref="K100"/>
    </sheetView>
  </sheetViews>
  <sheetFormatPr defaultColWidth="9.140625" defaultRowHeight="12.75" x14ac:dyDescent="0.2"/>
  <cols>
    <col min="1" max="5" width="1.7109375" customWidth="1" collapsed="1"/>
    <col min="6" max="6" width="45.140625" customWidth="1" collapsed="1"/>
    <col min="7" max="7" width="22.7109375" style="172" customWidth="1" collapsed="1"/>
    <col min="8" max="8" width="10.7109375" style="172" customWidth="1" collapsed="1"/>
    <col min="9" max="9" width="9.140625" style="236" collapsed="1"/>
    <col min="10" max="13" width="9.140625" style="185" collapsed="1"/>
    <col min="14" max="14" width="9.140625" style="185"/>
    <col min="15" max="15" width="9.140625" style="185" collapsed="1"/>
    <col min="16" max="16" width="9.140625" style="185"/>
    <col min="17" max="29" width="9.140625" style="185" collapsed="1"/>
    <col min="30" max="33" width="9.140625" style="20" collapsed="1"/>
    <col min="34" max="34" width="9.140625" style="20"/>
    <col min="35" max="16384" width="9.140625" style="20" collapsed="1"/>
  </cols>
  <sheetData>
    <row r="1" spans="1:34" ht="12.75" customHeight="1" x14ac:dyDescent="0.25">
      <c r="A1" s="41" t="s">
        <v>4318</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2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2">
      <c r="A3" s="167" t="s">
        <v>68</v>
      </c>
      <c r="B3" s="167"/>
      <c r="C3" s="167"/>
      <c r="D3" s="167"/>
      <c r="E3" s="167"/>
      <c r="F3" s="167"/>
      <c r="G3" s="211"/>
      <c r="H3" s="212"/>
      <c r="I3" s="538" t="s">
        <v>4319</v>
      </c>
      <c r="J3" s="537" t="s">
        <v>275</v>
      </c>
      <c r="K3" s="537" t="s">
        <v>4320</v>
      </c>
      <c r="L3" s="824" t="s">
        <v>4321</v>
      </c>
      <c r="M3" s="537" t="s">
        <v>4322</v>
      </c>
      <c r="N3" s="824" t="s">
        <v>4323</v>
      </c>
      <c r="O3" s="537" t="s">
        <v>4324</v>
      </c>
      <c r="P3" s="824" t="s">
        <v>4323</v>
      </c>
      <c r="Q3" s="537" t="s">
        <v>4325</v>
      </c>
      <c r="R3" s="537" t="s">
        <v>4326</v>
      </c>
      <c r="S3" s="537" t="s">
        <v>4327</v>
      </c>
      <c r="T3" s="537" t="s">
        <v>4328</v>
      </c>
      <c r="U3" s="537" t="s">
        <v>4329</v>
      </c>
      <c r="V3" s="537"/>
      <c r="W3" s="537"/>
      <c r="X3" s="537"/>
      <c r="Y3" s="537"/>
      <c r="Z3" s="537"/>
      <c r="AA3" s="537"/>
      <c r="AB3" s="537"/>
      <c r="AC3" s="537"/>
      <c r="AD3" s="330"/>
      <c r="AE3" s="330"/>
      <c r="AF3" s="330"/>
      <c r="AG3" s="330"/>
      <c r="AH3" s="970"/>
    </row>
    <row r="4" spans="1:34" customFormat="1" ht="12.75" customHeight="1" x14ac:dyDescent="0.2">
      <c r="A4" s="147" t="s">
        <v>491</v>
      </c>
      <c r="B4" s="147"/>
      <c r="C4" s="147"/>
      <c r="D4" s="147"/>
      <c r="E4" s="147"/>
      <c r="F4" s="147"/>
      <c r="G4" s="148" t="s">
        <v>263</v>
      </c>
      <c r="H4" s="148" t="s">
        <v>279</v>
      </c>
      <c r="I4" s="331" t="s">
        <v>264</v>
      </c>
      <c r="J4" s="859"/>
      <c r="K4" s="859"/>
      <c r="L4" s="971"/>
      <c r="M4" s="971"/>
      <c r="N4" s="971"/>
      <c r="O4" s="971"/>
      <c r="P4" s="971"/>
      <c r="Q4" s="411"/>
      <c r="R4" s="859"/>
      <c r="S4" s="411"/>
      <c r="T4" s="828"/>
      <c r="U4" s="971"/>
      <c r="V4" s="859"/>
      <c r="W4" s="411"/>
      <c r="X4" s="828"/>
      <c r="Y4" s="971"/>
      <c r="Z4" s="411"/>
      <c r="AA4" s="411"/>
      <c r="AB4" s="411"/>
      <c r="AC4" s="411"/>
      <c r="AD4" s="411"/>
      <c r="AE4" s="411"/>
      <c r="AF4" s="411"/>
      <c r="AG4" s="411"/>
    </row>
    <row r="5" spans="1:34" x14ac:dyDescent="0.2">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2">
      <c r="A6" s="898" t="s">
        <v>4330</v>
      </c>
      <c r="B6" s="827"/>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2">
      <c r="A7" s="899" t="s">
        <v>63</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2">
      <c r="A8" s="216"/>
      <c r="B8" s="216" t="s">
        <v>492</v>
      </c>
      <c r="C8" s="243"/>
      <c r="D8" s="228"/>
      <c r="E8" s="17"/>
      <c r="F8" s="17"/>
      <c r="G8" s="38" t="s">
        <v>493</v>
      </c>
      <c r="H8" s="38" t="s">
        <v>494</v>
      </c>
      <c r="I8" s="272">
        <f>E.aRS/1000*(Molweight*3600*24*365)</f>
        <v>10000</v>
      </c>
      <c r="J8" s="561">
        <v>10000</v>
      </c>
      <c r="K8" s="293">
        <v>0</v>
      </c>
      <c r="L8" s="293"/>
      <c r="M8" s="293"/>
      <c r="N8" s="293"/>
      <c r="O8" s="293"/>
      <c r="P8" s="293"/>
      <c r="Q8" s="737">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2">
      <c r="A9" s="216"/>
      <c r="B9" s="216" t="s">
        <v>496</v>
      </c>
      <c r="C9" s="243"/>
      <c r="D9" s="228"/>
      <c r="E9" s="17"/>
      <c r="F9" s="17"/>
      <c r="G9" s="38" t="s">
        <v>497</v>
      </c>
      <c r="H9" s="38" t="s">
        <v>494</v>
      </c>
      <c r="I9" s="272">
        <f>E.w0RS/1000*(Molweight*3600*24*365)</f>
        <v>0</v>
      </c>
      <c r="J9" s="561">
        <v>0</v>
      </c>
      <c r="K9" s="293">
        <v>0</v>
      </c>
      <c r="L9" s="293"/>
      <c r="M9" s="293"/>
      <c r="N9" s="293"/>
      <c r="O9" s="293"/>
      <c r="P9" s="293"/>
      <c r="Q9" s="737">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2">
      <c r="A10" s="216"/>
      <c r="B10" s="216" t="s">
        <v>4331</v>
      </c>
      <c r="C10" s="243"/>
      <c r="D10" s="228"/>
      <c r="E10" s="17"/>
      <c r="F10" s="17"/>
      <c r="G10" s="38" t="s">
        <v>499</v>
      </c>
      <c r="H10" s="38" t="s">
        <v>494</v>
      </c>
      <c r="I10" s="272">
        <f>E.w1RS/1000*(Molweight*3600*24*365)</f>
        <v>10000</v>
      </c>
      <c r="J10" s="561">
        <v>10000</v>
      </c>
      <c r="K10" s="293">
        <v>0</v>
      </c>
      <c r="L10" s="293"/>
      <c r="M10" s="293"/>
      <c r="N10" s="293"/>
      <c r="O10" s="293"/>
      <c r="P10" s="293"/>
      <c r="Q10" s="737">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2">
      <c r="A11" s="216"/>
      <c r="B11" s="216" t="s">
        <v>4332</v>
      </c>
      <c r="C11" s="243"/>
      <c r="D11" s="228"/>
      <c r="E11" s="17"/>
      <c r="F11" s="17"/>
      <c r="G11" s="38" t="s">
        <v>501</v>
      </c>
      <c r="H11" s="38" t="s">
        <v>494</v>
      </c>
      <c r="I11" s="272">
        <f>E.w2RS/1000*(Molweight*3600*24*365)</f>
        <v>0</v>
      </c>
      <c r="J11" s="561">
        <v>0</v>
      </c>
      <c r="K11" s="293">
        <v>0</v>
      </c>
      <c r="L11" s="293"/>
      <c r="M11" s="293"/>
      <c r="N11" s="293"/>
      <c r="O11" s="293"/>
      <c r="P11" s="293"/>
      <c r="Q11" s="737">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2">
      <c r="A12" s="216"/>
      <c r="B12" s="216" t="s">
        <v>502</v>
      </c>
      <c r="C12" s="243"/>
      <c r="D12" s="228"/>
      <c r="E12" s="17"/>
      <c r="F12" s="17"/>
      <c r="G12" s="38" t="s">
        <v>503</v>
      </c>
      <c r="H12" s="38" t="s">
        <v>494</v>
      </c>
      <c r="I12" s="272">
        <f>E.s1RS/1000*(Molweight*3600*24*365)</f>
        <v>0</v>
      </c>
      <c r="J12" s="562">
        <v>0</v>
      </c>
      <c r="K12" s="293">
        <v>0</v>
      </c>
      <c r="L12" s="293"/>
      <c r="M12" s="293"/>
      <c r="N12" s="293"/>
      <c r="O12" s="293"/>
      <c r="P12" s="293"/>
      <c r="Q12" s="737">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2">
      <c r="A13" s="216"/>
      <c r="B13" s="216" t="s">
        <v>504</v>
      </c>
      <c r="C13" s="243"/>
      <c r="D13" s="228"/>
      <c r="E13" s="17"/>
      <c r="F13" s="17"/>
      <c r="G13" s="38" t="s">
        <v>505</v>
      </c>
      <c r="H13" s="38" t="s">
        <v>494</v>
      </c>
      <c r="I13" s="272">
        <f>E.s2RS/1000*(Molweight*3600*24*365)</f>
        <v>10000</v>
      </c>
      <c r="J13" s="561">
        <v>10000</v>
      </c>
      <c r="K13" s="293">
        <v>0</v>
      </c>
      <c r="L13" s="293"/>
      <c r="M13" s="293"/>
      <c r="N13" s="293"/>
      <c r="O13" s="293"/>
      <c r="P13" s="293"/>
      <c r="Q13" s="737">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2">
      <c r="A14" s="216"/>
      <c r="B14" s="216" t="s">
        <v>507</v>
      </c>
      <c r="C14" s="243"/>
      <c r="D14" s="228"/>
      <c r="E14" s="17"/>
      <c r="F14" s="17"/>
      <c r="G14" s="38" t="s">
        <v>508</v>
      </c>
      <c r="H14" s="38" t="s">
        <v>494</v>
      </c>
      <c r="I14" s="272">
        <f>E.s3RS/1000*(Molweight*3600*24*365)</f>
        <v>0</v>
      </c>
      <c r="J14" s="561">
        <v>0</v>
      </c>
      <c r="K14" s="293">
        <v>0</v>
      </c>
      <c r="L14" s="293"/>
      <c r="M14" s="293"/>
      <c r="N14" s="293"/>
      <c r="O14" s="293"/>
      <c r="P14" s="293"/>
      <c r="Q14" s="737">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2">
      <c r="A15" s="899" t="s">
        <v>216</v>
      </c>
      <c r="B15" s="228"/>
      <c r="C15" s="243"/>
      <c r="D15" s="228"/>
      <c r="E15" s="17"/>
      <c r="F15" s="17"/>
      <c r="G15" s="149"/>
      <c r="H15" s="38"/>
      <c r="I15" s="142"/>
      <c r="J15" s="293"/>
      <c r="K15" s="293"/>
      <c r="L15" s="293"/>
      <c r="M15" s="293"/>
      <c r="N15" s="293"/>
      <c r="O15" s="293"/>
      <c r="P15" s="293"/>
      <c r="Q15" s="737" t="s">
        <v>4249</v>
      </c>
      <c r="R15" s="293"/>
      <c r="S15" s="293"/>
      <c r="T15" s="293"/>
      <c r="U15" s="293"/>
      <c r="V15" s="293"/>
      <c r="W15" s="293"/>
      <c r="X15" s="293"/>
      <c r="Y15" s="293"/>
      <c r="Z15" s="293"/>
      <c r="AA15" s="293"/>
      <c r="AB15" s="293"/>
      <c r="AC15" s="293"/>
      <c r="AD15" s="136"/>
      <c r="AE15" s="136"/>
      <c r="AF15" s="136"/>
      <c r="AG15" s="136"/>
    </row>
    <row r="16" spans="1:34" s="433" customFormat="1" ht="15" x14ac:dyDescent="0.2">
      <c r="A16" s="216"/>
      <c r="B16" s="216" t="s">
        <v>492</v>
      </c>
      <c r="C16" s="243"/>
      <c r="D16" s="228"/>
      <c r="E16" s="17"/>
      <c r="F16" s="17"/>
      <c r="G16" s="38" t="s">
        <v>509</v>
      </c>
      <c r="H16" s="38" t="s">
        <v>494</v>
      </c>
      <c r="I16" s="272">
        <f>E.aCS/1000*(Molweight*3600*24*365)</f>
        <v>0</v>
      </c>
      <c r="J16" s="293">
        <v>0</v>
      </c>
      <c r="K16" s="293">
        <v>0</v>
      </c>
      <c r="L16" s="293"/>
      <c r="M16" s="293"/>
      <c r="N16" s="293"/>
      <c r="O16" s="293"/>
      <c r="P16" s="293"/>
      <c r="Q16" s="737">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2">
      <c r="A17" s="216"/>
      <c r="B17" s="216" t="s">
        <v>496</v>
      </c>
      <c r="C17" s="243"/>
      <c r="D17" s="228"/>
      <c r="E17" s="17"/>
      <c r="F17" s="17"/>
      <c r="G17" s="38" t="s">
        <v>510</v>
      </c>
      <c r="H17" s="38" t="s">
        <v>494</v>
      </c>
      <c r="I17" s="272">
        <f>E.w0CS/1000*(Molweight*3600*24*365)</f>
        <v>0</v>
      </c>
      <c r="J17" s="293">
        <v>0</v>
      </c>
      <c r="K17" s="293">
        <v>0</v>
      </c>
      <c r="L17" s="293"/>
      <c r="M17" s="293"/>
      <c r="N17" s="293"/>
      <c r="O17" s="293"/>
      <c r="P17" s="293"/>
      <c r="Q17" s="737">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2">
      <c r="A18" s="216"/>
      <c r="B18" s="216" t="s">
        <v>4331</v>
      </c>
      <c r="C18" s="243"/>
      <c r="D18" s="228"/>
      <c r="E18" s="17"/>
      <c r="F18" s="17"/>
      <c r="G18" s="38" t="s">
        <v>511</v>
      </c>
      <c r="H18" s="38" t="s">
        <v>494</v>
      </c>
      <c r="I18" s="272">
        <f>E.w1CS/1000*(Molweight*3600*24*365)</f>
        <v>0</v>
      </c>
      <c r="J18" s="293">
        <v>0</v>
      </c>
      <c r="K18" s="293">
        <v>0</v>
      </c>
      <c r="L18" s="293"/>
      <c r="M18" s="293"/>
      <c r="N18" s="293"/>
      <c r="O18" s="293"/>
      <c r="P18" s="293"/>
      <c r="Q18" s="737">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2">
      <c r="A19" s="216"/>
      <c r="B19" s="216" t="s">
        <v>4332</v>
      </c>
      <c r="C19" s="243"/>
      <c r="D19" s="228"/>
      <c r="E19" s="17"/>
      <c r="F19" s="17"/>
      <c r="G19" s="38" t="s">
        <v>512</v>
      </c>
      <c r="H19" s="38" t="s">
        <v>494</v>
      </c>
      <c r="I19" s="272">
        <f>E.w2CS/1000*(Molweight*3600*24*365)</f>
        <v>0</v>
      </c>
      <c r="J19" s="293">
        <v>0</v>
      </c>
      <c r="K19" s="293">
        <v>0</v>
      </c>
      <c r="L19" s="293"/>
      <c r="M19" s="293"/>
      <c r="N19" s="293"/>
      <c r="O19" s="293"/>
      <c r="P19" s="293"/>
      <c r="Q19" s="737">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2">
      <c r="A20" s="216"/>
      <c r="B20" s="216" t="s">
        <v>502</v>
      </c>
      <c r="C20" s="243"/>
      <c r="D20" s="228"/>
      <c r="E20" s="17"/>
      <c r="F20" s="17"/>
      <c r="G20" s="38" t="s">
        <v>513</v>
      </c>
      <c r="H20" s="38" t="s">
        <v>494</v>
      </c>
      <c r="I20" s="272">
        <f>E.s1CS/1000*(Molweight*3600*24*365)</f>
        <v>0</v>
      </c>
      <c r="J20" s="293">
        <v>0</v>
      </c>
      <c r="K20" s="293">
        <v>0</v>
      </c>
      <c r="L20" s="293"/>
      <c r="M20" s="293"/>
      <c r="N20" s="293"/>
      <c r="O20" s="293"/>
      <c r="P20" s="293"/>
      <c r="Q20" s="737">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2">
      <c r="A21" s="216"/>
      <c r="B21" s="216" t="s">
        <v>504</v>
      </c>
      <c r="C21" s="243"/>
      <c r="D21" s="228"/>
      <c r="E21" s="17"/>
      <c r="F21" s="17"/>
      <c r="G21" s="38" t="s">
        <v>514</v>
      </c>
      <c r="H21" s="38" t="s">
        <v>494</v>
      </c>
      <c r="I21" s="272">
        <f>E.s2CS/1000*(Molweight*3600*24*365)</f>
        <v>0</v>
      </c>
      <c r="J21" s="293">
        <v>0</v>
      </c>
      <c r="K21" s="293">
        <v>0</v>
      </c>
      <c r="L21" s="293"/>
      <c r="M21" s="293"/>
      <c r="N21" s="293"/>
      <c r="O21" s="293"/>
      <c r="P21" s="293"/>
      <c r="Q21" s="737">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2">
      <c r="A22" s="216"/>
      <c r="B22" s="216" t="s">
        <v>507</v>
      </c>
      <c r="C22" s="243"/>
      <c r="D22" s="228"/>
      <c r="E22" s="17"/>
      <c r="F22" s="17"/>
      <c r="G22" s="38" t="s">
        <v>515</v>
      </c>
      <c r="H22" s="38" t="s">
        <v>494</v>
      </c>
      <c r="I22" s="272">
        <f>E.s3CS/1000*(Molweight*3600*24*365)</f>
        <v>0</v>
      </c>
      <c r="J22" s="293">
        <v>0</v>
      </c>
      <c r="K22" s="293">
        <v>0</v>
      </c>
      <c r="L22" s="293"/>
      <c r="M22" s="293"/>
      <c r="N22" s="293"/>
      <c r="O22" s="293"/>
      <c r="P22" s="293"/>
      <c r="Q22" s="737">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2">
      <c r="A23" s="899" t="s">
        <v>232</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2">
      <c r="A24" s="216"/>
      <c r="B24" s="216" t="s">
        <v>492</v>
      </c>
      <c r="C24" s="243"/>
      <c r="D24" s="228"/>
      <c r="E24" s="17"/>
      <c r="F24" s="17"/>
      <c r="G24" s="38" t="s">
        <v>516</v>
      </c>
      <c r="H24" s="38" t="s">
        <v>494</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2">
      <c r="A25" s="216"/>
      <c r="B25" s="216" t="s">
        <v>517</v>
      </c>
      <c r="C25" s="243"/>
      <c r="D25" s="228"/>
      <c r="E25" s="17"/>
      <c r="F25" s="17"/>
      <c r="G25" s="38" t="s">
        <v>518</v>
      </c>
      <c r="H25" s="38" t="s">
        <v>494</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2">
      <c r="A26" s="216"/>
      <c r="B26" s="216" t="s">
        <v>519</v>
      </c>
      <c r="C26" s="243"/>
      <c r="D26" s="228"/>
      <c r="E26" s="17"/>
      <c r="F26" s="17"/>
      <c r="G26" s="38" t="s">
        <v>520</v>
      </c>
      <c r="H26" s="38" t="s">
        <v>494</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2">
      <c r="A27" s="821" t="s">
        <v>233</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2">
      <c r="A28" s="216"/>
      <c r="B28" s="216" t="s">
        <v>492</v>
      </c>
      <c r="C28" s="243"/>
      <c r="D28" s="228"/>
      <c r="E28" s="17"/>
      <c r="F28" s="17"/>
      <c r="G28" s="38" t="s">
        <v>521</v>
      </c>
      <c r="H28" s="38" t="s">
        <v>494</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2">
      <c r="A29" s="216"/>
      <c r="B29" s="216" t="s">
        <v>517</v>
      </c>
      <c r="C29" s="243"/>
      <c r="D29" s="228"/>
      <c r="E29" s="17"/>
      <c r="F29" s="17"/>
      <c r="G29" s="38" t="s">
        <v>522</v>
      </c>
      <c r="H29" s="38" t="s">
        <v>494</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2">
      <c r="A30" s="216"/>
      <c r="B30" s="216" t="s">
        <v>519</v>
      </c>
      <c r="C30" s="243"/>
      <c r="D30" s="228"/>
      <c r="E30" s="17"/>
      <c r="F30" s="17"/>
      <c r="G30" s="38" t="s">
        <v>523</v>
      </c>
      <c r="H30" s="38" t="s">
        <v>494</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2">
      <c r="A31" s="899" t="s">
        <v>524</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2">
      <c r="A32" s="216"/>
      <c r="B32" s="216" t="s">
        <v>492</v>
      </c>
      <c r="C32" s="243"/>
      <c r="D32" s="228"/>
      <c r="E32" s="17"/>
      <c r="F32" s="17"/>
      <c r="G32" s="38" t="s">
        <v>525</v>
      </c>
      <c r="H32" s="38" t="s">
        <v>494</v>
      </c>
      <c r="I32" s="272">
        <f>E.aTS/1000*(Molweight*3600*24*365)</f>
        <v>0</v>
      </c>
      <c r="J32" s="564">
        <v>0</v>
      </c>
      <c r="K32" s="564">
        <v>0</v>
      </c>
      <c r="L32" s="564"/>
      <c r="M32" s="564"/>
      <c r="N32" s="564"/>
      <c r="O32" s="564"/>
      <c r="P32" s="564"/>
      <c r="Q32" s="564"/>
      <c r="R32" s="564">
        <v>0</v>
      </c>
      <c r="S32" s="564">
        <v>0</v>
      </c>
      <c r="T32" s="564">
        <v>0</v>
      </c>
      <c r="U32" s="564">
        <v>0</v>
      </c>
      <c r="V32" s="564"/>
      <c r="W32" s="564"/>
      <c r="X32" s="564"/>
      <c r="Y32" s="564"/>
      <c r="Z32" s="564"/>
      <c r="AA32" s="564"/>
      <c r="AB32" s="564"/>
      <c r="AC32" s="564"/>
      <c r="AD32" s="136"/>
      <c r="AE32" s="136"/>
      <c r="AF32" s="136"/>
      <c r="AG32" s="136"/>
    </row>
    <row r="33" spans="1:33" s="433" customFormat="1" ht="15" x14ac:dyDescent="0.2">
      <c r="A33" s="216"/>
      <c r="B33" s="216" t="s">
        <v>517</v>
      </c>
      <c r="C33" s="243"/>
      <c r="D33" s="228"/>
      <c r="E33" s="17"/>
      <c r="F33" s="17"/>
      <c r="G33" s="38" t="s">
        <v>526</v>
      </c>
      <c r="H33" s="38" t="s">
        <v>494</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2">
      <c r="A34" s="216"/>
      <c r="B34" s="216" t="s">
        <v>519</v>
      </c>
      <c r="C34" s="243"/>
      <c r="D34" s="228"/>
      <c r="E34" s="17"/>
      <c r="F34" s="17"/>
      <c r="G34" s="38" t="s">
        <v>527</v>
      </c>
      <c r="H34" s="38" t="s">
        <v>494</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2">
      <c r="A35" s="38"/>
      <c r="B35" s="17"/>
      <c r="C35" s="17"/>
      <c r="D35" s="17"/>
      <c r="E35" s="17"/>
      <c r="F35" s="17"/>
      <c r="G35" s="38"/>
      <c r="H35" s="38"/>
      <c r="I35" s="231"/>
      <c r="J35" s="561"/>
      <c r="K35" s="561"/>
      <c r="L35" s="562"/>
      <c r="M35" s="562"/>
      <c r="N35" s="562"/>
      <c r="O35" s="562"/>
      <c r="P35" s="562"/>
      <c r="Q35" s="562"/>
      <c r="R35" s="562"/>
      <c r="S35" s="562"/>
      <c r="T35" s="562"/>
      <c r="U35" s="562"/>
      <c r="V35" s="562"/>
      <c r="W35" s="562"/>
      <c r="X35" s="562"/>
      <c r="Y35" s="562"/>
      <c r="Z35" s="562"/>
      <c r="AA35" s="562"/>
      <c r="AB35" s="562"/>
      <c r="AC35" s="562"/>
      <c r="AD35" s="124"/>
      <c r="AE35" s="124"/>
      <c r="AF35" s="124"/>
      <c r="AG35" s="124"/>
    </row>
    <row r="36" spans="1:33" x14ac:dyDescent="0.2">
      <c r="A36" s="761" t="s">
        <v>652</v>
      </c>
      <c r="B36" s="764"/>
      <c r="C36" s="357"/>
      <c r="D36" s="168"/>
      <c r="E36" s="168"/>
      <c r="F36" s="168"/>
      <c r="G36" s="357"/>
      <c r="H36" s="357"/>
      <c r="I36" s="232"/>
      <c r="J36" s="561"/>
      <c r="K36" s="561"/>
      <c r="L36" s="562"/>
      <c r="M36" s="562"/>
      <c r="N36" s="562"/>
      <c r="O36" s="562"/>
      <c r="P36" s="562"/>
      <c r="Q36" s="562"/>
      <c r="R36" s="561"/>
      <c r="S36" s="561"/>
      <c r="T36" s="562"/>
      <c r="U36" s="562"/>
      <c r="V36" s="561"/>
      <c r="W36" s="561"/>
      <c r="X36" s="562"/>
      <c r="Y36" s="562"/>
      <c r="Z36" s="562"/>
      <c r="AA36" s="562"/>
      <c r="AB36" s="562"/>
      <c r="AC36" s="562"/>
      <c r="AD36" s="124"/>
      <c r="AE36" s="124"/>
      <c r="AF36" s="124"/>
      <c r="AG36" s="124"/>
    </row>
    <row r="37" spans="1:33" x14ac:dyDescent="0.2">
      <c r="A37" s="74" t="s">
        <v>63</v>
      </c>
      <c r="B37" s="17"/>
      <c r="C37" s="17"/>
      <c r="D37" s="17"/>
      <c r="E37" s="17"/>
      <c r="F37" s="17"/>
      <c r="G37" s="38"/>
      <c r="H37" s="38"/>
      <c r="I37" s="232"/>
      <c r="J37" s="561"/>
      <c r="K37" s="561"/>
      <c r="L37" s="562"/>
      <c r="M37" s="562"/>
      <c r="N37" s="562"/>
      <c r="O37" s="562"/>
      <c r="P37" s="562"/>
      <c r="Q37" s="562"/>
      <c r="R37" s="561"/>
      <c r="S37" s="561"/>
      <c r="T37" s="562"/>
      <c r="U37" s="562"/>
      <c r="V37" s="561"/>
      <c r="W37" s="561"/>
      <c r="X37" s="562"/>
      <c r="Y37" s="562"/>
      <c r="Z37" s="562"/>
      <c r="AA37" s="562"/>
      <c r="AB37" s="562"/>
      <c r="AC37" s="562"/>
      <c r="AD37" s="124"/>
      <c r="AE37" s="124"/>
      <c r="AF37" s="124"/>
      <c r="AG37" s="124"/>
    </row>
    <row r="38" spans="1:33" x14ac:dyDescent="0.2">
      <c r="A38" s="38"/>
      <c r="B38" s="38" t="s">
        <v>492</v>
      </c>
      <c r="C38" s="17"/>
      <c r="D38" s="17"/>
      <c r="E38" s="17"/>
      <c r="F38" s="17"/>
      <c r="G38" s="38" t="s">
        <v>653</v>
      </c>
      <c r="H38" s="38" t="s">
        <v>4333</v>
      </c>
      <c r="I38" s="272">
        <f>E.aRG/1000*(Molweight*3600*24*365)</f>
        <v>10000</v>
      </c>
      <c r="J38" s="561">
        <v>10000</v>
      </c>
      <c r="K38" s="561">
        <v>1</v>
      </c>
      <c r="L38" s="561">
        <v>0</v>
      </c>
      <c r="M38" s="561">
        <v>0</v>
      </c>
      <c r="N38" s="561">
        <v>0</v>
      </c>
      <c r="O38" s="561">
        <v>0</v>
      </c>
      <c r="P38" s="561">
        <v>0</v>
      </c>
      <c r="Q38" s="561">
        <v>0</v>
      </c>
      <c r="R38" s="561">
        <v>0</v>
      </c>
      <c r="S38" s="561">
        <v>0</v>
      </c>
      <c r="T38" s="561">
        <v>0</v>
      </c>
      <c r="U38" s="561">
        <v>0</v>
      </c>
      <c r="V38" s="561"/>
      <c r="W38" s="561"/>
      <c r="X38" s="561"/>
      <c r="Y38" s="561"/>
      <c r="Z38" s="561"/>
      <c r="AA38" s="561"/>
      <c r="AB38" s="561"/>
      <c r="AC38" s="561"/>
      <c r="AD38" s="124"/>
      <c r="AE38" s="124"/>
      <c r="AF38" s="124"/>
      <c r="AG38" s="124"/>
    </row>
    <row r="39" spans="1:33" x14ac:dyDescent="0.2">
      <c r="A39" s="38"/>
      <c r="B39" s="38" t="s">
        <v>4334</v>
      </c>
      <c r="C39" s="17"/>
      <c r="D39" s="17"/>
      <c r="E39" s="17"/>
      <c r="F39" s="17"/>
      <c r="G39" s="38" t="s">
        <v>654</v>
      </c>
      <c r="H39" s="38" t="s">
        <v>4333</v>
      </c>
      <c r="I39" s="272">
        <f>E.w0RD/1000*(Molweight*3600*24*365)</f>
        <v>0</v>
      </c>
      <c r="J39" s="561">
        <v>0</v>
      </c>
      <c r="K39" s="561">
        <v>0</v>
      </c>
      <c r="L39" s="561"/>
      <c r="M39" s="561"/>
      <c r="N39" s="561"/>
      <c r="O39" s="561"/>
      <c r="P39" s="561"/>
      <c r="Q39" s="561"/>
      <c r="R39" s="561">
        <v>0</v>
      </c>
      <c r="S39" s="561">
        <v>0</v>
      </c>
      <c r="T39" s="561">
        <v>0</v>
      </c>
      <c r="U39" s="561">
        <v>0</v>
      </c>
      <c r="V39" s="561"/>
      <c r="W39" s="561"/>
      <c r="X39" s="561"/>
      <c r="Y39" s="561"/>
      <c r="Z39" s="561"/>
      <c r="AA39" s="561"/>
      <c r="AB39" s="561"/>
      <c r="AC39" s="561"/>
      <c r="AD39" s="124"/>
      <c r="AE39" s="124"/>
      <c r="AF39" s="124"/>
      <c r="AG39" s="124"/>
    </row>
    <row r="40" spans="1:33" x14ac:dyDescent="0.2">
      <c r="A40" s="38"/>
      <c r="B40" s="38" t="s">
        <v>4335</v>
      </c>
      <c r="C40" s="17"/>
      <c r="D40" s="17"/>
      <c r="E40" s="17"/>
      <c r="F40" s="17"/>
      <c r="G40" s="38" t="s">
        <v>655</v>
      </c>
      <c r="H40" s="38" t="s">
        <v>4333</v>
      </c>
      <c r="I40" s="272">
        <f>E.w1RD/1000*(Molweight*3600*24*365)</f>
        <v>10000</v>
      </c>
      <c r="J40" s="561">
        <v>10000</v>
      </c>
      <c r="K40" s="561">
        <v>0</v>
      </c>
      <c r="L40" s="561">
        <v>0</v>
      </c>
      <c r="M40" s="561">
        <v>0</v>
      </c>
      <c r="N40" s="561">
        <v>0</v>
      </c>
      <c r="O40" s="561">
        <v>0</v>
      </c>
      <c r="P40" s="561">
        <v>0</v>
      </c>
      <c r="Q40" s="561">
        <v>0</v>
      </c>
      <c r="R40" s="561">
        <v>0</v>
      </c>
      <c r="S40" s="561">
        <v>0</v>
      </c>
      <c r="T40" s="561">
        <v>0</v>
      </c>
      <c r="U40" s="561">
        <v>0</v>
      </c>
      <c r="V40" s="561"/>
      <c r="W40" s="561"/>
      <c r="X40" s="561"/>
      <c r="Y40" s="561"/>
      <c r="Z40" s="561"/>
      <c r="AA40" s="561"/>
      <c r="AB40" s="561"/>
      <c r="AC40" s="561"/>
      <c r="AD40" s="124"/>
      <c r="AE40" s="124"/>
      <c r="AF40" s="124"/>
      <c r="AG40" s="124"/>
    </row>
    <row r="41" spans="1:33" x14ac:dyDescent="0.2">
      <c r="A41" s="38"/>
      <c r="B41" s="38" t="s">
        <v>4336</v>
      </c>
      <c r="C41" s="17"/>
      <c r="D41" s="17"/>
      <c r="E41" s="17"/>
      <c r="F41" s="17"/>
      <c r="G41" s="38" t="s">
        <v>656</v>
      </c>
      <c r="H41" s="38" t="s">
        <v>4333</v>
      </c>
      <c r="I41" s="272">
        <f>E.w2RD/1000*(Molweight*3600*24*365)</f>
        <v>0</v>
      </c>
      <c r="J41" s="561">
        <v>0</v>
      </c>
      <c r="K41" s="561">
        <v>0</v>
      </c>
      <c r="L41" s="561"/>
      <c r="M41" s="561"/>
      <c r="N41" s="561"/>
      <c r="O41" s="561"/>
      <c r="P41" s="561"/>
      <c r="Q41" s="561"/>
      <c r="R41" s="561">
        <v>0</v>
      </c>
      <c r="S41" s="561">
        <v>0</v>
      </c>
      <c r="T41" s="561">
        <v>0</v>
      </c>
      <c r="U41" s="561">
        <v>0</v>
      </c>
      <c r="V41" s="561"/>
      <c r="W41" s="561"/>
      <c r="X41" s="561"/>
      <c r="Y41" s="561"/>
      <c r="Z41" s="561"/>
      <c r="AA41" s="561"/>
      <c r="AB41" s="561"/>
      <c r="AC41" s="561"/>
      <c r="AD41" s="124"/>
      <c r="AE41" s="124"/>
      <c r="AF41" s="124"/>
      <c r="AG41" s="124"/>
    </row>
    <row r="42" spans="1:33" x14ac:dyDescent="0.2">
      <c r="A42" s="38"/>
      <c r="B42" s="38" t="s">
        <v>502</v>
      </c>
      <c r="C42" s="17"/>
      <c r="D42" s="17"/>
      <c r="E42" s="17"/>
      <c r="F42" s="17"/>
      <c r="G42" s="38" t="s">
        <v>657</v>
      </c>
      <c r="H42" s="38" t="s">
        <v>4333</v>
      </c>
      <c r="I42" s="272">
        <f>E.s1RD/1000*(Molweight*3600*24*365)</f>
        <v>0</v>
      </c>
      <c r="J42" s="562">
        <v>0</v>
      </c>
      <c r="K42" s="562">
        <v>0</v>
      </c>
      <c r="L42" s="562"/>
      <c r="M42" s="562"/>
      <c r="N42" s="562"/>
      <c r="O42" s="562"/>
      <c r="P42" s="562"/>
      <c r="Q42" s="562"/>
      <c r="R42" s="562">
        <v>0</v>
      </c>
      <c r="S42" s="562">
        <v>0</v>
      </c>
      <c r="T42" s="562">
        <v>0</v>
      </c>
      <c r="U42" s="562">
        <v>0</v>
      </c>
      <c r="V42" s="562"/>
      <c r="W42" s="562"/>
      <c r="X42" s="562"/>
      <c r="Y42" s="562"/>
      <c r="Z42" s="562"/>
      <c r="AA42" s="562"/>
      <c r="AB42" s="562"/>
      <c r="AC42" s="562"/>
      <c r="AD42" s="124"/>
      <c r="AE42" s="124"/>
      <c r="AF42" s="124"/>
      <c r="AG42" s="124"/>
    </row>
    <row r="43" spans="1:33" x14ac:dyDescent="0.2">
      <c r="A43" s="38"/>
      <c r="B43" s="38" t="s">
        <v>504</v>
      </c>
      <c r="C43" s="17"/>
      <c r="D43" s="17"/>
      <c r="E43" s="17"/>
      <c r="F43" s="17"/>
      <c r="G43" s="38" t="s">
        <v>658</v>
      </c>
      <c r="H43" s="38" t="s">
        <v>4333</v>
      </c>
      <c r="I43" s="272">
        <f>E.s2RD/1000*(Molweight*3600*24*365)</f>
        <v>10000</v>
      </c>
      <c r="J43" s="561">
        <v>10000</v>
      </c>
      <c r="K43" s="561">
        <v>0</v>
      </c>
      <c r="L43" s="561">
        <v>0</v>
      </c>
      <c r="M43" s="561">
        <v>0</v>
      </c>
      <c r="N43" s="561">
        <v>0</v>
      </c>
      <c r="O43" s="561">
        <v>0</v>
      </c>
      <c r="P43" s="561">
        <v>0</v>
      </c>
      <c r="Q43" s="561">
        <v>0</v>
      </c>
      <c r="R43" s="561">
        <v>0</v>
      </c>
      <c r="S43" s="561">
        <v>0</v>
      </c>
      <c r="T43" s="561">
        <v>0</v>
      </c>
      <c r="U43" s="561">
        <v>0</v>
      </c>
      <c r="V43" s="561"/>
      <c r="W43" s="561"/>
      <c r="X43" s="561"/>
      <c r="Y43" s="561"/>
      <c r="Z43" s="561"/>
      <c r="AA43" s="561"/>
      <c r="AB43" s="561"/>
      <c r="AC43" s="561"/>
      <c r="AD43" s="124"/>
      <c r="AE43" s="124"/>
      <c r="AF43" s="124"/>
      <c r="AG43" s="124"/>
    </row>
    <row r="44" spans="1:33" x14ac:dyDescent="0.2">
      <c r="A44" s="38"/>
      <c r="B44" s="38" t="s">
        <v>507</v>
      </c>
      <c r="C44" s="17"/>
      <c r="D44" s="17"/>
      <c r="E44" s="17"/>
      <c r="F44" s="17"/>
      <c r="G44" s="38" t="s">
        <v>659</v>
      </c>
      <c r="H44" s="38" t="s">
        <v>4333</v>
      </c>
      <c r="I44" s="272">
        <f>E.s3RD/1000*(Molweight*3600*24*365)</f>
        <v>0</v>
      </c>
      <c r="J44" s="561">
        <v>0</v>
      </c>
      <c r="K44" s="561">
        <v>0</v>
      </c>
      <c r="L44" s="561"/>
      <c r="M44" s="561"/>
      <c r="N44" s="561"/>
      <c r="O44" s="561"/>
      <c r="P44" s="561"/>
      <c r="Q44" s="561"/>
      <c r="R44" s="561">
        <v>0</v>
      </c>
      <c r="S44" s="561">
        <v>0</v>
      </c>
      <c r="T44" s="561">
        <v>0</v>
      </c>
      <c r="U44" s="561">
        <v>0</v>
      </c>
      <c r="V44" s="561"/>
      <c r="W44" s="561"/>
      <c r="X44" s="561"/>
      <c r="Y44" s="561"/>
      <c r="Z44" s="561"/>
      <c r="AA44" s="561"/>
      <c r="AB44" s="561"/>
      <c r="AC44" s="561"/>
      <c r="AD44" s="124"/>
      <c r="AE44" s="124"/>
      <c r="AF44" s="124"/>
      <c r="AG44" s="124"/>
    </row>
    <row r="45" spans="1:33" x14ac:dyDescent="0.2">
      <c r="A45" s="74" t="s">
        <v>216</v>
      </c>
      <c r="B45" s="17"/>
      <c r="C45" s="17"/>
      <c r="D45" s="17"/>
      <c r="E45" s="17"/>
      <c r="F45" s="17"/>
      <c r="G45" s="149"/>
      <c r="H45" s="38"/>
      <c r="I45" s="142"/>
      <c r="J45" s="561"/>
      <c r="K45" s="561"/>
      <c r="L45" s="561"/>
      <c r="M45" s="561"/>
      <c r="N45" s="561"/>
      <c r="O45" s="561"/>
      <c r="P45" s="561"/>
      <c r="Q45" s="561"/>
      <c r="R45" s="561"/>
      <c r="S45" s="561"/>
      <c r="T45" s="561"/>
      <c r="U45" s="561"/>
      <c r="V45" s="561"/>
      <c r="W45" s="561"/>
      <c r="X45" s="561"/>
      <c r="Y45" s="561"/>
      <c r="Z45" s="561"/>
      <c r="AA45" s="561"/>
      <c r="AB45" s="561"/>
      <c r="AC45" s="561"/>
      <c r="AD45" s="124"/>
      <c r="AE45" s="124"/>
      <c r="AF45" s="124"/>
      <c r="AG45" s="124"/>
    </row>
    <row r="46" spans="1:33" x14ac:dyDescent="0.2">
      <c r="A46" s="38"/>
      <c r="B46" s="38" t="s">
        <v>492</v>
      </c>
      <c r="C46" s="17"/>
      <c r="D46" s="17"/>
      <c r="E46" s="17"/>
      <c r="F46" s="17"/>
      <c r="G46" s="38" t="s">
        <v>660</v>
      </c>
      <c r="H46" s="38" t="s">
        <v>4333</v>
      </c>
      <c r="I46" s="272">
        <f>E.aCG/1000*(Molweight*3600*24*365)</f>
        <v>0</v>
      </c>
      <c r="J46" s="561">
        <v>0</v>
      </c>
      <c r="K46" s="561">
        <v>0</v>
      </c>
      <c r="L46" s="561"/>
      <c r="M46" s="561"/>
      <c r="N46" s="561"/>
      <c r="O46" s="561"/>
      <c r="P46" s="561"/>
      <c r="Q46" s="561"/>
      <c r="R46" s="561">
        <v>0</v>
      </c>
      <c r="S46" s="561">
        <v>0</v>
      </c>
      <c r="T46" s="561">
        <v>0</v>
      </c>
      <c r="U46" s="561">
        <v>0</v>
      </c>
      <c r="V46" s="561"/>
      <c r="W46" s="561"/>
      <c r="X46" s="561"/>
      <c r="Y46" s="561"/>
      <c r="Z46" s="561"/>
      <c r="AA46" s="561"/>
      <c r="AB46" s="561"/>
      <c r="AC46" s="561"/>
      <c r="AD46" s="124"/>
      <c r="AE46" s="124"/>
      <c r="AF46" s="124"/>
      <c r="AG46" s="124"/>
    </row>
    <row r="47" spans="1:33" x14ac:dyDescent="0.2">
      <c r="A47" s="38"/>
      <c r="B47" s="38" t="s">
        <v>4334</v>
      </c>
      <c r="C47" s="17"/>
      <c r="D47" s="17"/>
      <c r="E47" s="17"/>
      <c r="F47" s="17"/>
      <c r="G47" s="38" t="s">
        <v>661</v>
      </c>
      <c r="H47" s="38" t="s">
        <v>4333</v>
      </c>
      <c r="I47" s="272">
        <f>E.w0CD/1000*(Molweight*3600*24*365)</f>
        <v>0</v>
      </c>
      <c r="J47" s="561">
        <v>0</v>
      </c>
      <c r="K47" s="561">
        <v>0</v>
      </c>
      <c r="L47" s="561"/>
      <c r="M47" s="561"/>
      <c r="N47" s="561"/>
      <c r="O47" s="561"/>
      <c r="P47" s="561"/>
      <c r="Q47" s="561"/>
      <c r="R47" s="561">
        <v>0</v>
      </c>
      <c r="S47" s="561">
        <v>0</v>
      </c>
      <c r="T47" s="561">
        <v>0</v>
      </c>
      <c r="U47" s="561">
        <v>0</v>
      </c>
      <c r="V47" s="561"/>
      <c r="W47" s="561"/>
      <c r="X47" s="561"/>
      <c r="Y47" s="561"/>
      <c r="Z47" s="561"/>
      <c r="AA47" s="561"/>
      <c r="AB47" s="561"/>
      <c r="AC47" s="561"/>
      <c r="AD47" s="124"/>
      <c r="AE47" s="124"/>
      <c r="AF47" s="124"/>
      <c r="AG47" s="124"/>
    </row>
    <row r="48" spans="1:33" x14ac:dyDescent="0.2">
      <c r="A48" s="38"/>
      <c r="B48" s="38" t="s">
        <v>4335</v>
      </c>
      <c r="C48" s="17"/>
      <c r="D48" s="17"/>
      <c r="E48" s="17"/>
      <c r="F48" s="17"/>
      <c r="G48" s="38" t="s">
        <v>662</v>
      </c>
      <c r="H48" s="38" t="s">
        <v>4333</v>
      </c>
      <c r="I48" s="272">
        <f>E.w1CD/1000*(Molweight*3600*24*365)</f>
        <v>0</v>
      </c>
      <c r="J48" s="561">
        <v>0</v>
      </c>
      <c r="K48" s="561">
        <v>0</v>
      </c>
      <c r="L48" s="561"/>
      <c r="M48" s="561"/>
      <c r="N48" s="561"/>
      <c r="O48" s="561"/>
      <c r="P48" s="561"/>
      <c r="Q48" s="561"/>
      <c r="R48" s="561">
        <v>0</v>
      </c>
      <c r="S48" s="561">
        <v>0</v>
      </c>
      <c r="T48" s="561">
        <v>0</v>
      </c>
      <c r="U48" s="561">
        <v>0</v>
      </c>
      <c r="V48" s="561"/>
      <c r="W48" s="561"/>
      <c r="X48" s="561"/>
      <c r="Y48" s="561"/>
      <c r="Z48" s="561"/>
      <c r="AA48" s="561"/>
      <c r="AB48" s="561"/>
      <c r="AC48" s="561"/>
      <c r="AD48" s="124"/>
      <c r="AE48" s="124"/>
      <c r="AF48" s="124"/>
      <c r="AG48" s="124"/>
    </row>
    <row r="49" spans="1:33" x14ac:dyDescent="0.2">
      <c r="A49" s="38"/>
      <c r="B49" s="38" t="s">
        <v>4336</v>
      </c>
      <c r="C49" s="17"/>
      <c r="D49" s="17"/>
      <c r="E49" s="17"/>
      <c r="F49" s="17"/>
      <c r="G49" s="38" t="s">
        <v>663</v>
      </c>
      <c r="H49" s="38" t="s">
        <v>4333</v>
      </c>
      <c r="I49" s="272">
        <f>E.w2CD/1000*(Molweight*3600*24*365)</f>
        <v>0</v>
      </c>
      <c r="J49" s="561">
        <v>0</v>
      </c>
      <c r="K49" s="561">
        <v>0</v>
      </c>
      <c r="L49" s="561"/>
      <c r="M49" s="561"/>
      <c r="N49" s="561"/>
      <c r="O49" s="561"/>
      <c r="P49" s="561"/>
      <c r="Q49" s="561"/>
      <c r="R49" s="561">
        <v>0</v>
      </c>
      <c r="S49" s="561">
        <v>0</v>
      </c>
      <c r="T49" s="561">
        <v>0</v>
      </c>
      <c r="U49" s="561">
        <v>0</v>
      </c>
      <c r="V49" s="561"/>
      <c r="W49" s="561"/>
      <c r="X49" s="561"/>
      <c r="Y49" s="561"/>
      <c r="Z49" s="561"/>
      <c r="AA49" s="561"/>
      <c r="AB49" s="561"/>
      <c r="AC49" s="561"/>
      <c r="AD49" s="124"/>
      <c r="AE49" s="124"/>
      <c r="AF49" s="124"/>
      <c r="AG49" s="124"/>
    </row>
    <row r="50" spans="1:33" x14ac:dyDescent="0.2">
      <c r="A50" s="38"/>
      <c r="B50" s="38" t="s">
        <v>502</v>
      </c>
      <c r="C50" s="17"/>
      <c r="D50" s="17"/>
      <c r="E50" s="17"/>
      <c r="F50" s="17"/>
      <c r="G50" s="38" t="s">
        <v>664</v>
      </c>
      <c r="H50" s="38" t="s">
        <v>4333</v>
      </c>
      <c r="I50" s="272">
        <f>E.s1CD/1000*(Molweight*3600*24*365)</f>
        <v>0</v>
      </c>
      <c r="J50" s="562">
        <v>0</v>
      </c>
      <c r="K50" s="562">
        <v>0</v>
      </c>
      <c r="L50" s="562"/>
      <c r="M50" s="562"/>
      <c r="N50" s="562"/>
      <c r="O50" s="562"/>
      <c r="P50" s="562"/>
      <c r="Q50" s="562"/>
      <c r="R50" s="562">
        <v>0</v>
      </c>
      <c r="S50" s="562">
        <v>0</v>
      </c>
      <c r="T50" s="562">
        <v>0</v>
      </c>
      <c r="U50" s="562">
        <v>0</v>
      </c>
      <c r="V50" s="562"/>
      <c r="W50" s="562"/>
      <c r="X50" s="562"/>
      <c r="Y50" s="562"/>
      <c r="Z50" s="562"/>
      <c r="AA50" s="562"/>
      <c r="AB50" s="562"/>
      <c r="AC50" s="562"/>
      <c r="AD50" s="124"/>
      <c r="AE50" s="124"/>
      <c r="AF50" s="124"/>
      <c r="AG50" s="124"/>
    </row>
    <row r="51" spans="1:33" x14ac:dyDescent="0.2">
      <c r="A51" s="38"/>
      <c r="B51" s="38" t="s">
        <v>504</v>
      </c>
      <c r="C51" s="17"/>
      <c r="D51" s="17"/>
      <c r="E51" s="17"/>
      <c r="F51" s="17"/>
      <c r="G51" s="38" t="s">
        <v>665</v>
      </c>
      <c r="H51" s="38" t="s">
        <v>4333</v>
      </c>
      <c r="I51" s="272">
        <f>E.s2CD/1000*(Molweight*3600*24*365)</f>
        <v>0</v>
      </c>
      <c r="J51" s="561">
        <v>0</v>
      </c>
      <c r="K51" s="561">
        <v>0</v>
      </c>
      <c r="L51" s="561"/>
      <c r="M51" s="561"/>
      <c r="N51" s="561"/>
      <c r="O51" s="561"/>
      <c r="P51" s="561"/>
      <c r="Q51" s="561"/>
      <c r="R51" s="561">
        <v>0</v>
      </c>
      <c r="S51" s="561">
        <v>0</v>
      </c>
      <c r="T51" s="561">
        <v>0</v>
      </c>
      <c r="U51" s="561">
        <v>0</v>
      </c>
      <c r="V51" s="561"/>
      <c r="W51" s="561"/>
      <c r="X51" s="561"/>
      <c r="Y51" s="561"/>
      <c r="Z51" s="561"/>
      <c r="AA51" s="561"/>
      <c r="AB51" s="561"/>
      <c r="AC51" s="561"/>
      <c r="AD51" s="124"/>
      <c r="AE51" s="124"/>
      <c r="AF51" s="124"/>
      <c r="AG51" s="124"/>
    </row>
    <row r="52" spans="1:33" x14ac:dyDescent="0.2">
      <c r="A52" s="38"/>
      <c r="B52" s="38" t="s">
        <v>507</v>
      </c>
      <c r="C52" s="17"/>
      <c r="D52" s="17"/>
      <c r="E52" s="17"/>
      <c r="F52" s="17"/>
      <c r="G52" s="38" t="s">
        <v>666</v>
      </c>
      <c r="H52" s="38" t="s">
        <v>4333</v>
      </c>
      <c r="I52" s="272">
        <f>E.s3CD/1000*(Molweight*3600*24*365)</f>
        <v>0</v>
      </c>
      <c r="J52" s="561">
        <v>0</v>
      </c>
      <c r="K52" s="561">
        <v>0</v>
      </c>
      <c r="L52" s="561"/>
      <c r="M52" s="561"/>
      <c r="N52" s="561"/>
      <c r="O52" s="561"/>
      <c r="P52" s="561"/>
      <c r="Q52" s="561"/>
      <c r="R52" s="561">
        <v>0</v>
      </c>
      <c r="S52" s="561">
        <v>0</v>
      </c>
      <c r="T52" s="561">
        <v>0</v>
      </c>
      <c r="U52" s="561">
        <v>0</v>
      </c>
      <c r="V52" s="561"/>
      <c r="W52" s="561"/>
      <c r="X52" s="561"/>
      <c r="Y52" s="561"/>
      <c r="Z52" s="561"/>
      <c r="AA52" s="561"/>
      <c r="AB52" s="561"/>
      <c r="AC52" s="561"/>
      <c r="AD52" s="124"/>
      <c r="AE52" s="124"/>
      <c r="AF52" s="124"/>
      <c r="AG52" s="124"/>
    </row>
    <row r="53" spans="1:33" x14ac:dyDescent="0.2">
      <c r="A53" s="74" t="s">
        <v>232</v>
      </c>
      <c r="B53" s="17"/>
      <c r="C53" s="17"/>
      <c r="D53" s="17"/>
      <c r="E53" s="17"/>
      <c r="F53" s="17"/>
      <c r="G53" s="149"/>
      <c r="H53" s="38"/>
      <c r="I53" s="142"/>
      <c r="J53" s="561"/>
      <c r="K53" s="561"/>
      <c r="L53" s="561"/>
      <c r="M53" s="561"/>
      <c r="N53" s="561"/>
      <c r="O53" s="561"/>
      <c r="P53" s="561"/>
      <c r="Q53" s="561"/>
      <c r="R53" s="561"/>
      <c r="S53" s="561"/>
      <c r="T53" s="561"/>
      <c r="U53" s="561"/>
      <c r="V53" s="561"/>
      <c r="W53" s="561"/>
      <c r="X53" s="561"/>
      <c r="Y53" s="561"/>
      <c r="Z53" s="561"/>
      <c r="AA53" s="561"/>
      <c r="AB53" s="561"/>
      <c r="AC53" s="561"/>
      <c r="AD53" s="124"/>
      <c r="AE53" s="124"/>
      <c r="AF53" s="124"/>
      <c r="AG53" s="124"/>
    </row>
    <row r="54" spans="1:33" x14ac:dyDescent="0.2">
      <c r="A54" s="38"/>
      <c r="B54" s="38" t="s">
        <v>492</v>
      </c>
      <c r="C54" s="17"/>
      <c r="D54" s="17"/>
      <c r="E54" s="17"/>
      <c r="F54" s="17"/>
      <c r="G54" s="38" t="s">
        <v>667</v>
      </c>
      <c r="H54" s="38" t="s">
        <v>4333</v>
      </c>
      <c r="I54" s="272">
        <f>E.aMG/1000*(Molweight*3600*24*365)</f>
        <v>0</v>
      </c>
      <c r="J54" s="561">
        <v>0</v>
      </c>
      <c r="K54" s="561">
        <v>0</v>
      </c>
      <c r="L54" s="561"/>
      <c r="M54" s="561"/>
      <c r="N54" s="561"/>
      <c r="O54" s="561"/>
      <c r="P54" s="561"/>
      <c r="Q54" s="561"/>
      <c r="R54" s="561">
        <v>0</v>
      </c>
      <c r="S54" s="561">
        <v>0</v>
      </c>
      <c r="T54" s="561">
        <v>0</v>
      </c>
      <c r="U54" s="561">
        <v>0</v>
      </c>
      <c r="V54" s="561"/>
      <c r="W54" s="561"/>
      <c r="X54" s="561"/>
      <c r="Y54" s="561"/>
      <c r="Z54" s="561"/>
      <c r="AA54" s="561"/>
      <c r="AB54" s="561"/>
      <c r="AC54" s="561"/>
      <c r="AD54" s="124"/>
      <c r="AE54" s="124"/>
      <c r="AF54" s="124"/>
      <c r="AG54" s="124"/>
    </row>
    <row r="55" spans="1:33" x14ac:dyDescent="0.2">
      <c r="A55" s="38"/>
      <c r="B55" s="38" t="s">
        <v>517</v>
      </c>
      <c r="C55" s="17"/>
      <c r="D55" s="17"/>
      <c r="E55" s="17"/>
      <c r="F55" s="17"/>
      <c r="G55" s="38" t="s">
        <v>668</v>
      </c>
      <c r="H55" s="38" t="s">
        <v>4333</v>
      </c>
      <c r="I55" s="272">
        <f>E.w2MD/1000*(Molweight*3600*24*365)</f>
        <v>0</v>
      </c>
      <c r="J55" s="561">
        <v>0</v>
      </c>
      <c r="K55" s="561">
        <v>0</v>
      </c>
      <c r="L55" s="561"/>
      <c r="M55" s="561"/>
      <c r="N55" s="561"/>
      <c r="O55" s="561"/>
      <c r="P55" s="561"/>
      <c r="Q55" s="561"/>
      <c r="R55" s="561">
        <v>0</v>
      </c>
      <c r="S55" s="561">
        <v>0</v>
      </c>
      <c r="T55" s="561">
        <v>0</v>
      </c>
      <c r="U55" s="561">
        <v>0</v>
      </c>
      <c r="V55" s="561"/>
      <c r="W55" s="561"/>
      <c r="X55" s="561"/>
      <c r="Y55" s="561"/>
      <c r="Z55" s="561"/>
      <c r="AA55" s="561"/>
      <c r="AB55" s="561"/>
      <c r="AC55" s="561"/>
      <c r="AD55" s="124"/>
      <c r="AE55" s="124"/>
      <c r="AF55" s="124"/>
      <c r="AG55" s="124"/>
    </row>
    <row r="56" spans="1:33" x14ac:dyDescent="0.2">
      <c r="A56" s="38"/>
      <c r="B56" s="38" t="s">
        <v>519</v>
      </c>
      <c r="C56" s="17"/>
      <c r="D56" s="17"/>
      <c r="E56" s="17"/>
      <c r="F56" s="17"/>
      <c r="G56" s="38" t="s">
        <v>669</v>
      </c>
      <c r="H56" s="38" t="s">
        <v>4333</v>
      </c>
      <c r="I56" s="272">
        <f>E.sMD/1000*(Molweight*3600*24*365)</f>
        <v>0</v>
      </c>
      <c r="J56" s="561">
        <v>0</v>
      </c>
      <c r="K56" s="561">
        <v>0</v>
      </c>
      <c r="L56" s="561"/>
      <c r="M56" s="561"/>
      <c r="N56" s="561"/>
      <c r="O56" s="561"/>
      <c r="P56" s="561"/>
      <c r="Q56" s="561"/>
      <c r="R56" s="561">
        <v>0</v>
      </c>
      <c r="S56" s="561">
        <v>0</v>
      </c>
      <c r="T56" s="561">
        <v>0</v>
      </c>
      <c r="U56" s="561">
        <v>0</v>
      </c>
      <c r="V56" s="561"/>
      <c r="W56" s="561"/>
      <c r="X56" s="561"/>
      <c r="Y56" s="561"/>
      <c r="Z56" s="561"/>
      <c r="AA56" s="561"/>
      <c r="AB56" s="561"/>
      <c r="AC56" s="561"/>
      <c r="AD56" s="124"/>
      <c r="AE56" s="124"/>
      <c r="AF56" s="124"/>
      <c r="AG56" s="124"/>
    </row>
    <row r="57" spans="1:33" x14ac:dyDescent="0.2">
      <c r="A57" s="3" t="s">
        <v>233</v>
      </c>
      <c r="B57" s="38"/>
      <c r="C57" s="17"/>
      <c r="D57" s="17"/>
      <c r="E57" s="17"/>
      <c r="F57" s="17"/>
      <c r="G57" s="149"/>
      <c r="H57" s="38"/>
      <c r="I57" s="142"/>
      <c r="J57" s="561"/>
      <c r="K57" s="561"/>
      <c r="L57" s="561"/>
      <c r="M57" s="561"/>
      <c r="N57" s="561"/>
      <c r="O57" s="561"/>
      <c r="P57" s="561"/>
      <c r="Q57" s="561"/>
      <c r="R57" s="561"/>
      <c r="S57" s="561"/>
      <c r="T57" s="561"/>
      <c r="U57" s="561"/>
      <c r="V57" s="561"/>
      <c r="W57" s="561"/>
      <c r="X57" s="561"/>
      <c r="Y57" s="561"/>
      <c r="Z57" s="561"/>
      <c r="AA57" s="561"/>
      <c r="AB57" s="561"/>
      <c r="AC57" s="561"/>
      <c r="AD57" s="124"/>
      <c r="AE57" s="124"/>
      <c r="AF57" s="124"/>
      <c r="AG57" s="124"/>
    </row>
    <row r="58" spans="1:33" x14ac:dyDescent="0.2">
      <c r="A58" s="38"/>
      <c r="B58" s="38" t="s">
        <v>492</v>
      </c>
      <c r="C58" s="17"/>
      <c r="D58" s="17"/>
      <c r="E58" s="17"/>
      <c r="F58" s="17"/>
      <c r="G58" s="38" t="s">
        <v>670</v>
      </c>
      <c r="H58" s="38" t="s">
        <v>4333</v>
      </c>
      <c r="I58" s="272">
        <f>E.aAG/1000*(Molweight*3600*24*365)</f>
        <v>0</v>
      </c>
      <c r="J58" s="561">
        <v>0</v>
      </c>
      <c r="K58" s="561">
        <v>0</v>
      </c>
      <c r="L58" s="561"/>
      <c r="M58" s="561"/>
      <c r="N58" s="561"/>
      <c r="O58" s="561"/>
      <c r="P58" s="561"/>
      <c r="Q58" s="561"/>
      <c r="R58" s="561">
        <v>0</v>
      </c>
      <c r="S58" s="561">
        <v>0</v>
      </c>
      <c r="T58" s="561">
        <v>0</v>
      </c>
      <c r="U58" s="561">
        <v>0</v>
      </c>
      <c r="V58" s="561"/>
      <c r="W58" s="561"/>
      <c r="X58" s="561"/>
      <c r="Y58" s="561"/>
      <c r="Z58" s="561"/>
      <c r="AA58" s="561"/>
      <c r="AB58" s="561"/>
      <c r="AC58" s="561"/>
      <c r="AD58" s="124"/>
      <c r="AE58" s="124"/>
      <c r="AF58" s="124"/>
      <c r="AG58" s="124"/>
    </row>
    <row r="59" spans="1:33" x14ac:dyDescent="0.2">
      <c r="A59" s="38"/>
      <c r="B59" s="38" t="s">
        <v>517</v>
      </c>
      <c r="C59" s="17"/>
      <c r="D59" s="17"/>
      <c r="E59" s="17"/>
      <c r="F59" s="17"/>
      <c r="G59" s="38" t="s">
        <v>671</v>
      </c>
      <c r="H59" s="38" t="s">
        <v>4333</v>
      </c>
      <c r="I59" s="272">
        <f>E.w2AD/1000*(Molweight*3600*24*365)</f>
        <v>0</v>
      </c>
      <c r="J59" s="561">
        <v>0</v>
      </c>
      <c r="K59" s="561">
        <v>0</v>
      </c>
      <c r="L59" s="561"/>
      <c r="M59" s="561"/>
      <c r="N59" s="561"/>
      <c r="O59" s="561"/>
      <c r="P59" s="561"/>
      <c r="Q59" s="561"/>
      <c r="R59" s="561">
        <v>0</v>
      </c>
      <c r="S59" s="561">
        <v>0</v>
      </c>
      <c r="T59" s="561">
        <v>0</v>
      </c>
      <c r="U59" s="561">
        <v>0</v>
      </c>
      <c r="V59" s="561"/>
      <c r="W59" s="561"/>
      <c r="X59" s="561"/>
      <c r="Y59" s="561"/>
      <c r="Z59" s="561"/>
      <c r="AA59" s="561"/>
      <c r="AB59" s="561"/>
      <c r="AC59" s="561"/>
      <c r="AD59" s="124"/>
      <c r="AE59" s="124"/>
      <c r="AF59" s="124"/>
      <c r="AG59" s="124"/>
    </row>
    <row r="60" spans="1:33" x14ac:dyDescent="0.2">
      <c r="A60" s="38"/>
      <c r="B60" s="38" t="s">
        <v>519</v>
      </c>
      <c r="C60" s="17"/>
      <c r="D60" s="17"/>
      <c r="E60" s="17"/>
      <c r="F60" s="17"/>
      <c r="G60" s="38" t="s">
        <v>672</v>
      </c>
      <c r="H60" s="38" t="s">
        <v>4333</v>
      </c>
      <c r="I60" s="272">
        <f>E.sAD/1000*(Molweight*3600*24*365)</f>
        <v>0</v>
      </c>
      <c r="J60" s="561">
        <v>0</v>
      </c>
      <c r="K60" s="561">
        <v>0</v>
      </c>
      <c r="L60" s="561"/>
      <c r="M60" s="561"/>
      <c r="N60" s="561"/>
      <c r="O60" s="561"/>
      <c r="P60" s="561"/>
      <c r="Q60" s="561"/>
      <c r="R60" s="561">
        <v>0</v>
      </c>
      <c r="S60" s="561">
        <v>0</v>
      </c>
      <c r="T60" s="561">
        <v>0</v>
      </c>
      <c r="U60" s="561">
        <v>0</v>
      </c>
      <c r="V60" s="561"/>
      <c r="W60" s="561"/>
      <c r="X60" s="561"/>
      <c r="Y60" s="561"/>
      <c r="Z60" s="561"/>
      <c r="AA60" s="561"/>
      <c r="AB60" s="561"/>
      <c r="AC60" s="561"/>
      <c r="AD60" s="124"/>
      <c r="AE60" s="124"/>
      <c r="AF60" s="124"/>
      <c r="AG60" s="124"/>
    </row>
    <row r="61" spans="1:33" x14ac:dyDescent="0.2">
      <c r="A61" s="74" t="s">
        <v>524</v>
      </c>
      <c r="B61" s="17"/>
      <c r="C61" s="17"/>
      <c r="D61" s="17"/>
      <c r="E61" s="17"/>
      <c r="F61" s="17"/>
      <c r="G61" s="149"/>
      <c r="H61" s="38"/>
      <c r="I61" s="142"/>
      <c r="J61" s="561"/>
      <c r="K61" s="561"/>
      <c r="L61" s="561"/>
      <c r="M61" s="561"/>
      <c r="N61" s="561"/>
      <c r="O61" s="561"/>
      <c r="P61" s="561"/>
      <c r="Q61" s="561"/>
      <c r="R61" s="561"/>
      <c r="S61" s="561"/>
      <c r="T61" s="561"/>
      <c r="U61" s="561"/>
      <c r="V61" s="561"/>
      <c r="W61" s="561"/>
      <c r="X61" s="561"/>
      <c r="Y61" s="561"/>
      <c r="Z61" s="561"/>
      <c r="AA61" s="561"/>
      <c r="AB61" s="561"/>
      <c r="AC61" s="561"/>
      <c r="AD61" s="124"/>
      <c r="AE61" s="124"/>
      <c r="AF61" s="124"/>
      <c r="AG61" s="124"/>
    </row>
    <row r="62" spans="1:33" x14ac:dyDescent="0.2">
      <c r="A62" s="38"/>
      <c r="B62" s="38" t="s">
        <v>492</v>
      </c>
      <c r="C62" s="17"/>
      <c r="D62" s="17"/>
      <c r="E62" s="17"/>
      <c r="F62" s="17"/>
      <c r="G62" s="38" t="s">
        <v>673</v>
      </c>
      <c r="H62" s="38" t="s">
        <v>4333</v>
      </c>
      <c r="I62" s="272">
        <f>E.aTG/1000*(Molweight*3600*24*365)</f>
        <v>0</v>
      </c>
      <c r="J62" s="563">
        <v>0</v>
      </c>
      <c r="K62" s="563">
        <v>0</v>
      </c>
      <c r="L62" s="563"/>
      <c r="M62" s="563"/>
      <c r="N62" s="563"/>
      <c r="O62" s="563"/>
      <c r="P62" s="563"/>
      <c r="Q62" s="563"/>
      <c r="R62" s="563">
        <v>0</v>
      </c>
      <c r="S62" s="563">
        <v>0</v>
      </c>
      <c r="T62" s="563">
        <v>0</v>
      </c>
      <c r="U62" s="563">
        <v>0</v>
      </c>
      <c r="V62" s="563"/>
      <c r="W62" s="563"/>
      <c r="X62" s="563"/>
      <c r="Y62" s="563"/>
      <c r="Z62" s="563"/>
      <c r="AA62" s="563"/>
      <c r="AB62" s="563"/>
      <c r="AC62" s="563"/>
      <c r="AD62" s="189"/>
      <c r="AE62" s="189"/>
      <c r="AF62" s="189"/>
      <c r="AG62" s="189"/>
    </row>
    <row r="63" spans="1:33" x14ac:dyDescent="0.2">
      <c r="A63" s="38"/>
      <c r="B63" s="38" t="s">
        <v>517</v>
      </c>
      <c r="C63" s="17"/>
      <c r="D63" s="17"/>
      <c r="E63" s="17"/>
      <c r="F63" s="17"/>
      <c r="G63" s="38" t="s">
        <v>674</v>
      </c>
      <c r="H63" s="38" t="s">
        <v>4333</v>
      </c>
      <c r="I63" s="272">
        <f>E.w2TD/1000*(Molweight*3600*24*365)</f>
        <v>0</v>
      </c>
      <c r="J63" s="562">
        <v>0</v>
      </c>
      <c r="K63" s="562">
        <v>0</v>
      </c>
      <c r="L63" s="562"/>
      <c r="M63" s="562"/>
      <c r="N63" s="562"/>
      <c r="O63" s="562"/>
      <c r="P63" s="562"/>
      <c r="Q63" s="562"/>
      <c r="R63" s="562">
        <v>0</v>
      </c>
      <c r="S63" s="562">
        <v>0</v>
      </c>
      <c r="T63" s="562">
        <v>0</v>
      </c>
      <c r="U63" s="562">
        <v>0</v>
      </c>
      <c r="V63" s="562"/>
      <c r="W63" s="562"/>
      <c r="X63" s="562"/>
      <c r="Y63" s="562"/>
      <c r="Z63" s="562"/>
      <c r="AA63" s="562"/>
      <c r="AB63" s="562"/>
      <c r="AC63" s="562"/>
      <c r="AD63" s="124"/>
      <c r="AE63" s="124"/>
      <c r="AF63" s="124"/>
      <c r="AG63" s="124"/>
    </row>
    <row r="64" spans="1:33" x14ac:dyDescent="0.2">
      <c r="A64" s="38"/>
      <c r="B64" s="38" t="s">
        <v>519</v>
      </c>
      <c r="C64" s="17"/>
      <c r="D64" s="17"/>
      <c r="E64" s="17"/>
      <c r="F64" s="17"/>
      <c r="G64" s="38" t="s">
        <v>675</v>
      </c>
      <c r="H64" s="38" t="s">
        <v>4333</v>
      </c>
      <c r="I64" s="272">
        <f>E.sTD/1000*(Molweight*3600*24*365)</f>
        <v>0</v>
      </c>
      <c r="J64" s="562">
        <v>0</v>
      </c>
      <c r="K64" s="562">
        <v>0</v>
      </c>
      <c r="L64" s="562"/>
      <c r="M64" s="562"/>
      <c r="N64" s="562"/>
      <c r="O64" s="562"/>
      <c r="P64" s="562"/>
      <c r="Q64" s="562"/>
      <c r="R64" s="562">
        <v>0</v>
      </c>
      <c r="S64" s="562">
        <v>0</v>
      </c>
      <c r="T64" s="562">
        <v>0</v>
      </c>
      <c r="U64" s="562">
        <v>0</v>
      </c>
      <c r="V64" s="562"/>
      <c r="W64" s="562"/>
      <c r="X64" s="562"/>
      <c r="Y64" s="562"/>
      <c r="Z64" s="562"/>
      <c r="AA64" s="562"/>
      <c r="AB64" s="562"/>
      <c r="AC64" s="562"/>
      <c r="AD64" s="124"/>
      <c r="AE64" s="124"/>
      <c r="AF64" s="124"/>
      <c r="AG64" s="124"/>
    </row>
    <row r="65" spans="1:33" x14ac:dyDescent="0.2">
      <c r="A65" s="38"/>
      <c r="B65" s="38"/>
      <c r="C65" s="17"/>
      <c r="D65" s="17"/>
      <c r="E65" s="17"/>
      <c r="F65" s="17"/>
      <c r="G65" s="38"/>
      <c r="H65" s="38"/>
      <c r="I65" s="272"/>
      <c r="J65" s="562"/>
      <c r="K65" s="562"/>
      <c r="L65" s="562"/>
      <c r="M65" s="562"/>
      <c r="N65" s="562"/>
      <c r="O65" s="562"/>
      <c r="P65" s="562"/>
      <c r="Q65" s="562"/>
      <c r="R65" s="562"/>
      <c r="S65" s="562"/>
      <c r="T65" s="562"/>
      <c r="U65" s="562"/>
      <c r="V65" s="562"/>
      <c r="W65" s="562"/>
      <c r="X65" s="562"/>
      <c r="Y65" s="562"/>
      <c r="Z65" s="562"/>
      <c r="AA65" s="562"/>
      <c r="AB65" s="562"/>
      <c r="AC65" s="562"/>
      <c r="AD65" s="124"/>
      <c r="AE65" s="124"/>
      <c r="AF65" s="124"/>
      <c r="AG65" s="124"/>
    </row>
    <row r="66" spans="1:33" x14ac:dyDescent="0.2">
      <c r="A66" s="38"/>
      <c r="B66" s="38"/>
      <c r="C66" s="17"/>
      <c r="D66" s="17"/>
      <c r="E66" s="17"/>
      <c r="F66" s="17"/>
      <c r="G66" s="38"/>
      <c r="H66" s="38"/>
      <c r="I66" s="272"/>
      <c r="J66" s="562"/>
      <c r="K66" s="562"/>
      <c r="L66" s="562"/>
      <c r="M66" s="562"/>
      <c r="N66" s="562"/>
      <c r="O66" s="562"/>
      <c r="P66" s="562"/>
      <c r="Q66" s="562"/>
      <c r="R66" s="562"/>
      <c r="S66" s="562"/>
      <c r="T66" s="562"/>
      <c r="U66" s="562"/>
      <c r="V66" s="562"/>
      <c r="W66" s="562"/>
      <c r="X66" s="562"/>
      <c r="Y66" s="562"/>
      <c r="Z66" s="562"/>
      <c r="AA66" s="562"/>
      <c r="AB66" s="562"/>
      <c r="AC66" s="562"/>
      <c r="AD66" s="124"/>
      <c r="AE66" s="124"/>
      <c r="AF66" s="124"/>
      <c r="AG66" s="124"/>
    </row>
    <row r="67" spans="1:33" ht="12.75" customHeight="1" x14ac:dyDescent="0.2">
      <c r="A67" s="5" t="s">
        <v>4337</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2">
      <c r="A68" s="3" t="s">
        <v>63</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2">
      <c r="A69" s="17" t="s">
        <v>677</v>
      </c>
      <c r="B69" s="17"/>
      <c r="C69" s="17"/>
      <c r="D69" s="17"/>
      <c r="E69" s="17"/>
      <c r="F69" s="17"/>
      <c r="G69" s="17" t="s">
        <v>678</v>
      </c>
      <c r="H69" s="146" t="s">
        <v>4338</v>
      </c>
      <c r="I69" s="272">
        <f>AREAland.R*0.000001</f>
        <v>228570</v>
      </c>
      <c r="J69" s="562">
        <v>228570</v>
      </c>
      <c r="K69" s="561">
        <v>40000</v>
      </c>
      <c r="L69" s="562"/>
      <c r="M69" s="562">
        <v>15875</v>
      </c>
      <c r="N69" s="562">
        <v>15875</v>
      </c>
      <c r="O69" s="562">
        <v>15875</v>
      </c>
      <c r="P69" s="562">
        <v>15875</v>
      </c>
      <c r="Q69" s="562"/>
      <c r="R69" s="561"/>
      <c r="S69" s="561"/>
      <c r="T69" s="562"/>
      <c r="U69" s="562"/>
      <c r="V69" s="561"/>
      <c r="W69" s="561"/>
      <c r="X69" s="562"/>
      <c r="Y69" s="562"/>
      <c r="Z69" s="562"/>
      <c r="AA69" s="562"/>
      <c r="AB69" s="562"/>
      <c r="AC69" s="562"/>
      <c r="AD69" s="124"/>
      <c r="AE69" s="124">
        <v>228570</v>
      </c>
      <c r="AF69" s="124">
        <v>228570</v>
      </c>
      <c r="AG69" s="124">
        <v>228570</v>
      </c>
    </row>
    <row r="70" spans="1:33" ht="12.75" customHeight="1" x14ac:dyDescent="0.2">
      <c r="A70" s="17" t="s">
        <v>681</v>
      </c>
      <c r="B70" s="17"/>
      <c r="C70" s="17"/>
      <c r="D70" s="17"/>
      <c r="E70" s="17"/>
      <c r="F70" s="17"/>
      <c r="G70" s="17" t="s">
        <v>682</v>
      </c>
      <c r="H70" s="146" t="s">
        <v>4338</v>
      </c>
      <c r="I70" s="272">
        <f>AREAsea.R*0.000001</f>
        <v>1000</v>
      </c>
      <c r="J70" s="562">
        <v>1000</v>
      </c>
      <c r="K70" s="561">
        <v>400</v>
      </c>
      <c r="L70" s="562"/>
      <c r="M70" s="562"/>
      <c r="N70" s="562"/>
      <c r="O70" s="562"/>
      <c r="P70" s="562"/>
      <c r="Q70" s="562"/>
      <c r="R70" s="561"/>
      <c r="S70" s="561"/>
      <c r="T70" s="561"/>
      <c r="U70" s="561"/>
      <c r="V70" s="561"/>
      <c r="W70" s="561"/>
      <c r="X70" s="561"/>
      <c r="Y70" s="561"/>
      <c r="Z70" s="562"/>
      <c r="AA70" s="561"/>
      <c r="AB70" s="561"/>
      <c r="AC70" s="562"/>
      <c r="AD70" s="124"/>
      <c r="AE70" s="124">
        <v>1000</v>
      </c>
      <c r="AF70" s="124">
        <v>1000</v>
      </c>
      <c r="AG70" s="124">
        <v>1000</v>
      </c>
    </row>
    <row r="71" spans="1:33" ht="12.75" customHeight="1" x14ac:dyDescent="0.2">
      <c r="A71" s="17" t="s">
        <v>683</v>
      </c>
      <c r="B71" s="17"/>
      <c r="C71" s="17"/>
      <c r="D71" s="17"/>
      <c r="E71" s="17"/>
      <c r="F71" s="17"/>
      <c r="G71" s="17" t="s">
        <v>684</v>
      </c>
      <c r="H71" s="17" t="s">
        <v>297</v>
      </c>
      <c r="I71" s="272">
        <f>FRAClake.R</f>
        <v>2.5000000000000001E-3</v>
      </c>
      <c r="J71" s="562">
        <v>2.5000000000000001E-3</v>
      </c>
      <c r="K71" s="561">
        <v>1E-10</v>
      </c>
      <c r="L71" s="561"/>
      <c r="M71" s="561">
        <v>9.9999999999999995E-21</v>
      </c>
      <c r="N71" s="561">
        <v>9.9999999999999995E-21</v>
      </c>
      <c r="O71" s="561">
        <v>9.9999999999999995E-21</v>
      </c>
      <c r="P71" s="561">
        <v>9.9999999999999995E-21</v>
      </c>
      <c r="Q71" s="561"/>
      <c r="R71" s="561"/>
      <c r="S71" s="561"/>
      <c r="T71" s="561"/>
      <c r="U71" s="561"/>
      <c r="V71" s="561"/>
      <c r="W71" s="561"/>
      <c r="X71" s="561"/>
      <c r="Y71" s="561"/>
      <c r="Z71" s="561"/>
      <c r="AA71" s="561"/>
      <c r="AB71" s="561"/>
      <c r="AC71" s="561"/>
      <c r="AD71" s="124"/>
      <c r="AE71" s="124">
        <v>2.5000000000000001E-3</v>
      </c>
      <c r="AF71" s="124">
        <v>2.5000000000000001E-3</v>
      </c>
      <c r="AG71" s="124">
        <v>2.5000000000000001E-3</v>
      </c>
    </row>
    <row r="72" spans="1:33" ht="12.75" customHeight="1" x14ac:dyDescent="0.2">
      <c r="A72" s="17" t="s">
        <v>685</v>
      </c>
      <c r="B72" s="17"/>
      <c r="C72" s="17"/>
      <c r="D72" s="17"/>
      <c r="E72" s="17"/>
      <c r="F72" s="17"/>
      <c r="G72" s="17" t="s">
        <v>686</v>
      </c>
      <c r="H72" s="17" t="s">
        <v>297</v>
      </c>
      <c r="I72" s="272">
        <f>FRACfresh.R</f>
        <v>2.75E-2</v>
      </c>
      <c r="J72" s="562">
        <f>0.03-J71</f>
        <v>2.75E-2</v>
      </c>
      <c r="K72" s="561">
        <v>0.03</v>
      </c>
      <c r="L72" s="562"/>
      <c r="M72" s="562">
        <v>2.5595388012618299E-4</v>
      </c>
      <c r="N72" s="562">
        <v>2.5595388012618299E-4</v>
      </c>
      <c r="O72" s="562">
        <v>1.0116278692474385E-4</v>
      </c>
      <c r="P72" s="562">
        <v>1.0116278692474385E-4</v>
      </c>
      <c r="Q72" s="562"/>
      <c r="R72" s="561"/>
      <c r="S72" s="561"/>
      <c r="T72" s="562"/>
      <c r="U72" s="562"/>
      <c r="V72" s="561"/>
      <c r="W72" s="561"/>
      <c r="X72" s="562"/>
      <c r="Y72" s="562"/>
      <c r="Z72" s="562"/>
      <c r="AA72" s="562"/>
      <c r="AB72" s="562"/>
      <c r="AC72" s="562"/>
      <c r="AD72" s="124"/>
      <c r="AE72" s="124">
        <f t="shared" ref="AE72:AG72" si="0">0.03-AE71</f>
        <v>2.75E-2</v>
      </c>
      <c r="AF72" s="124">
        <f t="shared" si="0"/>
        <v>2.75E-2</v>
      </c>
      <c r="AG72" s="124">
        <f t="shared" si="0"/>
        <v>2.75E-2</v>
      </c>
    </row>
    <row r="73" spans="1:33" ht="12.75" customHeight="1" x14ac:dyDescent="0.2">
      <c r="A73" s="17" t="s">
        <v>687</v>
      </c>
      <c r="B73" s="17"/>
      <c r="C73" s="17"/>
      <c r="D73" s="17"/>
      <c r="E73" s="17"/>
      <c r="F73" s="17"/>
      <c r="G73" s="17" t="s">
        <v>688</v>
      </c>
      <c r="H73" s="17" t="s">
        <v>297</v>
      </c>
      <c r="I73" s="272">
        <f>FRACnatsoil.R</f>
        <v>0.27</v>
      </c>
      <c r="J73" s="562">
        <v>0.27</v>
      </c>
      <c r="K73" s="561">
        <v>0.27</v>
      </c>
      <c r="L73" s="562"/>
      <c r="M73" s="562">
        <v>0.13396571095647686</v>
      </c>
      <c r="N73" s="562">
        <v>0.13396571095647686</v>
      </c>
      <c r="O73" s="562">
        <v>0.13396571095647686</v>
      </c>
      <c r="P73" s="562">
        <v>0.13396571095647686</v>
      </c>
      <c r="Q73" s="562"/>
      <c r="R73" s="561"/>
      <c r="S73" s="561"/>
      <c r="T73" s="562"/>
      <c r="U73" s="562"/>
      <c r="V73" s="561"/>
      <c r="W73" s="561"/>
      <c r="X73" s="562"/>
      <c r="Y73" s="562"/>
      <c r="Z73" s="562"/>
      <c r="AA73" s="562"/>
      <c r="AB73" s="562"/>
      <c r="AC73" s="562"/>
      <c r="AD73" s="124"/>
      <c r="AE73" s="124">
        <v>0.27</v>
      </c>
      <c r="AF73" s="124">
        <v>0.27</v>
      </c>
      <c r="AG73" s="124">
        <v>0.27</v>
      </c>
    </row>
    <row r="74" spans="1:33" ht="12.75" customHeight="1" x14ac:dyDescent="0.2">
      <c r="A74" s="17" t="s">
        <v>689</v>
      </c>
      <c r="B74" s="17"/>
      <c r="C74" s="17"/>
      <c r="D74" s="17"/>
      <c r="E74" s="17"/>
      <c r="F74" s="17"/>
      <c r="G74" s="17" t="s">
        <v>690</v>
      </c>
      <c r="H74" s="17" t="s">
        <v>297</v>
      </c>
      <c r="I74" s="272">
        <f>FRACagsoil.R</f>
        <v>0.6</v>
      </c>
      <c r="J74" s="562">
        <v>0.6</v>
      </c>
      <c r="K74" s="561">
        <v>0.6</v>
      </c>
      <c r="L74" s="562"/>
      <c r="M74" s="562">
        <v>0.62583981387130228</v>
      </c>
      <c r="N74" s="562">
        <v>0.62583981387130228</v>
      </c>
      <c r="O74" s="562">
        <v>0.62583981387130228</v>
      </c>
      <c r="P74" s="562">
        <v>0.62583981387130228</v>
      </c>
      <c r="Q74" s="562"/>
      <c r="R74" s="561"/>
      <c r="S74" s="561"/>
      <c r="T74" s="562"/>
      <c r="U74" s="562"/>
      <c r="V74" s="561"/>
      <c r="W74" s="561"/>
      <c r="X74" s="562"/>
      <c r="Y74" s="562"/>
      <c r="Z74" s="562"/>
      <c r="AA74" s="562"/>
      <c r="AB74" s="562"/>
      <c r="AC74" s="562"/>
      <c r="AD74" s="124"/>
      <c r="AE74" s="124">
        <v>0.6</v>
      </c>
      <c r="AF74" s="124">
        <v>0.6</v>
      </c>
      <c r="AG74" s="124">
        <v>0.6</v>
      </c>
    </row>
    <row r="75" spans="1:33" ht="12.75" customHeight="1" x14ac:dyDescent="0.2">
      <c r="A75" s="17" t="s">
        <v>691</v>
      </c>
      <c r="B75" s="17"/>
      <c r="C75" s="17"/>
      <c r="D75" s="17"/>
      <c r="E75" s="17"/>
      <c r="F75" s="17"/>
      <c r="G75" s="17" t="s">
        <v>692</v>
      </c>
      <c r="H75" s="17" t="s">
        <v>297</v>
      </c>
      <c r="I75" s="272">
        <f>FRACothersoil.R</f>
        <v>0.1</v>
      </c>
      <c r="J75" s="562">
        <v>0.1</v>
      </c>
      <c r="K75" s="561">
        <v>0.1</v>
      </c>
      <c r="L75" s="562"/>
      <c r="M75" s="562">
        <v>0.2399385867877197</v>
      </c>
      <c r="N75" s="562">
        <v>0.2399385867877197</v>
      </c>
      <c r="O75" s="562">
        <v>0.2399385867877197</v>
      </c>
      <c r="P75" s="562">
        <v>0.2399385867877197</v>
      </c>
      <c r="Q75" s="562"/>
      <c r="R75" s="561"/>
      <c r="S75" s="561"/>
      <c r="T75" s="562"/>
      <c r="U75" s="562"/>
      <c r="V75" s="561"/>
      <c r="W75" s="561"/>
      <c r="X75" s="562"/>
      <c r="Y75" s="562"/>
      <c r="Z75" s="562"/>
      <c r="AA75" s="562"/>
      <c r="AB75" s="562"/>
      <c r="AC75" s="562"/>
      <c r="AD75" s="124"/>
      <c r="AE75" s="124">
        <v>0.1</v>
      </c>
      <c r="AF75" s="124">
        <v>0.1</v>
      </c>
      <c r="AG75" s="124">
        <v>0.1</v>
      </c>
    </row>
    <row r="76" spans="1:33" ht="12.75" customHeight="1" x14ac:dyDescent="0.2">
      <c r="A76" s="17" t="s">
        <v>693</v>
      </c>
      <c r="B76" s="17"/>
      <c r="C76" s="17"/>
      <c r="D76" s="17"/>
      <c r="E76" s="17"/>
      <c r="F76" s="17"/>
      <c r="G76" s="17" t="s">
        <v>694</v>
      </c>
      <c r="H76" s="17" t="s">
        <v>4339</v>
      </c>
      <c r="I76" s="272">
        <f>TEMP.R-273</f>
        <v>12</v>
      </c>
      <c r="J76" s="562">
        <v>12</v>
      </c>
      <c r="K76" s="561">
        <v>12</v>
      </c>
      <c r="L76" s="562"/>
      <c r="M76" s="562">
        <v>10</v>
      </c>
      <c r="N76" s="562">
        <v>10</v>
      </c>
      <c r="O76" s="562">
        <v>10</v>
      </c>
      <c r="P76" s="562">
        <v>10</v>
      </c>
      <c r="Q76" s="562"/>
      <c r="R76" s="561"/>
      <c r="S76" s="561"/>
      <c r="T76" s="562"/>
      <c r="U76" s="562"/>
      <c r="V76" s="561"/>
      <c r="W76" s="561"/>
      <c r="X76" s="562"/>
      <c r="Y76" s="562"/>
      <c r="Z76" s="562"/>
      <c r="AA76" s="562"/>
      <c r="AB76" s="562"/>
      <c r="AC76" s="562"/>
      <c r="AD76" s="124"/>
      <c r="AE76" s="124">
        <v>12</v>
      </c>
      <c r="AF76" s="124">
        <v>12</v>
      </c>
      <c r="AG76" s="124">
        <v>12</v>
      </c>
    </row>
    <row r="77" spans="1:33" ht="12.75" customHeight="1" x14ac:dyDescent="0.2">
      <c r="A77" s="17" t="s">
        <v>695</v>
      </c>
      <c r="B77" s="17"/>
      <c r="C77" s="17"/>
      <c r="D77" s="17"/>
      <c r="E77" s="17"/>
      <c r="F77" s="17"/>
      <c r="G77" s="17" t="s">
        <v>696</v>
      </c>
      <c r="H77" s="17" t="s">
        <v>889</v>
      </c>
      <c r="I77" s="272">
        <f>WINDspeed.R</f>
        <v>3</v>
      </c>
      <c r="J77" s="562">
        <v>3</v>
      </c>
      <c r="K77" s="561">
        <v>3</v>
      </c>
      <c r="L77" s="562"/>
      <c r="M77" s="562">
        <v>4.63580226898193</v>
      </c>
      <c r="N77" s="562">
        <v>4.63580226898193</v>
      </c>
      <c r="O77" s="562">
        <v>4.63580226898193</v>
      </c>
      <c r="P77" s="562">
        <v>4.63580226898193</v>
      </c>
      <c r="Q77" s="562"/>
      <c r="R77" s="561"/>
      <c r="S77" s="561"/>
      <c r="T77" s="562"/>
      <c r="U77" s="562"/>
      <c r="V77" s="561"/>
      <c r="W77" s="561"/>
      <c r="X77" s="562"/>
      <c r="Y77" s="562"/>
      <c r="Z77" s="562"/>
      <c r="AA77" s="562"/>
      <c r="AB77" s="562"/>
      <c r="AC77" s="562"/>
      <c r="AD77" s="124"/>
      <c r="AE77" s="124">
        <v>3</v>
      </c>
      <c r="AF77" s="124">
        <v>3</v>
      </c>
      <c r="AG77" s="124">
        <v>3</v>
      </c>
    </row>
    <row r="78" spans="1:33" ht="12.75" customHeight="1" x14ac:dyDescent="0.2">
      <c r="A78" s="17" t="s">
        <v>698</v>
      </c>
      <c r="B78" s="17"/>
      <c r="C78" s="17"/>
      <c r="D78" s="17"/>
      <c r="E78" s="17"/>
      <c r="F78" s="17"/>
      <c r="G78" s="17" t="s">
        <v>699</v>
      </c>
      <c r="H78" s="17" t="s">
        <v>4340</v>
      </c>
      <c r="I78" s="272">
        <f>RAINrate.R*1000*(3600*24*365)</f>
        <v>700</v>
      </c>
      <c r="J78" s="562">
        <v>700</v>
      </c>
      <c r="K78" s="561">
        <v>700</v>
      </c>
      <c r="L78" s="562"/>
      <c r="M78" s="562">
        <v>930.21250226047403</v>
      </c>
      <c r="N78" s="562">
        <v>930.21250226047403</v>
      </c>
      <c r="O78" s="562">
        <v>632.85703291353502</v>
      </c>
      <c r="P78" s="562">
        <v>632.85703291353502</v>
      </c>
      <c r="Q78" s="562"/>
      <c r="R78" s="561"/>
      <c r="S78" s="561"/>
      <c r="T78" s="562"/>
      <c r="U78" s="562"/>
      <c r="V78" s="561"/>
      <c r="W78" s="561"/>
      <c r="X78" s="562"/>
      <c r="Y78" s="562"/>
      <c r="Z78" s="562"/>
      <c r="AA78" s="562"/>
      <c r="AB78" s="562"/>
      <c r="AC78" s="562"/>
      <c r="AD78" s="124"/>
      <c r="AE78" s="124">
        <v>700</v>
      </c>
      <c r="AF78" s="124">
        <v>700</v>
      </c>
      <c r="AG78" s="124">
        <v>700</v>
      </c>
    </row>
    <row r="79" spans="1:33" ht="12.75" customHeight="1" x14ac:dyDescent="0.2">
      <c r="A79" s="17" t="s">
        <v>701</v>
      </c>
      <c r="B79" s="17"/>
      <c r="C79" s="17"/>
      <c r="D79" s="17"/>
      <c r="E79" s="17"/>
      <c r="F79" s="17"/>
      <c r="G79" s="17" t="s">
        <v>702</v>
      </c>
      <c r="H79" s="17" t="s">
        <v>284</v>
      </c>
      <c r="I79" s="272">
        <f>DEPTHlake.R</f>
        <v>100</v>
      </c>
      <c r="J79" s="562">
        <v>100</v>
      </c>
      <c r="K79" s="561">
        <v>1E-10</v>
      </c>
      <c r="L79" s="561"/>
      <c r="M79" s="561"/>
      <c r="N79" s="561"/>
      <c r="O79" s="561"/>
      <c r="P79" s="561"/>
      <c r="Q79" s="561"/>
      <c r="R79" s="561"/>
      <c r="S79" s="561"/>
      <c r="T79" s="561"/>
      <c r="U79" s="561"/>
      <c r="V79" s="561"/>
      <c r="W79" s="561"/>
      <c r="X79" s="561"/>
      <c r="Y79" s="561"/>
      <c r="Z79" s="561"/>
      <c r="AA79" s="561"/>
      <c r="AB79" s="561"/>
      <c r="AC79" s="561"/>
      <c r="AD79" s="124"/>
      <c r="AE79" s="124">
        <v>100</v>
      </c>
      <c r="AF79" s="124">
        <v>100</v>
      </c>
      <c r="AG79" s="124">
        <v>100</v>
      </c>
    </row>
    <row r="80" spans="1:33" ht="12.75" customHeight="1" x14ac:dyDescent="0.2">
      <c r="A80" s="17" t="s">
        <v>703</v>
      </c>
      <c r="B80" s="17"/>
      <c r="C80" s="17"/>
      <c r="D80" s="17"/>
      <c r="E80" s="17"/>
      <c r="F80" s="17"/>
      <c r="G80" s="17" t="s">
        <v>704</v>
      </c>
      <c r="H80" s="17" t="s">
        <v>284</v>
      </c>
      <c r="I80" s="272">
        <f>DEPTHfreshwater.R</f>
        <v>3</v>
      </c>
      <c r="J80" s="562">
        <v>3</v>
      </c>
      <c r="K80" s="561">
        <v>3</v>
      </c>
      <c r="L80" s="561"/>
      <c r="M80" s="561">
        <v>1.87</v>
      </c>
      <c r="N80" s="561">
        <v>1.87</v>
      </c>
      <c r="O80" s="561">
        <v>1.62</v>
      </c>
      <c r="P80" s="561">
        <v>1.62</v>
      </c>
      <c r="Q80" s="561"/>
      <c r="R80" s="561"/>
      <c r="S80" s="561"/>
      <c r="T80" s="561"/>
      <c r="U80" s="561"/>
      <c r="V80" s="561"/>
      <c r="W80" s="561"/>
      <c r="X80" s="561"/>
      <c r="Y80" s="561"/>
      <c r="Z80" s="561"/>
      <c r="AA80" s="561"/>
      <c r="AB80" s="561"/>
      <c r="AC80" s="561"/>
      <c r="AD80" s="124"/>
      <c r="AE80" s="124">
        <v>3</v>
      </c>
      <c r="AF80" s="124">
        <v>3</v>
      </c>
      <c r="AG80" s="124">
        <v>3</v>
      </c>
    </row>
    <row r="81" spans="1:33" ht="12.75" customHeight="1" x14ac:dyDescent="0.2">
      <c r="A81" s="17" t="s">
        <v>705</v>
      </c>
      <c r="B81" s="17"/>
      <c r="C81" s="17"/>
      <c r="D81" s="17"/>
      <c r="E81" s="17"/>
      <c r="F81" s="17"/>
      <c r="G81" s="17" t="s">
        <v>706</v>
      </c>
      <c r="H81" s="17" t="s">
        <v>297</v>
      </c>
      <c r="I81" s="272">
        <f>FRAC.w1R.w1C</f>
        <v>0</v>
      </c>
      <c r="J81" s="562">
        <v>0</v>
      </c>
      <c r="K81" s="561">
        <v>0</v>
      </c>
      <c r="L81" s="562"/>
      <c r="M81" s="562"/>
      <c r="N81" s="562"/>
      <c r="O81" s="562"/>
      <c r="P81" s="562"/>
      <c r="Q81" s="562"/>
      <c r="R81" s="561"/>
      <c r="S81" s="561"/>
      <c r="T81" s="562"/>
      <c r="U81" s="562"/>
      <c r="V81" s="561"/>
      <c r="W81" s="561"/>
      <c r="X81" s="562"/>
      <c r="Y81" s="562"/>
      <c r="Z81" s="562"/>
      <c r="AA81" s="562"/>
      <c r="AB81" s="562"/>
      <c r="AC81" s="562"/>
      <c r="AD81" s="124"/>
      <c r="AE81" s="124">
        <v>0</v>
      </c>
      <c r="AF81" s="124">
        <v>0</v>
      </c>
      <c r="AG81" s="124">
        <v>0</v>
      </c>
    </row>
    <row r="82" spans="1:33" ht="12.75" customHeight="1" x14ac:dyDescent="0.2">
      <c r="A82" s="17" t="s">
        <v>707</v>
      </c>
      <c r="B82" s="17"/>
      <c r="C82" s="17"/>
      <c r="D82" s="17"/>
      <c r="E82" s="17"/>
      <c r="F82" s="17"/>
      <c r="G82" s="17" t="s">
        <v>708</v>
      </c>
      <c r="H82" s="17" t="s">
        <v>297</v>
      </c>
      <c r="I82" s="272">
        <f>FRACrun.R</f>
        <v>0.25</v>
      </c>
      <c r="J82" s="562">
        <v>0.25</v>
      </c>
      <c r="K82" s="561">
        <v>0.25</v>
      </c>
      <c r="L82" s="562"/>
      <c r="M82" s="562"/>
      <c r="N82" s="562"/>
      <c r="O82" s="562"/>
      <c r="P82" s="562"/>
      <c r="Q82" s="562"/>
      <c r="R82" s="561"/>
      <c r="S82" s="561"/>
      <c r="T82" s="562"/>
      <c r="U82" s="562"/>
      <c r="V82" s="561"/>
      <c r="W82" s="561"/>
      <c r="X82" s="562"/>
      <c r="Y82" s="562"/>
      <c r="Z82" s="562"/>
      <c r="AA82" s="562"/>
      <c r="AB82" s="562"/>
      <c r="AC82" s="562"/>
      <c r="AD82" s="124"/>
      <c r="AE82" s="124">
        <v>0.25</v>
      </c>
      <c r="AF82" s="124">
        <v>0.25</v>
      </c>
      <c r="AG82" s="124">
        <v>0.25</v>
      </c>
    </row>
    <row r="83" spans="1:33" ht="12.75" customHeight="1" x14ac:dyDescent="0.2">
      <c r="A83" s="17" t="s">
        <v>709</v>
      </c>
      <c r="B83" s="17"/>
      <c r="C83" s="17"/>
      <c r="D83" s="17"/>
      <c r="E83" s="17"/>
      <c r="F83" s="17"/>
      <c r="G83" s="17" t="s">
        <v>710</v>
      </c>
      <c r="H83" s="17" t="s">
        <v>297</v>
      </c>
      <c r="I83" s="272">
        <f>FRACinf.R</f>
        <v>0.25</v>
      </c>
      <c r="J83" s="562">
        <v>0.25</v>
      </c>
      <c r="K83" s="561">
        <v>0.25</v>
      </c>
      <c r="L83" s="562"/>
      <c r="M83" s="562"/>
      <c r="N83" s="562"/>
      <c r="O83" s="562"/>
      <c r="P83" s="562"/>
      <c r="Q83" s="562"/>
      <c r="R83" s="561"/>
      <c r="S83" s="561"/>
      <c r="T83" s="562"/>
      <c r="U83" s="562"/>
      <c r="V83" s="561"/>
      <c r="W83" s="561"/>
      <c r="X83" s="562"/>
      <c r="Y83" s="562"/>
      <c r="Z83" s="562"/>
      <c r="AA83" s="562"/>
      <c r="AB83" s="562"/>
      <c r="AC83" s="562"/>
      <c r="AD83" s="124"/>
      <c r="AE83" s="124">
        <v>0.25</v>
      </c>
      <c r="AF83" s="124">
        <v>0.25</v>
      </c>
      <c r="AG83" s="124">
        <v>0.25</v>
      </c>
    </row>
    <row r="84" spans="1:33" ht="12.75" customHeight="1" x14ac:dyDescent="0.2">
      <c r="A84" s="17" t="s">
        <v>711</v>
      </c>
      <c r="B84" s="17"/>
      <c r="C84" s="17"/>
      <c r="D84" s="17"/>
      <c r="E84" s="17"/>
      <c r="F84" s="17"/>
      <c r="G84" s="17" t="s">
        <v>712</v>
      </c>
      <c r="H84" s="17" t="s">
        <v>4340</v>
      </c>
      <c r="I84" s="272">
        <f>EROSION.R*1000*(3600*24*365)</f>
        <v>0.03</v>
      </c>
      <c r="J84" s="562">
        <v>0.03</v>
      </c>
      <c r="K84" s="561">
        <v>0.03</v>
      </c>
      <c r="L84" s="562"/>
      <c r="M84" s="562"/>
      <c r="N84" s="562"/>
      <c r="O84" s="562"/>
      <c r="P84" s="562"/>
      <c r="Q84" s="562"/>
      <c r="R84" s="561"/>
      <c r="S84" s="562"/>
      <c r="T84" s="562"/>
      <c r="U84" s="562"/>
      <c r="V84" s="561"/>
      <c r="W84" s="562"/>
      <c r="X84" s="562"/>
      <c r="Y84" s="562"/>
      <c r="Z84" s="562"/>
      <c r="AA84" s="562"/>
      <c r="AB84" s="562"/>
      <c r="AC84" s="562"/>
      <c r="AD84" s="124"/>
      <c r="AE84" s="124">
        <v>0.03</v>
      </c>
      <c r="AF84" s="124">
        <v>0.03</v>
      </c>
      <c r="AG84" s="124">
        <v>0.03</v>
      </c>
    </row>
    <row r="85" spans="1:33" ht="12.75" customHeight="1" x14ac:dyDescent="0.2">
      <c r="A85" s="228" t="s">
        <v>713</v>
      </c>
      <c r="B85" s="228"/>
      <c r="C85" s="228"/>
      <c r="D85" s="228"/>
      <c r="E85" s="228"/>
      <c r="F85" s="228"/>
      <c r="G85" s="228" t="s">
        <v>714</v>
      </c>
      <c r="H85" s="216" t="s">
        <v>715</v>
      </c>
      <c r="I85" s="820">
        <f>NumConcNuc.aR</f>
        <v>3200000000</v>
      </c>
      <c r="J85" s="562"/>
      <c r="K85" s="561"/>
      <c r="L85" s="562">
        <f>1400*1000*1000</f>
        <v>1400000000</v>
      </c>
      <c r="M85" s="562"/>
      <c r="N85" s="562">
        <f>1400*1000*1000</f>
        <v>1400000000</v>
      </c>
      <c r="O85" s="562"/>
      <c r="P85" s="562">
        <f>1400*1000*1000</f>
        <v>1400000000</v>
      </c>
      <c r="Q85" s="562"/>
      <c r="R85" s="561"/>
      <c r="S85" s="822"/>
      <c r="T85" s="562"/>
      <c r="U85" s="561"/>
      <c r="V85" s="561"/>
      <c r="W85" s="822"/>
      <c r="X85" s="562"/>
      <c r="Y85" s="561"/>
      <c r="Z85" s="562"/>
      <c r="AA85" s="562"/>
      <c r="AB85" s="562"/>
      <c r="AC85" s="562"/>
      <c r="AD85" s="124"/>
      <c r="AE85" s="124"/>
      <c r="AF85" s="124"/>
      <c r="AG85" s="124"/>
    </row>
    <row r="86" spans="1:33" ht="12.75" customHeight="1" x14ac:dyDescent="0.2">
      <c r="A86" s="228" t="s">
        <v>717</v>
      </c>
      <c r="B86" s="228"/>
      <c r="C86" s="228"/>
      <c r="D86" s="228"/>
      <c r="E86" s="228"/>
      <c r="F86" s="228"/>
      <c r="G86" s="228" t="s">
        <v>718</v>
      </c>
      <c r="H86" s="216" t="s">
        <v>715</v>
      </c>
      <c r="I86" s="272">
        <f>NumConcAcc.aR</f>
        <v>2900000000</v>
      </c>
      <c r="J86" s="562"/>
      <c r="K86" s="561"/>
      <c r="L86" s="562">
        <v>3600000000</v>
      </c>
      <c r="M86" s="562"/>
      <c r="N86" s="562">
        <v>3600000000</v>
      </c>
      <c r="O86" s="562"/>
      <c r="P86" s="562">
        <v>3600000000</v>
      </c>
      <c r="Q86" s="562"/>
      <c r="R86" s="561"/>
      <c r="S86" s="822"/>
      <c r="T86" s="562"/>
      <c r="U86" s="561"/>
      <c r="V86" s="561"/>
      <c r="W86" s="822"/>
      <c r="X86" s="562"/>
      <c r="Y86" s="561"/>
      <c r="Z86" s="562"/>
      <c r="AA86" s="562"/>
      <c r="AB86" s="562"/>
      <c r="AC86" s="562"/>
      <c r="AD86" s="124"/>
      <c r="AE86" s="124"/>
      <c r="AF86" s="124"/>
      <c r="AG86" s="124"/>
    </row>
    <row r="87" spans="1:33" ht="12.75" customHeight="1" x14ac:dyDescent="0.2">
      <c r="A87" s="228" t="s">
        <v>719</v>
      </c>
      <c r="B87" s="228"/>
      <c r="C87" s="228"/>
      <c r="D87" s="228"/>
      <c r="E87" s="228"/>
      <c r="F87" s="228"/>
      <c r="G87" s="228" t="s">
        <v>720</v>
      </c>
      <c r="H87" s="216" t="s">
        <v>715</v>
      </c>
      <c r="I87" s="272">
        <f>NumConcCP.aR</f>
        <v>300000</v>
      </c>
      <c r="J87" s="562"/>
      <c r="K87" s="561"/>
      <c r="L87" s="562">
        <v>2100000</v>
      </c>
      <c r="M87" s="562"/>
      <c r="N87" s="562">
        <v>2100000</v>
      </c>
      <c r="O87" s="562"/>
      <c r="P87" s="562">
        <v>2100000</v>
      </c>
      <c r="Q87" s="562"/>
      <c r="R87" s="561"/>
      <c r="S87" s="562"/>
      <c r="T87" s="562"/>
      <c r="U87" s="561"/>
      <c r="V87" s="561"/>
      <c r="W87" s="562"/>
      <c r="X87" s="562"/>
      <c r="Y87" s="561"/>
      <c r="Z87" s="562"/>
      <c r="AA87" s="562"/>
      <c r="AB87" s="562"/>
      <c r="AC87" s="562"/>
      <c r="AD87" s="124"/>
      <c r="AE87" s="124"/>
      <c r="AF87" s="124"/>
      <c r="AG87" s="124"/>
    </row>
    <row r="88" spans="1:33" ht="12.75" customHeight="1" x14ac:dyDescent="0.2">
      <c r="A88" s="216" t="s">
        <v>721</v>
      </c>
      <c r="B88" s="228"/>
      <c r="C88" s="228"/>
      <c r="D88" s="228"/>
      <c r="E88" s="228"/>
      <c r="F88" s="228"/>
      <c r="G88" s="579" t="s">
        <v>722</v>
      </c>
      <c r="H88" s="216" t="s">
        <v>723</v>
      </c>
      <c r="I88" s="272">
        <f>COL.w0R*1000</f>
        <v>1</v>
      </c>
      <c r="J88" s="562"/>
      <c r="K88" s="561"/>
      <c r="L88" s="562">
        <f>170000000000000*SingleVolNC.w*RhoNC.w*1000</f>
        <v>4.8066367599923847</v>
      </c>
      <c r="M88" s="562"/>
      <c r="N88" s="562">
        <f>170000000000000*SingleVolNC.w*RhoNC.w*1000</f>
        <v>4.8066367599923847</v>
      </c>
      <c r="O88" s="562"/>
      <c r="P88" s="562">
        <f>170000000000000*SingleVolNC.w*RhoNC.w*1000</f>
        <v>4.8066367599923847</v>
      </c>
      <c r="Q88" s="562"/>
      <c r="R88" s="561"/>
      <c r="S88" s="823"/>
      <c r="T88" s="562"/>
      <c r="U88" s="561"/>
      <c r="V88" s="561"/>
      <c r="W88" s="823"/>
      <c r="X88" s="562"/>
      <c r="Y88" s="561"/>
      <c r="Z88" s="562"/>
      <c r="AA88" s="562"/>
      <c r="AB88" s="562"/>
      <c r="AC88" s="562"/>
      <c r="AD88" s="124"/>
      <c r="AE88" s="124"/>
      <c r="AF88" s="124"/>
      <c r="AG88" s="124"/>
    </row>
    <row r="89" spans="1:33" ht="12.75" customHeight="1" x14ac:dyDescent="0.2">
      <c r="A89" s="216" t="s">
        <v>721</v>
      </c>
      <c r="B89" s="228"/>
      <c r="C89" s="228"/>
      <c r="D89" s="228"/>
      <c r="E89" s="228"/>
      <c r="F89" s="228"/>
      <c r="G89" s="579" t="s">
        <v>725</v>
      </c>
      <c r="H89" s="216" t="s">
        <v>723</v>
      </c>
      <c r="I89" s="272">
        <f>COL.w1R*1000</f>
        <v>1</v>
      </c>
      <c r="J89" s="562"/>
      <c r="K89" s="561"/>
      <c r="L89" s="562">
        <f>170000000000000*SingleVolNC.w*RhoNC.w*1000</f>
        <v>4.8066367599923847</v>
      </c>
      <c r="M89" s="562">
        <v>0.12393037193697687</v>
      </c>
      <c r="N89" s="562">
        <v>0.12393037193697687</v>
      </c>
      <c r="O89" s="562">
        <v>0.11329900738000624</v>
      </c>
      <c r="P89" s="562">
        <v>0.11329900738000624</v>
      </c>
      <c r="Q89" s="562"/>
      <c r="R89" s="561"/>
      <c r="S89" s="823"/>
      <c r="T89" s="562"/>
      <c r="U89" s="561"/>
      <c r="V89" s="561"/>
      <c r="W89" s="823"/>
      <c r="X89" s="562"/>
      <c r="Y89" s="561"/>
      <c r="Z89" s="562"/>
      <c r="AA89" s="562"/>
      <c r="AB89" s="562"/>
      <c r="AC89" s="562"/>
      <c r="AD89" s="124"/>
      <c r="AE89" s="124"/>
      <c r="AF89" s="124"/>
      <c r="AG89" s="124"/>
    </row>
    <row r="90" spans="1:33" ht="12.75" customHeight="1" x14ac:dyDescent="0.2">
      <c r="A90" s="216" t="s">
        <v>721</v>
      </c>
      <c r="B90" s="228"/>
      <c r="C90" s="228"/>
      <c r="D90" s="228"/>
      <c r="E90" s="228"/>
      <c r="F90" s="228"/>
      <c r="G90" s="579" t="s">
        <v>726</v>
      </c>
      <c r="H90" s="216" t="s">
        <v>723</v>
      </c>
      <c r="I90" s="272">
        <f>COL.w2R*1000</f>
        <v>1</v>
      </c>
      <c r="J90" s="562"/>
      <c r="K90" s="561"/>
      <c r="L90" s="562">
        <f>170000000000000*SingleVolNC.w*RhoNC.w*1000</f>
        <v>4.8066367599923847</v>
      </c>
      <c r="M90" s="562"/>
      <c r="N90" s="562">
        <f>170000000000000*SingleVolNC.w*RhoNC.w*1000</f>
        <v>4.8066367599923847</v>
      </c>
      <c r="O90" s="562"/>
      <c r="P90" s="562">
        <f>170000000000000*SingleVolNC.w*RhoNC.w*1000</f>
        <v>4.8066367599923847</v>
      </c>
      <c r="Q90" s="562"/>
      <c r="R90" s="561"/>
      <c r="S90" s="823"/>
      <c r="T90" s="562"/>
      <c r="U90" s="561"/>
      <c r="V90" s="561"/>
      <c r="W90" s="823"/>
      <c r="X90" s="562"/>
      <c r="Y90" s="561"/>
      <c r="Z90" s="562"/>
      <c r="AA90" s="562"/>
      <c r="AB90" s="562"/>
      <c r="AC90" s="562"/>
      <c r="AD90" s="124"/>
      <c r="AE90" s="124"/>
      <c r="AF90" s="124"/>
      <c r="AG90" s="124"/>
    </row>
    <row r="91" spans="1:33" ht="12.75" customHeight="1" x14ac:dyDescent="0.2">
      <c r="A91" s="216" t="s">
        <v>727</v>
      </c>
      <c r="B91" s="228"/>
      <c r="C91" s="228"/>
      <c r="D91" s="228"/>
      <c r="E91" s="228"/>
      <c r="F91" s="228"/>
      <c r="G91" s="579" t="s">
        <v>728</v>
      </c>
      <c r="H91" s="216" t="s">
        <v>586</v>
      </c>
      <c r="I91" s="272">
        <f>SUSP.w0R*1000</f>
        <v>0.5</v>
      </c>
      <c r="J91" s="562"/>
      <c r="K91" s="561"/>
      <c r="L91" s="562">
        <f>36000000000*SingleVolSPM.w*RhoSPM.w*1000</f>
        <v>10.178760197630933</v>
      </c>
      <c r="M91" s="562"/>
      <c r="N91" s="562">
        <f>36000000000*SingleVolSPM.w*RhoSPM.w*1000</f>
        <v>10.178760197630933</v>
      </c>
      <c r="O91" s="562"/>
      <c r="P91" s="562">
        <f>36000000000*SingleVolSPM.w*RhoSPM.w*1000</f>
        <v>10.178760197630933</v>
      </c>
      <c r="Q91" s="562"/>
      <c r="R91" s="561"/>
      <c r="S91" s="823"/>
      <c r="T91" s="562"/>
      <c r="U91" s="561"/>
      <c r="V91" s="561"/>
      <c r="W91" s="823"/>
      <c r="X91" s="562"/>
      <c r="Y91" s="561"/>
      <c r="Z91" s="562"/>
      <c r="AA91" s="562"/>
      <c r="AB91" s="562"/>
      <c r="AC91" s="562"/>
      <c r="AD91" s="124"/>
      <c r="AE91" s="124"/>
      <c r="AF91" s="124"/>
      <c r="AG91" s="124"/>
    </row>
    <row r="92" spans="1:33" ht="12.75" customHeight="1" x14ac:dyDescent="0.2">
      <c r="A92" s="216" t="s">
        <v>730</v>
      </c>
      <c r="B92" s="228"/>
      <c r="C92" s="228"/>
      <c r="D92" s="228"/>
      <c r="E92" s="228"/>
      <c r="F92" s="228"/>
      <c r="G92" s="579" t="s">
        <v>731</v>
      </c>
      <c r="H92" s="216" t="s">
        <v>586</v>
      </c>
      <c r="I92" s="272">
        <f>SUSP.w1R*1000</f>
        <v>15</v>
      </c>
      <c r="J92" s="562"/>
      <c r="K92" s="561"/>
      <c r="L92" s="562">
        <f>36000000000*SingleVolSPM.w*RhoSPM.w*1000</f>
        <v>10.178760197630933</v>
      </c>
      <c r="M92" s="562">
        <v>1.858955579054653</v>
      </c>
      <c r="N92" s="562">
        <v>1.858955579054653</v>
      </c>
      <c r="O92" s="562">
        <v>1.6994851107000937</v>
      </c>
      <c r="P92" s="562">
        <v>1.6994851107000937</v>
      </c>
      <c r="Q92" s="562"/>
      <c r="R92" s="561"/>
      <c r="S92" s="823"/>
      <c r="T92" s="562"/>
      <c r="U92" s="561"/>
      <c r="V92" s="561"/>
      <c r="W92" s="823"/>
      <c r="X92" s="562"/>
      <c r="Y92" s="561"/>
      <c r="Z92" s="562"/>
      <c r="AA92" s="562"/>
      <c r="AB92" s="562"/>
      <c r="AC92" s="562"/>
      <c r="AD92" s="124"/>
      <c r="AE92" s="124"/>
      <c r="AF92" s="124"/>
      <c r="AG92" s="124"/>
    </row>
    <row r="93" spans="1:33" ht="12.75" customHeight="1" x14ac:dyDescent="0.2">
      <c r="A93" s="216" t="s">
        <v>732</v>
      </c>
      <c r="B93" s="228"/>
      <c r="C93" s="228"/>
      <c r="D93" s="228"/>
      <c r="E93" s="228"/>
      <c r="F93" s="228"/>
      <c r="G93" s="579" t="s">
        <v>733</v>
      </c>
      <c r="H93" s="216" t="s">
        <v>586</v>
      </c>
      <c r="I93" s="272">
        <f>SUSP.w2R*1000</f>
        <v>5</v>
      </c>
      <c r="J93" s="562"/>
      <c r="K93" s="561"/>
      <c r="L93" s="562">
        <f>36000000000*SingleVolSPM.w*RhoSPM.w*1000</f>
        <v>10.178760197630933</v>
      </c>
      <c r="M93" s="562"/>
      <c r="N93" s="562">
        <f>36000000000*SingleVolSPM.w*RhoSPM.w*1000</f>
        <v>10.178760197630933</v>
      </c>
      <c r="O93" s="562"/>
      <c r="P93" s="562">
        <f>36000000000*SingleVolSPM.w*RhoSPM.w*1000</f>
        <v>10.178760197630933</v>
      </c>
      <c r="Q93" s="562"/>
      <c r="R93" s="561"/>
      <c r="S93" s="823"/>
      <c r="T93" s="562"/>
      <c r="U93" s="561"/>
      <c r="V93" s="561"/>
      <c r="W93" s="823"/>
      <c r="X93" s="562"/>
      <c r="Y93" s="561"/>
      <c r="Z93" s="562"/>
      <c r="AA93" s="562"/>
      <c r="AB93" s="562"/>
      <c r="AC93" s="562"/>
      <c r="AD93" s="124"/>
      <c r="AE93" s="124"/>
      <c r="AF93" s="124"/>
      <c r="AG93" s="124"/>
    </row>
    <row r="94" spans="1:33" ht="12.75" customHeight="1" x14ac:dyDescent="0.2">
      <c r="A94" s="228" t="s">
        <v>734</v>
      </c>
      <c r="B94" s="228"/>
      <c r="C94" s="228"/>
      <c r="D94" s="228"/>
      <c r="E94" s="228"/>
      <c r="F94" s="228"/>
      <c r="G94" s="216" t="s">
        <v>735</v>
      </c>
      <c r="H94" s="216" t="s">
        <v>736</v>
      </c>
      <c r="I94" s="272">
        <f>mConcNC.sR*1000</f>
        <v>100</v>
      </c>
      <c r="J94" s="562"/>
      <c r="K94" s="561"/>
      <c r="L94" s="562"/>
      <c r="M94" s="562"/>
      <c r="N94" s="562"/>
      <c r="O94" s="562"/>
      <c r="P94" s="562"/>
      <c r="Q94" s="562"/>
      <c r="R94" s="561"/>
      <c r="S94" s="823"/>
      <c r="T94" s="562"/>
      <c r="U94" s="561"/>
      <c r="V94" s="561"/>
      <c r="W94" s="823"/>
      <c r="X94" s="562"/>
      <c r="Y94" s="561"/>
      <c r="Z94" s="562"/>
      <c r="AA94" s="562"/>
      <c r="AB94" s="562"/>
      <c r="AC94" s="562"/>
      <c r="AD94" s="124"/>
      <c r="AE94" s="124"/>
      <c r="AF94" s="124"/>
      <c r="AG94" s="124"/>
    </row>
    <row r="95" spans="1:33" ht="12.75" customHeight="1" x14ac:dyDescent="0.2">
      <c r="A95" s="228"/>
      <c r="B95" s="228"/>
      <c r="C95" s="228"/>
      <c r="D95" s="228"/>
      <c r="E95" s="228"/>
      <c r="F95" s="228"/>
      <c r="G95" s="228"/>
      <c r="H95" s="228"/>
      <c r="I95" s="234"/>
      <c r="J95" s="561"/>
      <c r="K95" s="561"/>
      <c r="L95" s="561"/>
      <c r="M95" s="561"/>
      <c r="N95" s="561"/>
      <c r="O95" s="561"/>
      <c r="P95" s="561"/>
      <c r="Q95" s="561"/>
      <c r="R95" s="561"/>
      <c r="S95" s="561"/>
      <c r="T95" s="561"/>
      <c r="U95" s="561"/>
      <c r="V95" s="561"/>
      <c r="W95" s="561"/>
      <c r="X95" s="561"/>
      <c r="Y95" s="561"/>
      <c r="Z95" s="561"/>
      <c r="AA95" s="561"/>
      <c r="AB95" s="561"/>
      <c r="AC95" s="561"/>
      <c r="AD95" s="124"/>
      <c r="AE95" s="124"/>
      <c r="AF95" s="124"/>
      <c r="AG95" s="124"/>
    </row>
    <row r="96" spans="1:33" ht="12.75" customHeight="1" x14ac:dyDescent="0.2">
      <c r="A96" s="821" t="s">
        <v>216</v>
      </c>
      <c r="B96" s="228"/>
      <c r="C96" s="228"/>
      <c r="D96" s="228"/>
      <c r="E96" s="228"/>
      <c r="F96" s="228"/>
      <c r="G96" s="228"/>
      <c r="H96" s="228"/>
      <c r="I96" s="234"/>
      <c r="J96" s="561"/>
      <c r="K96" s="561"/>
      <c r="L96" s="561"/>
      <c r="M96" s="561"/>
      <c r="N96" s="561"/>
      <c r="O96" s="561"/>
      <c r="P96" s="561"/>
      <c r="Q96" s="561"/>
      <c r="R96" s="561"/>
      <c r="S96" s="561"/>
      <c r="T96" s="561"/>
      <c r="U96" s="561"/>
      <c r="V96" s="561"/>
      <c r="W96" s="561"/>
      <c r="X96" s="561"/>
      <c r="Y96" s="561"/>
      <c r="Z96" s="561"/>
      <c r="AA96" s="561"/>
      <c r="AB96" s="561"/>
      <c r="AC96" s="561"/>
      <c r="AD96" s="124"/>
      <c r="AE96" s="124"/>
      <c r="AF96" s="124"/>
      <c r="AG96" s="124"/>
    </row>
    <row r="97" spans="1:33" ht="12.75" customHeight="1" x14ac:dyDescent="0.2">
      <c r="A97" s="228" t="s">
        <v>677</v>
      </c>
      <c r="B97" s="228"/>
      <c r="C97" s="228"/>
      <c r="D97" s="228"/>
      <c r="E97" s="228"/>
      <c r="F97" s="228"/>
      <c r="G97" s="228" t="s">
        <v>739</v>
      </c>
      <c r="H97" s="579" t="s">
        <v>4338</v>
      </c>
      <c r="I97" s="272">
        <f>AREAland.C*0.000001</f>
        <v>3485840</v>
      </c>
      <c r="J97" s="562"/>
      <c r="K97" s="561"/>
      <c r="L97" s="562"/>
      <c r="M97" s="562"/>
      <c r="N97" s="562"/>
      <c r="O97" s="562"/>
      <c r="P97" s="562"/>
      <c r="Q97" s="562"/>
      <c r="R97" s="561"/>
      <c r="S97" s="561"/>
      <c r="T97" s="562"/>
      <c r="U97" s="562"/>
      <c r="V97" s="561"/>
      <c r="W97" s="561"/>
      <c r="X97" s="562"/>
      <c r="Y97" s="562"/>
      <c r="Z97" s="562"/>
      <c r="AA97" s="562"/>
      <c r="AB97" s="562"/>
      <c r="AC97" s="562"/>
      <c r="AD97" s="124"/>
      <c r="AE97" s="124">
        <v>3714410</v>
      </c>
      <c r="AF97" s="124">
        <v>3714410</v>
      </c>
      <c r="AG97" s="124">
        <v>3714410</v>
      </c>
    </row>
    <row r="98" spans="1:33" ht="12.75" customHeight="1" x14ac:dyDescent="0.2">
      <c r="A98" s="228" t="s">
        <v>681</v>
      </c>
      <c r="B98" s="228"/>
      <c r="C98" s="228"/>
      <c r="D98" s="228"/>
      <c r="E98" s="228"/>
      <c r="F98" s="228"/>
      <c r="G98" s="228" t="s">
        <v>740</v>
      </c>
      <c r="H98" s="579" t="s">
        <v>4338</v>
      </c>
      <c r="I98" s="272">
        <f>AREAsea.C*0.000001</f>
        <v>3713410</v>
      </c>
      <c r="J98" s="562"/>
      <c r="K98" s="561"/>
      <c r="L98" s="562"/>
      <c r="M98" s="562"/>
      <c r="N98" s="562"/>
      <c r="O98" s="562"/>
      <c r="P98" s="562"/>
      <c r="Q98" s="562"/>
      <c r="R98" s="561"/>
      <c r="S98" s="561"/>
      <c r="T98" s="562"/>
      <c r="U98" s="562"/>
      <c r="V98" s="561"/>
      <c r="W98" s="561"/>
      <c r="X98" s="562"/>
      <c r="Y98" s="562"/>
      <c r="Z98" s="562"/>
      <c r="AA98" s="562"/>
      <c r="AB98" s="562"/>
      <c r="AC98" s="562"/>
      <c r="AD98" s="124"/>
      <c r="AE98" s="124">
        <v>3714410</v>
      </c>
      <c r="AF98" s="124">
        <v>3714410</v>
      </c>
      <c r="AG98" s="124">
        <v>3714410</v>
      </c>
    </row>
    <row r="99" spans="1:33" ht="12.75" customHeight="1" x14ac:dyDescent="0.2">
      <c r="A99" s="228" t="s">
        <v>4719</v>
      </c>
      <c r="B99" s="228"/>
      <c r="C99" s="228"/>
      <c r="D99" s="228"/>
      <c r="E99" s="228"/>
      <c r="F99" s="228"/>
      <c r="G99" s="228" t="s">
        <v>4721</v>
      </c>
      <c r="H99" s="579" t="s">
        <v>4338</v>
      </c>
      <c r="I99" s="272">
        <f>TOTAREAland.C*0.000001</f>
        <v>3.71441</v>
      </c>
      <c r="J99" s="562">
        <v>3714410</v>
      </c>
      <c r="K99" s="561">
        <v>3520000</v>
      </c>
      <c r="L99" s="562"/>
      <c r="M99" s="562"/>
      <c r="N99" s="562"/>
      <c r="O99" s="562"/>
      <c r="P99" s="562"/>
      <c r="Q99" s="562"/>
      <c r="R99" s="561"/>
      <c r="S99" s="561"/>
      <c r="T99" s="562"/>
      <c r="U99" s="562"/>
      <c r="V99" s="561"/>
      <c r="W99" s="561"/>
      <c r="X99" s="562"/>
      <c r="Y99" s="562"/>
      <c r="Z99" s="562"/>
      <c r="AA99" s="562"/>
      <c r="AB99" s="562"/>
      <c r="AC99" s="562"/>
      <c r="AD99" s="124"/>
      <c r="AE99" s="124"/>
      <c r="AF99" s="124"/>
      <c r="AG99" s="124"/>
    </row>
    <row r="100" spans="1:33" ht="12.75" customHeight="1" x14ac:dyDescent="0.2">
      <c r="A100" s="228" t="s">
        <v>4720</v>
      </c>
      <c r="B100" s="228"/>
      <c r="C100" s="228"/>
      <c r="D100" s="228"/>
      <c r="E100" s="228"/>
      <c r="F100" s="228"/>
      <c r="G100" s="228" t="s">
        <v>4722</v>
      </c>
      <c r="H100" s="579" t="s">
        <v>4338</v>
      </c>
      <c r="I100" s="272">
        <f>TOTAREAsea.C*0.000001</f>
        <v>3.71441</v>
      </c>
      <c r="J100" s="562">
        <v>3714410</v>
      </c>
      <c r="K100" s="561">
        <v>3520200</v>
      </c>
      <c r="L100" s="562"/>
      <c r="M100" s="562"/>
      <c r="N100" s="562"/>
      <c r="O100" s="562"/>
      <c r="P100" s="562"/>
      <c r="Q100" s="562"/>
      <c r="R100" s="561"/>
      <c r="S100" s="561"/>
      <c r="T100" s="562"/>
      <c r="U100" s="562"/>
      <c r="V100" s="561"/>
      <c r="W100" s="561"/>
      <c r="X100" s="562"/>
      <c r="Y100" s="562"/>
      <c r="Z100" s="562"/>
      <c r="AA100" s="562"/>
      <c r="AB100" s="562"/>
      <c r="AC100" s="562"/>
      <c r="AD100" s="124"/>
      <c r="AE100" s="124"/>
      <c r="AF100" s="124"/>
      <c r="AG100" s="124"/>
    </row>
    <row r="101" spans="1:33" ht="12.75" customHeight="1" x14ac:dyDescent="0.2">
      <c r="A101" s="228" t="s">
        <v>683</v>
      </c>
      <c r="B101" s="228"/>
      <c r="C101" s="228"/>
      <c r="D101" s="228"/>
      <c r="E101" s="228"/>
      <c r="F101" s="228"/>
      <c r="G101" s="228" t="s">
        <v>741</v>
      </c>
      <c r="H101" s="228" t="s">
        <v>297</v>
      </c>
      <c r="I101" s="272">
        <f>FRAClake.C</f>
        <v>2.5000000000000001E-3</v>
      </c>
      <c r="J101" s="562">
        <v>2.5000000000000001E-3</v>
      </c>
      <c r="K101" s="561">
        <v>1E-10</v>
      </c>
      <c r="L101" s="561"/>
      <c r="M101" s="561"/>
      <c r="N101" s="561"/>
      <c r="O101" s="561"/>
      <c r="P101" s="561"/>
      <c r="Q101" s="561"/>
      <c r="R101" s="561"/>
      <c r="S101" s="561"/>
      <c r="T101" s="561"/>
      <c r="U101" s="561"/>
      <c r="V101" s="561"/>
      <c r="W101" s="561"/>
      <c r="X101" s="561"/>
      <c r="Y101" s="561"/>
      <c r="Z101" s="561"/>
      <c r="AA101" s="561"/>
      <c r="AB101" s="561"/>
      <c r="AC101" s="561"/>
      <c r="AD101" s="124"/>
      <c r="AE101" s="124">
        <v>2.5000000000000001E-3</v>
      </c>
      <c r="AF101" s="124">
        <v>2.5000000000000001E-3</v>
      </c>
      <c r="AG101" s="124">
        <v>2.5000000000000001E-3</v>
      </c>
    </row>
    <row r="102" spans="1:33" ht="12.75" customHeight="1" x14ac:dyDescent="0.2">
      <c r="A102" s="228" t="s">
        <v>685</v>
      </c>
      <c r="B102" s="228"/>
      <c r="C102" s="228"/>
      <c r="D102" s="228"/>
      <c r="E102" s="228"/>
      <c r="F102" s="228"/>
      <c r="G102" s="228" t="s">
        <v>742</v>
      </c>
      <c r="H102" s="228" t="s">
        <v>297</v>
      </c>
      <c r="I102" s="272">
        <f>FRACfresh.C</f>
        <v>2.75E-2</v>
      </c>
      <c r="J102" s="562">
        <f>0.03-J101</f>
        <v>2.75E-2</v>
      </c>
      <c r="K102" s="561">
        <v>0.03</v>
      </c>
      <c r="L102" s="562"/>
      <c r="M102" s="562"/>
      <c r="N102" s="562"/>
      <c r="O102" s="562"/>
      <c r="P102" s="562"/>
      <c r="Q102" s="562"/>
      <c r="R102" s="561"/>
      <c r="S102" s="561"/>
      <c r="T102" s="562"/>
      <c r="U102" s="562"/>
      <c r="V102" s="561"/>
      <c r="W102" s="561"/>
      <c r="X102" s="562"/>
      <c r="Y102" s="562"/>
      <c r="Z102" s="562"/>
      <c r="AA102" s="562"/>
      <c r="AB102" s="562"/>
      <c r="AC102" s="562"/>
      <c r="AD102" s="124"/>
      <c r="AE102" s="124">
        <f t="shared" ref="AE102:AG102" si="1">0.03-AE101</f>
        <v>2.75E-2</v>
      </c>
      <c r="AF102" s="124">
        <f t="shared" si="1"/>
        <v>2.75E-2</v>
      </c>
      <c r="AG102" s="124">
        <f t="shared" si="1"/>
        <v>2.75E-2</v>
      </c>
    </row>
    <row r="103" spans="1:33" ht="12.75" customHeight="1" x14ac:dyDescent="0.2">
      <c r="A103" s="228" t="s">
        <v>687</v>
      </c>
      <c r="B103" s="228"/>
      <c r="C103" s="228"/>
      <c r="D103" s="228"/>
      <c r="E103" s="228"/>
      <c r="F103" s="228"/>
      <c r="G103" s="228" t="s">
        <v>743</v>
      </c>
      <c r="H103" s="228" t="s">
        <v>297</v>
      </c>
      <c r="I103" s="272">
        <f>FRACnatsoil.C</f>
        <v>0.27</v>
      </c>
      <c r="J103" s="562">
        <v>0.27</v>
      </c>
      <c r="K103" s="561">
        <v>0.27</v>
      </c>
      <c r="L103" s="562"/>
      <c r="M103" s="562"/>
      <c r="N103" s="562"/>
      <c r="O103" s="562"/>
      <c r="P103" s="562"/>
      <c r="Q103" s="562"/>
      <c r="R103" s="561"/>
      <c r="S103" s="561"/>
      <c r="T103" s="562"/>
      <c r="U103" s="562"/>
      <c r="V103" s="561"/>
      <c r="W103" s="561"/>
      <c r="X103" s="562"/>
      <c r="Y103" s="562"/>
      <c r="Z103" s="562"/>
      <c r="AA103" s="562"/>
      <c r="AB103" s="562"/>
      <c r="AC103" s="562"/>
      <c r="AD103" s="124"/>
      <c r="AE103" s="124">
        <v>0.27</v>
      </c>
      <c r="AF103" s="124">
        <v>0.27</v>
      </c>
      <c r="AG103" s="124">
        <v>0.27</v>
      </c>
    </row>
    <row r="104" spans="1:33" ht="12.75" customHeight="1" x14ac:dyDescent="0.2">
      <c r="A104" s="228" t="s">
        <v>689</v>
      </c>
      <c r="B104" s="228"/>
      <c r="C104" s="228"/>
      <c r="D104" s="228"/>
      <c r="E104" s="228"/>
      <c r="F104" s="228"/>
      <c r="G104" s="228" t="s">
        <v>744</v>
      </c>
      <c r="H104" s="228" t="s">
        <v>297</v>
      </c>
      <c r="I104" s="272">
        <f>FRACagsoil.C</f>
        <v>0.6</v>
      </c>
      <c r="J104" s="562">
        <v>0.6</v>
      </c>
      <c r="K104" s="561">
        <v>0.6</v>
      </c>
      <c r="L104" s="562"/>
      <c r="M104" s="562"/>
      <c r="N104" s="562"/>
      <c r="O104" s="562"/>
      <c r="P104" s="562"/>
      <c r="Q104" s="562"/>
      <c r="R104" s="561"/>
      <c r="S104" s="561"/>
      <c r="T104" s="562"/>
      <c r="U104" s="562"/>
      <c r="V104" s="561"/>
      <c r="W104" s="561"/>
      <c r="X104" s="562"/>
      <c r="Y104" s="562"/>
      <c r="Z104" s="562"/>
      <c r="AA104" s="562"/>
      <c r="AB104" s="562"/>
      <c r="AC104" s="562"/>
      <c r="AD104" s="124"/>
      <c r="AE104" s="124">
        <v>0.6</v>
      </c>
      <c r="AF104" s="124">
        <v>0.6</v>
      </c>
      <c r="AG104" s="124">
        <v>0.6</v>
      </c>
    </row>
    <row r="105" spans="1:33" ht="12.75" customHeight="1" x14ac:dyDescent="0.2">
      <c r="A105" s="228" t="s">
        <v>691</v>
      </c>
      <c r="B105" s="228"/>
      <c r="C105" s="228"/>
      <c r="D105" s="228"/>
      <c r="E105" s="228"/>
      <c r="F105" s="228"/>
      <c r="G105" s="228" t="s">
        <v>745</v>
      </c>
      <c r="H105" s="228" t="s">
        <v>297</v>
      </c>
      <c r="I105" s="272">
        <f>FRACothersoil.C</f>
        <v>0.1</v>
      </c>
      <c r="J105" s="562">
        <v>0.1</v>
      </c>
      <c r="K105" s="561">
        <v>0.1</v>
      </c>
      <c r="L105" s="562"/>
      <c r="M105" s="562"/>
      <c r="N105" s="562"/>
      <c r="O105" s="562"/>
      <c r="P105" s="562"/>
      <c r="Q105" s="562"/>
      <c r="R105" s="561"/>
      <c r="S105" s="561"/>
      <c r="T105" s="562"/>
      <c r="U105" s="562"/>
      <c r="V105" s="561"/>
      <c r="W105" s="561"/>
      <c r="X105" s="562"/>
      <c r="Y105" s="562"/>
      <c r="Z105" s="562"/>
      <c r="AA105" s="562"/>
      <c r="AB105" s="562"/>
      <c r="AC105" s="562"/>
      <c r="AD105" s="124"/>
      <c r="AE105" s="124">
        <v>0.1</v>
      </c>
      <c r="AF105" s="124">
        <v>0.1</v>
      </c>
      <c r="AG105" s="124">
        <v>0.1</v>
      </c>
    </row>
    <row r="106" spans="1:33" ht="12.75" customHeight="1" x14ac:dyDescent="0.2">
      <c r="A106" s="228" t="s">
        <v>693</v>
      </c>
      <c r="B106" s="228"/>
      <c r="C106" s="228"/>
      <c r="D106" s="228"/>
      <c r="E106" s="228"/>
      <c r="F106" s="228"/>
      <c r="G106" s="228" t="s">
        <v>746</v>
      </c>
      <c r="H106" s="228" t="s">
        <v>4339</v>
      </c>
      <c r="I106" s="272">
        <f>TEMP.C-273</f>
        <v>12</v>
      </c>
      <c r="J106" s="562">
        <v>12</v>
      </c>
      <c r="K106" s="561">
        <v>12</v>
      </c>
      <c r="L106" s="562"/>
      <c r="M106" s="562"/>
      <c r="N106" s="562"/>
      <c r="O106" s="562"/>
      <c r="P106" s="562"/>
      <c r="Q106" s="562"/>
      <c r="R106" s="561"/>
      <c r="S106" s="561"/>
      <c r="T106" s="562"/>
      <c r="U106" s="562"/>
      <c r="V106" s="561"/>
      <c r="W106" s="561"/>
      <c r="X106" s="562"/>
      <c r="Y106" s="562"/>
      <c r="Z106" s="562"/>
      <c r="AA106" s="562"/>
      <c r="AB106" s="562"/>
      <c r="AC106" s="562"/>
      <c r="AD106" s="124"/>
      <c r="AE106" s="124">
        <v>12</v>
      </c>
      <c r="AF106" s="124">
        <v>12</v>
      </c>
      <c r="AG106" s="124">
        <v>12</v>
      </c>
    </row>
    <row r="107" spans="1:33" ht="12.75" customHeight="1" x14ac:dyDescent="0.2">
      <c r="A107" s="228" t="s">
        <v>695</v>
      </c>
      <c r="B107" s="228"/>
      <c r="C107" s="228"/>
      <c r="D107" s="228"/>
      <c r="E107" s="228"/>
      <c r="F107" s="228"/>
      <c r="G107" s="228" t="s">
        <v>747</v>
      </c>
      <c r="H107" s="228" t="s">
        <v>889</v>
      </c>
      <c r="I107" s="272">
        <f>WINDspeed.C</f>
        <v>3</v>
      </c>
      <c r="J107" s="562">
        <v>3</v>
      </c>
      <c r="K107" s="561">
        <v>3</v>
      </c>
      <c r="L107" s="562"/>
      <c r="M107" s="562"/>
      <c r="N107" s="562"/>
      <c r="O107" s="562"/>
      <c r="P107" s="562"/>
      <c r="Q107" s="562"/>
      <c r="R107" s="561"/>
      <c r="S107" s="561"/>
      <c r="T107" s="562"/>
      <c r="U107" s="562"/>
      <c r="V107" s="561"/>
      <c r="W107" s="561"/>
      <c r="X107" s="562"/>
      <c r="Y107" s="562"/>
      <c r="Z107" s="562"/>
      <c r="AA107" s="562"/>
      <c r="AB107" s="562"/>
      <c r="AC107" s="562"/>
      <c r="AD107" s="124"/>
      <c r="AE107" s="124">
        <v>3</v>
      </c>
      <c r="AF107" s="124">
        <v>3</v>
      </c>
      <c r="AG107" s="124">
        <v>3</v>
      </c>
    </row>
    <row r="108" spans="1:33" ht="12.75" customHeight="1" x14ac:dyDescent="0.2">
      <c r="A108" s="228" t="s">
        <v>698</v>
      </c>
      <c r="B108" s="228"/>
      <c r="C108" s="228"/>
      <c r="D108" s="228"/>
      <c r="E108" s="228"/>
      <c r="F108" s="228"/>
      <c r="G108" s="228" t="s">
        <v>748</v>
      </c>
      <c r="H108" s="228" t="s">
        <v>4340</v>
      </c>
      <c r="I108" s="272">
        <f>RAINrate.C*1000*(3600*24*365)</f>
        <v>700</v>
      </c>
      <c r="J108" s="562">
        <v>700</v>
      </c>
      <c r="K108" s="561">
        <v>700</v>
      </c>
      <c r="L108" s="562"/>
      <c r="M108" s="562"/>
      <c r="N108" s="562"/>
      <c r="O108" s="562"/>
      <c r="P108" s="562"/>
      <c r="Q108" s="562"/>
      <c r="R108" s="561"/>
      <c r="S108" s="561"/>
      <c r="T108" s="562"/>
      <c r="U108" s="562"/>
      <c r="V108" s="561"/>
      <c r="W108" s="561"/>
      <c r="X108" s="562"/>
      <c r="Y108" s="562"/>
      <c r="Z108" s="562"/>
      <c r="AA108" s="562"/>
      <c r="AB108" s="562"/>
      <c r="AC108" s="562"/>
      <c r="AD108" s="124"/>
      <c r="AE108" s="124">
        <v>700</v>
      </c>
      <c r="AF108" s="124">
        <v>700</v>
      </c>
      <c r="AG108" s="124">
        <v>700</v>
      </c>
    </row>
    <row r="109" spans="1:33" ht="12.75" customHeight="1" x14ac:dyDescent="0.2">
      <c r="A109" s="228" t="s">
        <v>701</v>
      </c>
      <c r="B109" s="228"/>
      <c r="C109" s="228"/>
      <c r="D109" s="228"/>
      <c r="E109" s="228"/>
      <c r="F109" s="228"/>
      <c r="G109" s="228" t="s">
        <v>749</v>
      </c>
      <c r="H109" s="228" t="s">
        <v>284</v>
      </c>
      <c r="I109" s="272">
        <f>DEPTHlake.C</f>
        <v>100</v>
      </c>
      <c r="J109" s="562">
        <v>100</v>
      </c>
      <c r="K109" s="561">
        <v>1E-10</v>
      </c>
      <c r="L109" s="561"/>
      <c r="M109" s="561"/>
      <c r="N109" s="561"/>
      <c r="O109" s="561"/>
      <c r="P109" s="561"/>
      <c r="Q109" s="561"/>
      <c r="R109" s="561"/>
      <c r="S109" s="561"/>
      <c r="T109" s="561"/>
      <c r="U109" s="561"/>
      <c r="V109" s="561"/>
      <c r="W109" s="561"/>
      <c r="X109" s="561"/>
      <c r="Y109" s="561"/>
      <c r="Z109" s="561"/>
      <c r="AA109" s="561"/>
      <c r="AB109" s="561"/>
      <c r="AC109" s="561"/>
      <c r="AD109" s="124"/>
      <c r="AE109" s="124">
        <v>100</v>
      </c>
      <c r="AF109" s="124">
        <v>100</v>
      </c>
      <c r="AG109" s="124">
        <v>100</v>
      </c>
    </row>
    <row r="110" spans="1:33" ht="12.75" customHeight="1" x14ac:dyDescent="0.2">
      <c r="A110" s="228" t="s">
        <v>703</v>
      </c>
      <c r="B110" s="228"/>
      <c r="C110" s="228"/>
      <c r="D110" s="228"/>
      <c r="E110" s="228"/>
      <c r="F110" s="228"/>
      <c r="G110" s="228" t="s">
        <v>750</v>
      </c>
      <c r="H110" s="228" t="s">
        <v>284</v>
      </c>
      <c r="I110" s="272">
        <f>DEPTHfreshwater.C</f>
        <v>3</v>
      </c>
      <c r="J110" s="562">
        <v>3</v>
      </c>
      <c r="K110" s="561">
        <v>3</v>
      </c>
      <c r="L110" s="561"/>
      <c r="M110" s="561"/>
      <c r="N110" s="561"/>
      <c r="O110" s="561"/>
      <c r="P110" s="561"/>
      <c r="Q110" s="561"/>
      <c r="R110" s="561"/>
      <c r="S110" s="561"/>
      <c r="T110" s="561"/>
      <c r="U110" s="561"/>
      <c r="V110" s="561"/>
      <c r="W110" s="561"/>
      <c r="X110" s="561"/>
      <c r="Y110" s="561"/>
      <c r="Z110" s="561"/>
      <c r="AA110" s="561"/>
      <c r="AB110" s="561"/>
      <c r="AC110" s="561"/>
      <c r="AD110" s="124"/>
      <c r="AE110" s="124">
        <v>3</v>
      </c>
      <c r="AF110" s="124">
        <v>3</v>
      </c>
      <c r="AG110" s="124">
        <v>3</v>
      </c>
    </row>
    <row r="111" spans="1:33" ht="12.75" customHeight="1" x14ac:dyDescent="0.2">
      <c r="A111" s="228" t="s">
        <v>751</v>
      </c>
      <c r="B111" s="228"/>
      <c r="C111" s="228"/>
      <c r="D111" s="228"/>
      <c r="E111" s="228"/>
      <c r="F111" s="228"/>
      <c r="G111" s="228" t="s">
        <v>752</v>
      </c>
      <c r="H111" s="228" t="s">
        <v>297</v>
      </c>
      <c r="I111" s="272">
        <f>FRAC.w1C.w1R</f>
        <v>0</v>
      </c>
      <c r="J111" s="562">
        <v>0</v>
      </c>
      <c r="K111" s="561">
        <v>3.4000000000000002E-2</v>
      </c>
      <c r="L111" s="562"/>
      <c r="M111" s="562"/>
      <c r="N111" s="562"/>
      <c r="O111" s="562"/>
      <c r="P111" s="562"/>
      <c r="Q111" s="562"/>
      <c r="R111" s="561"/>
      <c r="S111" s="561"/>
      <c r="T111" s="562"/>
      <c r="U111" s="562"/>
      <c r="V111" s="561"/>
      <c r="W111" s="561"/>
      <c r="X111" s="562"/>
      <c r="Y111" s="562"/>
      <c r="Z111" s="562"/>
      <c r="AA111" s="562"/>
      <c r="AB111" s="562"/>
      <c r="AC111" s="562"/>
      <c r="AD111" s="124"/>
      <c r="AE111" s="124">
        <v>0</v>
      </c>
      <c r="AF111" s="124">
        <v>0</v>
      </c>
      <c r="AG111" s="124">
        <v>0</v>
      </c>
    </row>
    <row r="112" spans="1:33" ht="12.75" customHeight="1" x14ac:dyDescent="0.2">
      <c r="A112" s="228" t="s">
        <v>709</v>
      </c>
      <c r="B112" s="228"/>
      <c r="C112" s="228"/>
      <c r="D112" s="228"/>
      <c r="E112" s="228"/>
      <c r="F112" s="228"/>
      <c r="G112" s="228" t="s">
        <v>753</v>
      </c>
      <c r="H112" s="228" t="s">
        <v>297</v>
      </c>
      <c r="I112" s="272">
        <f>FRACrun.C</f>
        <v>0.25</v>
      </c>
      <c r="J112" s="562">
        <v>0.25</v>
      </c>
      <c r="K112" s="561">
        <v>0.25</v>
      </c>
      <c r="L112" s="562"/>
      <c r="M112" s="562"/>
      <c r="N112" s="562"/>
      <c r="O112" s="562"/>
      <c r="P112" s="562"/>
      <c r="Q112" s="562"/>
      <c r="R112" s="561"/>
      <c r="S112" s="561"/>
      <c r="T112" s="562"/>
      <c r="U112" s="562"/>
      <c r="V112" s="561"/>
      <c r="W112" s="561"/>
      <c r="X112" s="562"/>
      <c r="Y112" s="562"/>
      <c r="Z112" s="562"/>
      <c r="AA112" s="562"/>
      <c r="AB112" s="562"/>
      <c r="AC112" s="562"/>
      <c r="AD112" s="124"/>
      <c r="AE112" s="124">
        <v>0.25</v>
      </c>
      <c r="AF112" s="124">
        <v>0.25</v>
      </c>
      <c r="AG112" s="124">
        <v>0.25</v>
      </c>
    </row>
    <row r="113" spans="1:33" ht="12.75" customHeight="1" x14ac:dyDescent="0.2">
      <c r="A113" s="228" t="s">
        <v>707</v>
      </c>
      <c r="B113" s="228"/>
      <c r="C113" s="228"/>
      <c r="D113" s="228"/>
      <c r="E113" s="228"/>
      <c r="F113" s="228"/>
      <c r="G113" s="228" t="s">
        <v>754</v>
      </c>
      <c r="H113" s="228" t="s">
        <v>297</v>
      </c>
      <c r="I113" s="272">
        <f>FRACinf.C</f>
        <v>0.25</v>
      </c>
      <c r="J113" s="562">
        <v>0.25</v>
      </c>
      <c r="K113" s="561">
        <v>0.25</v>
      </c>
      <c r="L113" s="562"/>
      <c r="M113" s="562"/>
      <c r="N113" s="562"/>
      <c r="O113" s="562"/>
      <c r="P113" s="562"/>
      <c r="Q113" s="562"/>
      <c r="R113" s="561"/>
      <c r="S113" s="561"/>
      <c r="T113" s="562"/>
      <c r="U113" s="562"/>
      <c r="V113" s="561"/>
      <c r="W113" s="561"/>
      <c r="X113" s="562"/>
      <c r="Y113" s="562"/>
      <c r="Z113" s="562"/>
      <c r="AA113" s="562"/>
      <c r="AB113" s="562"/>
      <c r="AC113" s="562"/>
      <c r="AD113" s="124"/>
      <c r="AE113" s="124">
        <v>0.25</v>
      </c>
      <c r="AF113" s="124">
        <v>0.25</v>
      </c>
      <c r="AG113" s="124">
        <v>0.25</v>
      </c>
    </row>
    <row r="114" spans="1:33" ht="12.75" customHeight="1" x14ac:dyDescent="0.2">
      <c r="A114" s="228" t="s">
        <v>711</v>
      </c>
      <c r="B114" s="228"/>
      <c r="C114" s="228"/>
      <c r="D114" s="228"/>
      <c r="E114" s="228"/>
      <c r="F114" s="228"/>
      <c r="G114" s="228" t="s">
        <v>755</v>
      </c>
      <c r="H114" s="228" t="s">
        <v>4340</v>
      </c>
      <c r="I114" s="272">
        <f>EROSION.C*1000*(3600*24*365)</f>
        <v>0.03</v>
      </c>
      <c r="J114" s="562">
        <v>0.03</v>
      </c>
      <c r="K114" s="561">
        <v>0.03</v>
      </c>
      <c r="L114" s="562"/>
      <c r="M114" s="562"/>
      <c r="N114" s="562"/>
      <c r="O114" s="562"/>
      <c r="P114" s="562"/>
      <c r="Q114" s="562"/>
      <c r="R114" s="561"/>
      <c r="S114" s="561"/>
      <c r="T114" s="562"/>
      <c r="U114" s="562"/>
      <c r="V114" s="561"/>
      <c r="W114" s="561"/>
      <c r="X114" s="562"/>
      <c r="Y114" s="562"/>
      <c r="Z114" s="562"/>
      <c r="AA114" s="562"/>
      <c r="AB114" s="562"/>
      <c r="AC114" s="562"/>
      <c r="AD114" s="124"/>
      <c r="AE114" s="124">
        <v>0.03</v>
      </c>
      <c r="AF114" s="124">
        <v>0.03</v>
      </c>
      <c r="AG114" s="124">
        <v>0.03</v>
      </c>
    </row>
    <row r="115" spans="1:33" ht="12.75" customHeight="1" x14ac:dyDescent="0.2">
      <c r="A115" s="228" t="s">
        <v>713</v>
      </c>
      <c r="B115" s="228"/>
      <c r="C115" s="228"/>
      <c r="D115" s="228"/>
      <c r="E115" s="228"/>
      <c r="F115" s="228"/>
      <c r="G115" s="228" t="s">
        <v>756</v>
      </c>
      <c r="H115" s="216" t="s">
        <v>715</v>
      </c>
      <c r="I115" s="272">
        <f>NumConcNuc.aC</f>
        <v>3200000000</v>
      </c>
      <c r="J115" s="562"/>
      <c r="K115" s="561"/>
      <c r="L115" s="562"/>
      <c r="M115" s="562"/>
      <c r="N115" s="562"/>
      <c r="O115" s="562"/>
      <c r="P115" s="562"/>
      <c r="Q115" s="562"/>
      <c r="R115" s="561"/>
      <c r="S115" s="822"/>
      <c r="T115" s="562"/>
      <c r="U115" s="561"/>
      <c r="V115" s="561"/>
      <c r="W115" s="822"/>
      <c r="X115" s="562"/>
      <c r="Y115" s="561"/>
      <c r="Z115" s="562"/>
      <c r="AA115" s="562"/>
      <c r="AB115" s="562"/>
      <c r="AC115" s="562"/>
      <c r="AD115" s="124"/>
      <c r="AE115" s="124"/>
      <c r="AF115" s="124"/>
      <c r="AG115" s="124"/>
    </row>
    <row r="116" spans="1:33" ht="12.75" customHeight="1" x14ac:dyDescent="0.2">
      <c r="A116" s="228" t="s">
        <v>717</v>
      </c>
      <c r="B116" s="228"/>
      <c r="C116" s="228"/>
      <c r="D116" s="228"/>
      <c r="E116" s="228"/>
      <c r="F116" s="228"/>
      <c r="G116" s="228" t="s">
        <v>757</v>
      </c>
      <c r="H116" s="216" t="s">
        <v>715</v>
      </c>
      <c r="I116" s="272">
        <f>NumConcAcc.aC</f>
        <v>2900000000</v>
      </c>
      <c r="J116" s="562"/>
      <c r="K116" s="561"/>
      <c r="L116" s="562"/>
      <c r="M116" s="562"/>
      <c r="N116" s="562"/>
      <c r="O116" s="562"/>
      <c r="P116" s="562"/>
      <c r="Q116" s="562"/>
      <c r="R116" s="561"/>
      <c r="S116" s="562"/>
      <c r="T116" s="562"/>
      <c r="U116" s="561"/>
      <c r="V116" s="561"/>
      <c r="W116" s="562"/>
      <c r="X116" s="562"/>
      <c r="Y116" s="561"/>
      <c r="Z116" s="562"/>
      <c r="AA116" s="562"/>
      <c r="AB116" s="562"/>
      <c r="AC116" s="562"/>
      <c r="AD116" s="124"/>
      <c r="AE116" s="124"/>
      <c r="AF116" s="124"/>
      <c r="AG116" s="124"/>
    </row>
    <row r="117" spans="1:33" ht="12.75" customHeight="1" x14ac:dyDescent="0.2">
      <c r="A117" s="228" t="s">
        <v>719</v>
      </c>
      <c r="B117" s="228"/>
      <c r="C117" s="228"/>
      <c r="D117" s="228"/>
      <c r="E117" s="228"/>
      <c r="F117" s="228"/>
      <c r="G117" s="228" t="s">
        <v>758</v>
      </c>
      <c r="H117" s="216" t="s">
        <v>715</v>
      </c>
      <c r="I117" s="272">
        <f>NumConcCP.aC</f>
        <v>300000</v>
      </c>
      <c r="J117" s="562"/>
      <c r="K117" s="561"/>
      <c r="L117" s="562"/>
      <c r="M117" s="562"/>
      <c r="N117" s="562"/>
      <c r="O117" s="562"/>
      <c r="P117" s="562"/>
      <c r="Q117" s="562"/>
      <c r="R117" s="561"/>
      <c r="S117" s="562"/>
      <c r="T117" s="562"/>
      <c r="U117" s="561"/>
      <c r="V117" s="561"/>
      <c r="W117" s="562"/>
      <c r="X117" s="562"/>
      <c r="Y117" s="561"/>
      <c r="Z117" s="562"/>
      <c r="AA117" s="562"/>
      <c r="AB117" s="562"/>
      <c r="AC117" s="562"/>
      <c r="AD117" s="124"/>
      <c r="AE117" s="124"/>
      <c r="AF117" s="124"/>
      <c r="AG117" s="124"/>
    </row>
    <row r="118" spans="1:33" ht="12.75" customHeight="1" x14ac:dyDescent="0.2">
      <c r="A118" s="216" t="s">
        <v>721</v>
      </c>
      <c r="B118" s="228"/>
      <c r="C118" s="228"/>
      <c r="D118" s="228"/>
      <c r="E118" s="228"/>
      <c r="F118" s="228"/>
      <c r="G118" s="579" t="s">
        <v>759</v>
      </c>
      <c r="H118" s="216" t="s">
        <v>723</v>
      </c>
      <c r="I118" s="272">
        <f>COL.w0C/1000</f>
        <v>9.9999999999999995E-7</v>
      </c>
      <c r="J118" s="562"/>
      <c r="K118" s="561"/>
      <c r="L118" s="562"/>
      <c r="M118" s="562"/>
      <c r="N118" s="562"/>
      <c r="O118" s="562"/>
      <c r="P118" s="562"/>
      <c r="Q118" s="562"/>
      <c r="R118" s="561"/>
      <c r="S118" s="823"/>
      <c r="T118" s="562"/>
      <c r="U118" s="561"/>
      <c r="V118" s="561"/>
      <c r="W118" s="823"/>
      <c r="X118" s="562"/>
      <c r="Y118" s="561"/>
      <c r="Z118" s="562"/>
      <c r="AA118" s="562"/>
      <c r="AB118" s="562"/>
      <c r="AC118" s="562"/>
      <c r="AD118" s="124"/>
      <c r="AE118" s="124"/>
      <c r="AF118" s="124"/>
      <c r="AG118" s="124"/>
    </row>
    <row r="119" spans="1:33" ht="12.75" customHeight="1" x14ac:dyDescent="0.2">
      <c r="A119" s="216" t="s">
        <v>721</v>
      </c>
      <c r="B119" s="228"/>
      <c r="C119" s="228"/>
      <c r="D119" s="228"/>
      <c r="E119" s="228"/>
      <c r="F119" s="228"/>
      <c r="G119" s="579" t="s">
        <v>760</v>
      </c>
      <c r="H119" s="216" t="s">
        <v>723</v>
      </c>
      <c r="I119" s="272">
        <f>COL.w1C/1000</f>
        <v>9.9999999999999995E-7</v>
      </c>
      <c r="J119" s="562"/>
      <c r="K119" s="561"/>
      <c r="L119" s="562"/>
      <c r="M119" s="562"/>
      <c r="N119" s="562"/>
      <c r="O119" s="562"/>
      <c r="P119" s="562"/>
      <c r="Q119" s="562"/>
      <c r="R119" s="561"/>
      <c r="S119" s="823"/>
      <c r="T119" s="562"/>
      <c r="U119" s="561"/>
      <c r="V119" s="561"/>
      <c r="W119" s="823"/>
      <c r="X119" s="562"/>
      <c r="Y119" s="561"/>
      <c r="Z119" s="562"/>
      <c r="AA119" s="562"/>
      <c r="AB119" s="562"/>
      <c r="AC119" s="562"/>
      <c r="AD119" s="124"/>
      <c r="AE119" s="124"/>
      <c r="AF119" s="124"/>
      <c r="AG119" s="124"/>
    </row>
    <row r="120" spans="1:33" ht="12.75" customHeight="1" x14ac:dyDescent="0.2">
      <c r="A120" s="216" t="s">
        <v>721</v>
      </c>
      <c r="B120" s="228"/>
      <c r="C120" s="228"/>
      <c r="D120" s="228"/>
      <c r="E120" s="228"/>
      <c r="F120" s="228"/>
      <c r="G120" s="579" t="s">
        <v>761</v>
      </c>
      <c r="H120" s="216" t="s">
        <v>723</v>
      </c>
      <c r="I120" s="272">
        <f>COL.w2C/1000</f>
        <v>9.9999999999999995E-7</v>
      </c>
      <c r="J120" s="562"/>
      <c r="K120" s="561"/>
      <c r="L120" s="562"/>
      <c r="M120" s="562"/>
      <c r="N120" s="562"/>
      <c r="O120" s="562"/>
      <c r="P120" s="562"/>
      <c r="Q120" s="562"/>
      <c r="R120" s="561"/>
      <c r="S120" s="823"/>
      <c r="T120" s="562"/>
      <c r="U120" s="561"/>
      <c r="V120" s="561"/>
      <c r="W120" s="823"/>
      <c r="X120" s="562"/>
      <c r="Y120" s="561"/>
      <c r="Z120" s="562"/>
      <c r="AA120" s="562"/>
      <c r="AB120" s="562"/>
      <c r="AC120" s="562"/>
      <c r="AD120" s="124"/>
      <c r="AE120" s="124"/>
      <c r="AF120" s="124"/>
      <c r="AG120" s="124"/>
    </row>
    <row r="121" spans="1:33" ht="12.75" customHeight="1" x14ac:dyDescent="0.2">
      <c r="A121" s="216" t="s">
        <v>730</v>
      </c>
      <c r="B121" s="228"/>
      <c r="C121" s="228"/>
      <c r="D121" s="228"/>
      <c r="E121" s="228"/>
      <c r="F121" s="228"/>
      <c r="G121" s="579" t="s">
        <v>762</v>
      </c>
      <c r="H121" s="216" t="s">
        <v>586</v>
      </c>
      <c r="I121" s="272">
        <f>SUSP.w0C/1000</f>
        <v>4.9999999999999998E-7</v>
      </c>
      <c r="J121" s="562"/>
      <c r="K121" s="561"/>
      <c r="L121" s="562"/>
      <c r="M121" s="562"/>
      <c r="N121" s="562"/>
      <c r="O121" s="562"/>
      <c r="P121" s="562"/>
      <c r="Q121" s="562"/>
      <c r="R121" s="561"/>
      <c r="S121" s="823"/>
      <c r="T121" s="562"/>
      <c r="U121" s="561"/>
      <c r="V121" s="561"/>
      <c r="W121" s="823"/>
      <c r="X121" s="562"/>
      <c r="Y121" s="561"/>
      <c r="Z121" s="562"/>
      <c r="AA121" s="562"/>
      <c r="AB121" s="562"/>
      <c r="AC121" s="562"/>
      <c r="AD121" s="124"/>
      <c r="AE121" s="124"/>
      <c r="AF121" s="124"/>
      <c r="AG121" s="124"/>
    </row>
    <row r="122" spans="1:33" ht="12.75" customHeight="1" x14ac:dyDescent="0.2">
      <c r="A122" s="216" t="s">
        <v>730</v>
      </c>
      <c r="B122" s="228"/>
      <c r="C122" s="228"/>
      <c r="D122" s="228"/>
      <c r="E122" s="228"/>
      <c r="F122" s="228"/>
      <c r="G122" s="579" t="s">
        <v>763</v>
      </c>
      <c r="H122" s="216" t="s">
        <v>723</v>
      </c>
      <c r="I122" s="272">
        <f>SUSP.w1C/1000</f>
        <v>1.4999999999999999E-5</v>
      </c>
      <c r="J122" s="562"/>
      <c r="K122" s="561"/>
      <c r="L122" s="562"/>
      <c r="M122" s="562"/>
      <c r="N122" s="562"/>
      <c r="O122" s="562"/>
      <c r="P122" s="562"/>
      <c r="Q122" s="562"/>
      <c r="R122" s="561"/>
      <c r="S122" s="823"/>
      <c r="T122" s="562"/>
      <c r="U122" s="561"/>
      <c r="V122" s="561"/>
      <c r="W122" s="823"/>
      <c r="X122" s="562"/>
      <c r="Y122" s="561"/>
      <c r="Z122" s="562"/>
      <c r="AA122" s="562"/>
      <c r="AB122" s="562"/>
      <c r="AC122" s="562"/>
      <c r="AD122" s="124"/>
      <c r="AE122" s="124"/>
      <c r="AF122" s="124"/>
      <c r="AG122" s="124"/>
    </row>
    <row r="123" spans="1:33" ht="12.75" customHeight="1" x14ac:dyDescent="0.2">
      <c r="A123" s="216" t="s">
        <v>732</v>
      </c>
      <c r="B123" s="228"/>
      <c r="C123" s="228"/>
      <c r="D123" s="228"/>
      <c r="E123" s="228"/>
      <c r="F123" s="228"/>
      <c r="G123" s="579" t="s">
        <v>764</v>
      </c>
      <c r="H123" s="216" t="s">
        <v>723</v>
      </c>
      <c r="I123" s="272">
        <f>SUSP.w2C/1000</f>
        <v>5.0000000000000004E-6</v>
      </c>
      <c r="J123" s="562"/>
      <c r="K123" s="561"/>
      <c r="L123" s="562"/>
      <c r="M123" s="562"/>
      <c r="N123" s="562"/>
      <c r="O123" s="562"/>
      <c r="P123" s="562"/>
      <c r="Q123" s="562"/>
      <c r="R123" s="561"/>
      <c r="S123" s="823"/>
      <c r="T123" s="562"/>
      <c r="U123" s="561"/>
      <c r="V123" s="561"/>
      <c r="W123" s="823"/>
      <c r="X123" s="562"/>
      <c r="Y123" s="561"/>
      <c r="Z123" s="562"/>
      <c r="AA123" s="562"/>
      <c r="AB123" s="562"/>
      <c r="AC123" s="562"/>
      <c r="AD123" s="124"/>
      <c r="AE123" s="124"/>
      <c r="AF123" s="124"/>
      <c r="AG123" s="124"/>
    </row>
    <row r="124" spans="1:33" ht="12.75" customHeight="1" x14ac:dyDescent="0.2">
      <c r="A124" s="228" t="s">
        <v>734</v>
      </c>
      <c r="B124" s="228"/>
      <c r="C124" s="228"/>
      <c r="D124" s="228"/>
      <c r="E124" s="228"/>
      <c r="F124" s="228"/>
      <c r="G124" s="216" t="s">
        <v>765</v>
      </c>
      <c r="H124" s="216" t="s">
        <v>736</v>
      </c>
      <c r="I124" s="272">
        <f>mConcNC.sC/1000</f>
        <v>1E-4</v>
      </c>
      <c r="J124" s="562"/>
      <c r="K124" s="561"/>
      <c r="L124" s="562"/>
      <c r="M124" s="562"/>
      <c r="N124" s="562"/>
      <c r="O124" s="562"/>
      <c r="P124" s="562"/>
      <c r="Q124" s="562"/>
      <c r="R124" s="561"/>
      <c r="S124" s="823"/>
      <c r="T124" s="562"/>
      <c r="U124" s="561"/>
      <c r="V124" s="561"/>
      <c r="W124" s="823"/>
      <c r="X124" s="562"/>
      <c r="Y124" s="561"/>
      <c r="Z124" s="562"/>
      <c r="AA124" s="562"/>
      <c r="AB124" s="562"/>
      <c r="AC124" s="562"/>
      <c r="AD124" s="124"/>
      <c r="AE124" s="124"/>
      <c r="AF124" s="124"/>
      <c r="AG124" s="124"/>
    </row>
    <row r="125" spans="1:33" ht="13.5" thickBot="1" x14ac:dyDescent="0.2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2">
      <c r="A126" s="587" t="s">
        <v>817</v>
      </c>
      <c r="B126" s="587"/>
      <c r="C126" s="587"/>
      <c r="D126" s="587"/>
      <c r="E126" s="587"/>
      <c r="F126" s="587"/>
      <c r="G126" s="587"/>
      <c r="H126" s="587"/>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2">
      <c r="A127" s="567"/>
      <c r="B127" s="567" t="s">
        <v>818</v>
      </c>
      <c r="C127" s="567"/>
      <c r="D127" s="567"/>
      <c r="E127" s="567"/>
      <c r="F127" s="585"/>
      <c r="G127" s="782" t="s">
        <v>819</v>
      </c>
      <c r="H127" s="568" t="s">
        <v>283</v>
      </c>
      <c r="I127" s="236">
        <f>RadNuc*1000000000</f>
        <v>10</v>
      </c>
      <c r="L127" s="185">
        <v>10</v>
      </c>
      <c r="N127" s="185">
        <v>10</v>
      </c>
      <c r="P127" s="185">
        <v>10</v>
      </c>
      <c r="R127" s="185">
        <v>9.65</v>
      </c>
      <c r="S127" s="185">
        <v>9.65</v>
      </c>
      <c r="T127" s="185">
        <v>9.65</v>
      </c>
      <c r="U127" s="185">
        <v>9.65</v>
      </c>
      <c r="AD127" s="19"/>
      <c r="AE127" s="19"/>
      <c r="AF127" s="19"/>
      <c r="AG127" s="19"/>
    </row>
    <row r="128" spans="1:33" x14ac:dyDescent="0.2">
      <c r="A128" s="567"/>
      <c r="B128" s="567" t="s">
        <v>821</v>
      </c>
      <c r="C128" s="567"/>
      <c r="D128" s="567"/>
      <c r="E128" s="567"/>
      <c r="F128" s="585"/>
      <c r="G128" s="782" t="s">
        <v>822</v>
      </c>
      <c r="H128" s="568" t="s">
        <v>287</v>
      </c>
      <c r="I128" s="236">
        <f>RhoNuc</f>
        <v>1300</v>
      </c>
      <c r="L128" s="185">
        <v>1300</v>
      </c>
      <c r="N128" s="185">
        <v>1300</v>
      </c>
      <c r="P128" s="185">
        <v>1300</v>
      </c>
      <c r="R128" s="185">
        <v>1300</v>
      </c>
      <c r="S128" s="185">
        <v>1300</v>
      </c>
      <c r="T128" s="185">
        <v>1300</v>
      </c>
      <c r="U128" s="185">
        <v>1300</v>
      </c>
      <c r="AD128" s="19"/>
      <c r="AE128" s="19"/>
      <c r="AF128" s="19"/>
      <c r="AG128" s="19"/>
    </row>
    <row r="129" spans="1:33" x14ac:dyDescent="0.2">
      <c r="A129" s="567"/>
      <c r="B129" s="567" t="s">
        <v>824</v>
      </c>
      <c r="C129" s="567"/>
      <c r="D129" s="567"/>
      <c r="E129" s="567"/>
      <c r="F129" s="585"/>
      <c r="G129" s="782" t="s">
        <v>825</v>
      </c>
      <c r="H129" s="568" t="s">
        <v>283</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2">
      <c r="A130" s="567"/>
      <c r="B130" s="567" t="s">
        <v>826</v>
      </c>
      <c r="C130" s="567"/>
      <c r="D130" s="567"/>
      <c r="E130" s="567"/>
      <c r="F130" s="585"/>
      <c r="G130" s="782" t="s">
        <v>827</v>
      </c>
      <c r="H130" s="568" t="s">
        <v>287</v>
      </c>
      <c r="I130" s="236">
        <f>RhoAcc</f>
        <v>2000</v>
      </c>
      <c r="L130" s="185">
        <v>1500</v>
      </c>
      <c r="N130" s="185">
        <v>1500</v>
      </c>
      <c r="P130" s="185">
        <v>1500</v>
      </c>
      <c r="R130" s="185">
        <v>1500</v>
      </c>
      <c r="S130" s="185">
        <v>1500</v>
      </c>
      <c r="T130" s="185">
        <v>1500</v>
      </c>
      <c r="U130" s="185">
        <v>1500</v>
      </c>
      <c r="AD130" s="19"/>
      <c r="AE130" s="19"/>
      <c r="AF130" s="19"/>
      <c r="AG130" s="19"/>
    </row>
    <row r="131" spans="1:33" x14ac:dyDescent="0.2">
      <c r="A131" s="567"/>
      <c r="B131" s="567" t="s">
        <v>828</v>
      </c>
      <c r="C131" s="567"/>
      <c r="D131" s="567"/>
      <c r="E131" s="567"/>
      <c r="F131" s="585"/>
      <c r="G131" s="782" t="s">
        <v>829</v>
      </c>
      <c r="H131" s="567" t="s">
        <v>830</v>
      </c>
      <c r="I131" s="236">
        <f>RadCP.a*1000000</f>
        <v>0.89999999999999991</v>
      </c>
      <c r="L131" s="185">
        <v>0.9</v>
      </c>
      <c r="N131" s="185">
        <v>0.9</v>
      </c>
      <c r="P131" s="185">
        <v>0.9</v>
      </c>
      <c r="R131" s="185">
        <v>0.69499999999999995</v>
      </c>
      <c r="S131" s="185">
        <v>0.69499999999999995</v>
      </c>
      <c r="T131" s="185">
        <v>0.69499999999999995</v>
      </c>
      <c r="U131" s="185">
        <v>0.69499999999999995</v>
      </c>
    </row>
    <row r="132" spans="1:33" x14ac:dyDescent="0.2">
      <c r="A132" s="567"/>
      <c r="B132" s="567" t="s">
        <v>831</v>
      </c>
      <c r="C132" s="567"/>
      <c r="D132" s="567"/>
      <c r="E132" s="567"/>
      <c r="F132" s="585"/>
      <c r="G132" s="782" t="s">
        <v>832</v>
      </c>
      <c r="H132" s="568" t="s">
        <v>287</v>
      </c>
      <c r="I132" s="236">
        <f>RhoCP.a</f>
        <v>2000</v>
      </c>
      <c r="L132" s="185">
        <v>1600</v>
      </c>
      <c r="N132" s="185">
        <v>1600</v>
      </c>
      <c r="P132" s="185">
        <v>1600</v>
      </c>
      <c r="R132" s="185">
        <v>2000</v>
      </c>
      <c r="S132" s="185">
        <v>2000</v>
      </c>
      <c r="T132" s="185">
        <v>2000</v>
      </c>
      <c r="U132" s="185">
        <v>2000</v>
      </c>
    </row>
    <row r="133" spans="1:33" x14ac:dyDescent="0.2">
      <c r="A133" s="567"/>
      <c r="B133" s="567" t="s">
        <v>833</v>
      </c>
      <c r="C133" s="567"/>
      <c r="D133" s="567"/>
      <c r="E133" s="567"/>
      <c r="F133" s="578"/>
      <c r="G133" s="782" t="s">
        <v>834</v>
      </c>
      <c r="H133" s="567" t="s">
        <v>283</v>
      </c>
      <c r="I133" s="236">
        <f>RadNC.w*1000000000</f>
        <v>150.00000000000003</v>
      </c>
      <c r="L133" s="185">
        <v>30</v>
      </c>
      <c r="N133" s="185">
        <v>30</v>
      </c>
      <c r="P133" s="185">
        <v>30</v>
      </c>
      <c r="R133" s="185">
        <v>125.00000000000001</v>
      </c>
      <c r="S133" s="185">
        <v>125.00000000000001</v>
      </c>
      <c r="T133" s="185">
        <v>125.00000000000001</v>
      </c>
      <c r="U133" s="185">
        <v>125.00000000000001</v>
      </c>
    </row>
    <row r="134" spans="1:33" x14ac:dyDescent="0.2">
      <c r="A134" s="567"/>
      <c r="B134" s="567" t="s">
        <v>836</v>
      </c>
      <c r="C134" s="567"/>
      <c r="D134" s="567"/>
      <c r="E134" s="567"/>
      <c r="F134" s="578"/>
      <c r="G134" s="782" t="s">
        <v>837</v>
      </c>
      <c r="H134" s="568" t="s">
        <v>287</v>
      </c>
      <c r="I134" s="236">
        <f>RhoNC.w</f>
        <v>2000</v>
      </c>
      <c r="L134" s="185">
        <v>1300</v>
      </c>
      <c r="N134" s="185">
        <v>1300</v>
      </c>
      <c r="P134" s="185">
        <v>1300</v>
      </c>
      <c r="R134" s="185">
        <v>1300</v>
      </c>
      <c r="S134" s="185">
        <v>1300</v>
      </c>
      <c r="T134" s="185">
        <v>1300</v>
      </c>
      <c r="U134" s="185">
        <v>1300</v>
      </c>
    </row>
    <row r="135" spans="1:33" x14ac:dyDescent="0.2">
      <c r="A135" s="567"/>
      <c r="B135" s="567" t="s">
        <v>838</v>
      </c>
      <c r="C135" s="567"/>
      <c r="D135" s="567"/>
      <c r="E135" s="567"/>
      <c r="F135" s="578"/>
      <c r="G135" s="782" t="s">
        <v>839</v>
      </c>
      <c r="H135" s="567" t="s">
        <v>830</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row>
    <row r="136" spans="1:33" x14ac:dyDescent="0.2">
      <c r="A136" s="567"/>
      <c r="B136" s="567" t="s">
        <v>840</v>
      </c>
      <c r="C136" s="567"/>
      <c r="D136" s="567"/>
      <c r="E136" s="567"/>
      <c r="F136" s="578"/>
      <c r="G136" s="782" t="s">
        <v>841</v>
      </c>
      <c r="H136" s="568" t="s">
        <v>287</v>
      </c>
      <c r="I136" s="236">
        <f>RhoSPM.w</f>
        <v>2500</v>
      </c>
      <c r="L136" s="185">
        <v>1800</v>
      </c>
      <c r="M136" s="185">
        <v>2200</v>
      </c>
      <c r="N136" s="185">
        <v>2200</v>
      </c>
      <c r="O136" s="185">
        <v>2200</v>
      </c>
      <c r="P136" s="185">
        <v>2200</v>
      </c>
      <c r="R136" s="185">
        <v>2000</v>
      </c>
      <c r="S136" s="185">
        <v>2000</v>
      </c>
      <c r="T136" s="185">
        <v>2000</v>
      </c>
      <c r="U136" s="185">
        <v>2000</v>
      </c>
    </row>
    <row r="137" spans="1:33" x14ac:dyDescent="0.2">
      <c r="A137" s="567"/>
      <c r="B137" s="567" t="s">
        <v>843</v>
      </c>
      <c r="C137" s="567"/>
      <c r="D137" s="567"/>
      <c r="E137" s="567"/>
      <c r="F137" s="578"/>
      <c r="G137" s="782" t="s">
        <v>844</v>
      </c>
      <c r="H137" s="567" t="s">
        <v>283</v>
      </c>
      <c r="I137" s="236">
        <f>RadNC.sd*1000000000</f>
        <v>150.00000000000003</v>
      </c>
      <c r="L137" s="185">
        <v>125</v>
      </c>
      <c r="N137" s="185">
        <v>125</v>
      </c>
      <c r="P137" s="185">
        <v>125</v>
      </c>
      <c r="R137" s="185">
        <v>50.000000000000007</v>
      </c>
      <c r="S137" s="185">
        <v>50.000000000000007</v>
      </c>
      <c r="T137" s="185">
        <v>50.000000000000007</v>
      </c>
      <c r="U137" s="185">
        <v>50.000000000000007</v>
      </c>
    </row>
    <row r="138" spans="1:33" x14ac:dyDescent="0.2">
      <c r="A138" s="567"/>
      <c r="B138" s="567" t="s">
        <v>845</v>
      </c>
      <c r="C138" s="567"/>
      <c r="D138" s="567"/>
      <c r="E138" s="567"/>
      <c r="F138" s="578"/>
      <c r="G138" s="782" t="s">
        <v>846</v>
      </c>
      <c r="H138" s="568" t="s">
        <v>287</v>
      </c>
      <c r="I138" s="236">
        <f>RhoNC.sd</f>
        <v>2000</v>
      </c>
      <c r="R138" s="185">
        <v>1300</v>
      </c>
      <c r="S138" s="185">
        <v>1300</v>
      </c>
      <c r="T138" s="185">
        <v>1300</v>
      </c>
      <c r="U138" s="185">
        <v>1300</v>
      </c>
    </row>
    <row r="139" spans="1:33" x14ac:dyDescent="0.2">
      <c r="A139" s="567"/>
      <c r="B139" s="567" t="s">
        <v>847</v>
      </c>
      <c r="C139" s="567"/>
      <c r="D139" s="567"/>
      <c r="E139" s="567"/>
      <c r="F139" s="585"/>
      <c r="G139" s="782" t="s">
        <v>848</v>
      </c>
      <c r="H139" s="567" t="s">
        <v>830</v>
      </c>
      <c r="I139" s="236">
        <f>RadFP.sd*1000000</f>
        <v>128</v>
      </c>
      <c r="L139" s="185">
        <v>130</v>
      </c>
      <c r="M139" s="185">
        <v>130</v>
      </c>
      <c r="N139" s="185">
        <v>130</v>
      </c>
      <c r="O139" s="185">
        <v>130</v>
      </c>
      <c r="P139" s="185">
        <v>130</v>
      </c>
      <c r="R139" s="185">
        <v>65</v>
      </c>
      <c r="S139" s="185">
        <v>65</v>
      </c>
      <c r="T139" s="185">
        <v>65</v>
      </c>
      <c r="U139" s="185">
        <v>65</v>
      </c>
    </row>
    <row r="140" spans="1:33" x14ac:dyDescent="0.2">
      <c r="A140" s="567"/>
      <c r="B140" s="567" t="s">
        <v>850</v>
      </c>
      <c r="C140" s="567"/>
      <c r="D140" s="567"/>
      <c r="E140" s="567"/>
      <c r="F140" s="578"/>
      <c r="G140" s="782" t="s">
        <v>851</v>
      </c>
      <c r="H140" s="567" t="s">
        <v>283</v>
      </c>
      <c r="I140" s="236">
        <f>RadNC.s*1000000000</f>
        <v>150.00000000000003</v>
      </c>
      <c r="L140" s="185">
        <v>60</v>
      </c>
      <c r="N140" s="185">
        <v>60</v>
      </c>
      <c r="P140" s="185">
        <v>60</v>
      </c>
      <c r="R140" s="185">
        <v>60.000000000000007</v>
      </c>
      <c r="S140" s="185">
        <v>60.000000000000007</v>
      </c>
      <c r="T140" s="185">
        <v>60.000000000000007</v>
      </c>
      <c r="U140" s="185">
        <v>60.000000000000007</v>
      </c>
    </row>
    <row r="141" spans="1:33" x14ac:dyDescent="0.2">
      <c r="A141" s="567"/>
      <c r="B141" s="567" t="s">
        <v>853</v>
      </c>
      <c r="C141" s="567"/>
      <c r="D141" s="567"/>
      <c r="E141" s="567"/>
      <c r="F141" s="578"/>
      <c r="G141" s="782" t="s">
        <v>854</v>
      </c>
      <c r="H141" s="568" t="s">
        <v>287</v>
      </c>
      <c r="I141" s="236">
        <f>RhoNC.s</f>
        <v>2000</v>
      </c>
      <c r="R141" s="185">
        <v>1300</v>
      </c>
      <c r="S141" s="185">
        <v>1300</v>
      </c>
      <c r="T141" s="185">
        <v>1300</v>
      </c>
      <c r="U141" s="185">
        <v>1300</v>
      </c>
    </row>
    <row r="142" spans="1:33" x14ac:dyDescent="0.2">
      <c r="A142" s="567"/>
      <c r="B142" s="567" t="s">
        <v>855</v>
      </c>
      <c r="C142" s="567"/>
      <c r="D142" s="567"/>
      <c r="E142" s="567"/>
      <c r="F142" s="578"/>
      <c r="G142" s="782" t="s">
        <v>856</v>
      </c>
      <c r="H142" s="567" t="s">
        <v>830</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row>
    <row r="143" spans="1:33" x14ac:dyDescent="0.2">
      <c r="A143" s="567"/>
      <c r="B143" s="567" t="s">
        <v>858</v>
      </c>
      <c r="C143" s="567"/>
      <c r="D143" s="567"/>
      <c r="E143" s="567"/>
      <c r="F143" s="578"/>
      <c r="G143" s="782" t="s">
        <v>859</v>
      </c>
      <c r="H143" s="568" t="s">
        <v>287</v>
      </c>
      <c r="I143" s="236">
        <f>RhoFP.s</f>
        <v>2500</v>
      </c>
      <c r="L143" s="185">
        <v>2500</v>
      </c>
      <c r="N143" s="185">
        <v>2500</v>
      </c>
      <c r="P143" s="185">
        <v>2500</v>
      </c>
      <c r="R143" s="185">
        <v>2500</v>
      </c>
      <c r="S143" s="185">
        <v>2500</v>
      </c>
      <c r="T143" s="185">
        <v>2500</v>
      </c>
      <c r="U143" s="185">
        <v>2500</v>
      </c>
    </row>
  </sheetData>
  <phoneticPr fontId="6" type="noConversion"/>
  <conditionalFormatting sqref="M69:M84 M86:M114 O85:O94 U45:U66 Z38:AC66 J38:P66 R38:R66">
    <cfRule type="cellIs" dxfId="24" priority="26" operator="equal">
      <formula>0</formula>
    </cfRule>
  </conditionalFormatting>
  <conditionalFormatting sqref="P115:P124 J115:K124 U69:U124 N69:P114 Z69:AC124 L69:N124 R69:R124 J69:L114">
    <cfRule type="cellIs" dxfId="23" priority="25" operator="equal">
      <formula>0</formula>
    </cfRule>
  </conditionalFormatting>
  <conditionalFormatting sqref="J8:J14">
    <cfRule type="cellIs" dxfId="22" priority="24" operator="equal">
      <formula>0</formula>
    </cfRule>
  </conditionalFormatting>
  <conditionalFormatting sqref="M38:M66">
    <cfRule type="cellIs" dxfId="21" priority="23" operator="equal">
      <formula>0</formula>
    </cfRule>
  </conditionalFormatting>
  <conditionalFormatting sqref="M116:M124 O115:O124">
    <cfRule type="cellIs" dxfId="20" priority="21" operator="equal">
      <formula>0</formula>
    </cfRule>
  </conditionalFormatting>
  <conditionalFormatting sqref="L115:L124 N115:O124">
    <cfRule type="cellIs" dxfId="19" priority="20" operator="equal">
      <formula>0</formula>
    </cfRule>
  </conditionalFormatting>
  <conditionalFormatting sqref="S38:T66">
    <cfRule type="cellIs" dxfId="18" priority="19" operator="equal">
      <formula>0</formula>
    </cfRule>
  </conditionalFormatting>
  <conditionalFormatting sqref="S69:T124">
    <cfRule type="cellIs" dxfId="17" priority="18" operator="equal">
      <formula>0</formula>
    </cfRule>
  </conditionalFormatting>
  <conditionalFormatting sqref="U38:U44">
    <cfRule type="cellIs" dxfId="16" priority="17" operator="equal">
      <formula>0</formula>
    </cfRule>
  </conditionalFormatting>
  <conditionalFormatting sqref="V38:V66 W69:W84 W86:W114 Y85:Y94 X38:Y66">
    <cfRule type="cellIs" dxfId="15" priority="16" operator="equal">
      <formula>0</formula>
    </cfRule>
  </conditionalFormatting>
  <conditionalFormatting sqref="V69:V114 X69:Y114">
    <cfRule type="cellIs" dxfId="14" priority="15" operator="equal">
      <formula>0</formula>
    </cfRule>
  </conditionalFormatting>
  <conditionalFormatting sqref="W38:W66">
    <cfRule type="cellIs" dxfId="13" priority="14" operator="equal">
      <formula>0</formula>
    </cfRule>
  </conditionalFormatting>
  <conditionalFormatting sqref="W116:W124 Y115:Y124">
    <cfRule type="cellIs" dxfId="12" priority="13" operator="equal">
      <formula>0</formula>
    </cfRule>
  </conditionalFormatting>
  <conditionalFormatting sqref="V115:V124 X115:Y124">
    <cfRule type="cellIs" dxfId="11" priority="12" operator="equal">
      <formula>0</formula>
    </cfRule>
  </conditionalFormatting>
  <conditionalFormatting sqref="O38:P66">
    <cfRule type="cellIs" dxfId="10" priority="11" operator="equal">
      <formula>0</formula>
    </cfRule>
  </conditionalFormatting>
  <conditionalFormatting sqref="O69:P124">
    <cfRule type="cellIs" dxfId="9" priority="10" operator="equal">
      <formula>0</formula>
    </cfRule>
  </conditionalFormatting>
  <conditionalFormatting sqref="R38:R66 S69:S84 S86:S114 U85:U94 T38:U66">
    <cfRule type="cellIs" dxfId="8" priority="8" operator="equal">
      <formula>0</formula>
    </cfRule>
  </conditionalFormatting>
  <conditionalFormatting sqref="R69:R114 T69:U114">
    <cfRule type="cellIs" dxfId="7" priority="7" operator="equal">
      <formula>0</formula>
    </cfRule>
  </conditionalFormatting>
  <conditionalFormatting sqref="S38:S66">
    <cfRule type="cellIs" dxfId="6" priority="6" operator="equal">
      <formula>0</formula>
    </cfRule>
  </conditionalFormatting>
  <conditionalFormatting sqref="S116:S124 U115:U124">
    <cfRule type="cellIs" dxfId="5" priority="5" operator="equal">
      <formula>0</formula>
    </cfRule>
  </conditionalFormatting>
  <conditionalFormatting sqref="R115:R124 T115:U124">
    <cfRule type="cellIs" dxfId="4" priority="4" operator="equal">
      <formula>0</formula>
    </cfRule>
  </conditionalFormatting>
  <conditionalFormatting sqref="Q38:Q66">
    <cfRule type="cellIs" dxfId="3" priority="3" operator="equal">
      <formula>0</formula>
    </cfRule>
  </conditionalFormatting>
  <conditionalFormatting sqref="Q69:Q124">
    <cfRule type="cellIs" dxfId="2" priority="2" operator="equal">
      <formula>0</formula>
    </cfRule>
  </conditionalFormatting>
  <conditionalFormatting sqref="Q38:Q44">
    <cfRule type="cellIs" dxfId="1" priority="1"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V2458"/>
  <sheetViews>
    <sheetView zoomScaleNormal="100" workbookViewId="0">
      <pane ySplit="4" topLeftCell="A115" activePane="bottomLeft" state="frozen"/>
      <selection pane="bottomLeft"/>
    </sheetView>
  </sheetViews>
  <sheetFormatPr defaultColWidth="9.140625" defaultRowHeight="12.75" customHeight="1" x14ac:dyDescent="0.2"/>
  <cols>
    <col min="1" max="5" width="1.7109375" customWidth="1" collapsed="1"/>
    <col min="6" max="6" width="65.7109375" customWidth="1" collapsed="1"/>
    <col min="7" max="7" width="22.7109375" style="172" customWidth="1" collapsed="1"/>
    <col min="8" max="8" width="16" style="172" bestFit="1" customWidth="1" collapsed="1"/>
    <col min="9" max="9" width="9.85546875" style="237" customWidth="1" collapsed="1"/>
    <col min="10" max="10" width="9.140625" style="737" collapsed="1"/>
    <col min="11" max="25" width="9.140625" style="262" collapsed="1"/>
    <col min="26" max="220" width="9.140625" style="19" collapsed="1"/>
    <col min="221" max="230" width="9.140625" style="19"/>
    <col min="231" max="16384" width="9.140625" style="19" collapsed="1"/>
  </cols>
  <sheetData>
    <row r="1" spans="1:25" ht="12.75" customHeight="1" x14ac:dyDescent="0.2">
      <c r="A1" s="21" t="s">
        <v>4341</v>
      </c>
      <c r="B1" s="17"/>
      <c r="C1" s="17"/>
      <c r="D1" s="17"/>
      <c r="E1" s="17"/>
      <c r="F1" s="17"/>
      <c r="G1" s="17"/>
      <c r="H1" s="216"/>
      <c r="I1" s="269"/>
    </row>
    <row r="2" spans="1:25" ht="12.75" customHeight="1" x14ac:dyDescent="0.2">
      <c r="A2" s="21"/>
      <c r="B2" s="17"/>
      <c r="C2" s="17"/>
      <c r="D2" s="17"/>
      <c r="E2" s="17"/>
      <c r="F2" s="17"/>
      <c r="G2" s="17"/>
      <c r="H2" s="17"/>
      <c r="I2" s="269"/>
    </row>
    <row r="3" spans="1:25" ht="26.45" customHeight="1" thickBot="1" x14ac:dyDescent="0.25">
      <c r="A3" s="21"/>
      <c r="B3" s="17"/>
      <c r="C3" s="17"/>
      <c r="D3" s="17"/>
      <c r="E3" s="17"/>
      <c r="F3" s="17"/>
      <c r="G3" s="17"/>
      <c r="H3" s="17"/>
      <c r="I3" s="269"/>
      <c r="K3" s="797"/>
      <c r="L3" s="797"/>
      <c r="M3" s="797"/>
      <c r="N3" s="797"/>
      <c r="O3" s="797"/>
      <c r="P3" s="797"/>
      <c r="Q3" s="797"/>
      <c r="R3" s="797"/>
      <c r="S3" s="797"/>
      <c r="T3" s="797"/>
      <c r="U3" s="797"/>
      <c r="V3" s="797"/>
      <c r="W3" s="797"/>
      <c r="X3" s="797"/>
      <c r="Y3" s="797"/>
    </row>
    <row r="4" spans="1:25" s="835" customFormat="1" ht="39.75" customHeight="1" x14ac:dyDescent="0.2">
      <c r="A4" s="832"/>
      <c r="B4" s="832"/>
      <c r="C4" s="832"/>
      <c r="D4" s="832"/>
      <c r="E4" s="832"/>
      <c r="F4" s="832"/>
      <c r="G4" s="832" t="s">
        <v>263</v>
      </c>
      <c r="H4" s="832" t="s">
        <v>279</v>
      </c>
      <c r="I4" s="238" t="s">
        <v>4319</v>
      </c>
      <c r="J4" s="825" t="s">
        <v>277</v>
      </c>
      <c r="K4" s="833" t="s">
        <v>4342</v>
      </c>
      <c r="L4" s="834" t="s">
        <v>4343</v>
      </c>
      <c r="M4" s="834" t="s">
        <v>4344</v>
      </c>
      <c r="N4" s="833" t="s">
        <v>4345</v>
      </c>
      <c r="O4" s="834"/>
      <c r="P4" s="834"/>
      <c r="Q4" s="834"/>
      <c r="R4" s="834"/>
      <c r="S4" s="834"/>
      <c r="T4" s="834"/>
      <c r="U4" s="834"/>
      <c r="V4" s="834"/>
      <c r="W4" s="834"/>
      <c r="X4" s="834"/>
      <c r="Y4" s="834"/>
    </row>
    <row r="5" spans="1:25" ht="26.45" customHeight="1" x14ac:dyDescent="0.2">
      <c r="A5" s="145"/>
      <c r="B5" s="145"/>
      <c r="C5" s="145"/>
      <c r="D5" s="145"/>
      <c r="E5" s="145"/>
      <c r="F5" s="145"/>
      <c r="G5" s="144"/>
      <c r="H5" s="38"/>
      <c r="I5" s="269"/>
      <c r="J5" s="826"/>
    </row>
    <row r="6" spans="1:25" ht="12.75" customHeight="1" x14ac:dyDescent="0.2">
      <c r="A6" s="144" t="s">
        <v>66</v>
      </c>
      <c r="B6" s="17"/>
      <c r="C6" s="17"/>
      <c r="D6" s="17"/>
      <c r="E6" s="17"/>
      <c r="F6" s="17"/>
      <c r="G6" s="144" t="s">
        <v>270</v>
      </c>
      <c r="H6" s="38"/>
      <c r="I6" s="239" t="str">
        <f>IF(ISBLANK(input!H5),"",input!H5)</f>
        <v>nTiO2_10nm</v>
      </c>
      <c r="J6" s="826"/>
    </row>
    <row r="7" spans="1:25" ht="12.75" customHeight="1" x14ac:dyDescent="0.2">
      <c r="A7" s="38"/>
      <c r="B7" s="17"/>
      <c r="C7" s="17"/>
      <c r="D7" s="17"/>
      <c r="E7" s="17"/>
      <c r="F7" s="17"/>
      <c r="G7" s="38" t="s">
        <v>273</v>
      </c>
      <c r="H7" s="38"/>
      <c r="I7" s="239" t="str">
        <f>IF(ISBLANK(input!I6),"",input!I6)</f>
        <v/>
      </c>
      <c r="N7" s="262" t="s">
        <v>4249</v>
      </c>
    </row>
    <row r="8" spans="1:25" ht="26.45" customHeight="1" x14ac:dyDescent="0.2">
      <c r="A8" s="38"/>
      <c r="B8" s="38"/>
      <c r="C8" s="38"/>
      <c r="D8" s="38"/>
      <c r="E8" s="38"/>
      <c r="F8" s="38"/>
      <c r="G8" s="38"/>
      <c r="H8" s="38"/>
      <c r="I8" s="269"/>
    </row>
    <row r="9" spans="1:25" ht="12.75" customHeight="1" x14ac:dyDescent="0.2">
      <c r="A9" s="145" t="s">
        <v>68</v>
      </c>
      <c r="B9" s="145"/>
      <c r="C9" s="145"/>
      <c r="D9" s="145"/>
      <c r="E9" s="145"/>
      <c r="F9" s="145"/>
      <c r="G9" s="144" t="s">
        <v>274</v>
      </c>
      <c r="H9" s="149"/>
      <c r="I9" s="239" t="str">
        <f>IF(ISBLANK(input!H8),"",input!H8)</f>
        <v>default scenario</v>
      </c>
      <c r="J9" s="826"/>
    </row>
    <row r="10" spans="1:25" ht="26.45" customHeight="1" x14ac:dyDescent="0.2">
      <c r="A10" s="38"/>
      <c r="B10" s="17"/>
      <c r="C10" s="17"/>
      <c r="D10" s="17"/>
      <c r="E10" s="17"/>
      <c r="F10" s="17"/>
      <c r="G10" s="38"/>
      <c r="H10" s="38"/>
      <c r="I10" s="269"/>
      <c r="J10" s="826"/>
    </row>
    <row r="11" spans="1:25" ht="13.5" customHeight="1" x14ac:dyDescent="0.2">
      <c r="A11" s="144" t="s">
        <v>70</v>
      </c>
      <c r="B11" s="17"/>
      <c r="C11" s="17"/>
      <c r="D11" s="17"/>
      <c r="E11" s="17"/>
      <c r="F11" s="17"/>
      <c r="G11" s="144" t="s">
        <v>276</v>
      </c>
      <c r="H11" s="38"/>
      <c r="I11" s="239" t="str">
        <f>IF(ISBLANK(input!H10),"",input!H10)</f>
        <v>defaults only</v>
      </c>
      <c r="J11" s="826"/>
    </row>
    <row r="12" spans="1:25" ht="12.75" customHeight="1" x14ac:dyDescent="0.2">
      <c r="A12" s="17"/>
      <c r="B12" s="17"/>
      <c r="C12" s="17"/>
      <c r="D12" s="17"/>
      <c r="E12" s="17"/>
      <c r="F12" s="17"/>
      <c r="G12" s="38"/>
      <c r="H12" s="38"/>
      <c r="I12" s="269"/>
      <c r="J12" s="826"/>
    </row>
    <row r="13" spans="1:25" ht="12.75" customHeight="1" x14ac:dyDescent="0.2">
      <c r="A13" s="581" t="s">
        <v>278</v>
      </c>
      <c r="B13" s="581"/>
      <c r="C13" s="581"/>
      <c r="D13" s="581"/>
      <c r="E13" s="581"/>
      <c r="F13" s="581"/>
      <c r="G13" s="588" t="s">
        <v>263</v>
      </c>
      <c r="H13" s="588" t="s">
        <v>279</v>
      </c>
      <c r="I13" s="150" t="s">
        <v>266</v>
      </c>
      <c r="J13" s="271"/>
      <c r="K13" s="262" t="s">
        <v>266</v>
      </c>
      <c r="N13" s="262" t="s">
        <v>266</v>
      </c>
    </row>
    <row r="14" spans="1:25" ht="12.75" customHeight="1" x14ac:dyDescent="0.2">
      <c r="A14" s="587"/>
      <c r="B14" s="567"/>
      <c r="C14" s="567"/>
      <c r="D14" s="567"/>
      <c r="E14" s="567"/>
      <c r="F14" s="567"/>
      <c r="G14" s="567"/>
      <c r="H14" s="567"/>
      <c r="I14" s="269"/>
    </row>
    <row r="15" spans="1:25" ht="12.75" customHeight="1" x14ac:dyDescent="0.2">
      <c r="A15" s="567"/>
      <c r="B15" s="567" t="s">
        <v>281</v>
      </c>
      <c r="C15" s="567"/>
      <c r="D15" s="567"/>
      <c r="E15" s="567"/>
      <c r="F15" s="592"/>
      <c r="G15" s="781" t="s">
        <v>282</v>
      </c>
      <c r="H15" s="593" t="s">
        <v>283</v>
      </c>
      <c r="I15" s="239" t="str">
        <f>IF(ISBLANK(input!I14),"",input!I14)</f>
        <v/>
      </c>
      <c r="K15" s="262" t="s">
        <v>4249</v>
      </c>
      <c r="N15" s="262">
        <v>9.5</v>
      </c>
    </row>
    <row r="16" spans="1:25" ht="12.75" customHeight="1" x14ac:dyDescent="0.2">
      <c r="A16" s="567"/>
      <c r="B16" s="567" t="s">
        <v>285</v>
      </c>
      <c r="C16" s="567"/>
      <c r="D16" s="567"/>
      <c r="E16" s="567"/>
      <c r="F16" s="592"/>
      <c r="G16" s="781" t="s">
        <v>286</v>
      </c>
      <c r="H16" s="593" t="s">
        <v>287</v>
      </c>
      <c r="I16" s="239" t="str">
        <f>IF(ISBLANK(input!I15),"",input!I15)</f>
        <v/>
      </c>
      <c r="K16" s="262" t="s">
        <v>4249</v>
      </c>
      <c r="N16" s="262">
        <v>4230</v>
      </c>
    </row>
    <row r="17" spans="1:14" ht="12.75" customHeight="1" x14ac:dyDescent="0.2">
      <c r="A17" s="567"/>
      <c r="B17" s="567" t="s">
        <v>289</v>
      </c>
      <c r="C17" s="585"/>
      <c r="D17" s="567"/>
      <c r="E17" s="567"/>
      <c r="F17" s="567"/>
      <c r="G17" s="782" t="s">
        <v>290</v>
      </c>
      <c r="H17" s="567" t="s">
        <v>291</v>
      </c>
      <c r="I17" s="239" t="str">
        <f>IF(ISBLANK(input!I16),"",input!I16)</f>
        <v/>
      </c>
      <c r="J17" s="826"/>
      <c r="N17" s="262">
        <v>6.9000000000000004E-21</v>
      </c>
    </row>
    <row r="18" spans="1:14" ht="12.75" customHeight="1" x14ac:dyDescent="0.2">
      <c r="A18" s="567"/>
      <c r="B18" s="567"/>
      <c r="C18" s="567"/>
      <c r="D18" s="592"/>
      <c r="E18" s="593"/>
      <c r="F18" s="593"/>
      <c r="G18" s="595"/>
      <c r="H18" s="567"/>
      <c r="I18" s="239"/>
      <c r="K18" s="262" t="s">
        <v>4249</v>
      </c>
    </row>
    <row r="19" spans="1:14" ht="12.75" customHeight="1" x14ac:dyDescent="0.2">
      <c r="A19" s="581" t="s">
        <v>292</v>
      </c>
      <c r="B19" s="581"/>
      <c r="C19" s="581"/>
      <c r="D19" s="581"/>
      <c r="E19" s="581"/>
      <c r="F19" s="597"/>
      <c r="G19" s="598"/>
      <c r="H19" s="598"/>
      <c r="I19" s="598"/>
      <c r="K19" s="262" t="s">
        <v>4249</v>
      </c>
    </row>
    <row r="20" spans="1:14" ht="12.75" customHeight="1" x14ac:dyDescent="0.2">
      <c r="A20" s="567"/>
      <c r="B20" s="567"/>
      <c r="C20" s="599"/>
      <c r="D20" s="599"/>
      <c r="E20" s="599"/>
      <c r="F20" s="600"/>
      <c r="G20" s="593"/>
      <c r="H20" s="593"/>
      <c r="I20" s="593"/>
      <c r="K20" s="262" t="s">
        <v>4249</v>
      </c>
    </row>
    <row r="21" spans="1:14" ht="12.75" customHeight="1" x14ac:dyDescent="0.2">
      <c r="A21" s="567"/>
      <c r="B21" s="567"/>
      <c r="C21" s="601" t="s">
        <v>293</v>
      </c>
      <c r="D21" s="599"/>
      <c r="E21" s="599"/>
      <c r="F21" s="599"/>
      <c r="G21" s="588" t="s">
        <v>263</v>
      </c>
      <c r="H21" s="588" t="s">
        <v>279</v>
      </c>
      <c r="I21" s="588"/>
      <c r="K21" s="262" t="s">
        <v>4249</v>
      </c>
      <c r="N21" s="262" t="s">
        <v>280</v>
      </c>
    </row>
    <row r="22" spans="1:14" ht="12.75" customHeight="1" x14ac:dyDescent="0.2">
      <c r="A22" s="567"/>
      <c r="B22" s="567"/>
      <c r="C22" s="567" t="s">
        <v>294</v>
      </c>
      <c r="D22" s="567"/>
      <c r="E22" s="567"/>
      <c r="F22" s="567"/>
      <c r="G22" s="783" t="s">
        <v>295</v>
      </c>
      <c r="H22" s="568" t="s">
        <v>296</v>
      </c>
      <c r="I22" s="239" t="str">
        <f>IF(ISBLANK(input!I21),"",input!I21)</f>
        <v/>
      </c>
      <c r="K22" s="262" t="s">
        <v>4249</v>
      </c>
      <c r="N22" s="262">
        <v>0.3</v>
      </c>
    </row>
    <row r="23" spans="1:14" ht="12.75" customHeight="1" x14ac:dyDescent="0.2">
      <c r="A23" s="567"/>
      <c r="B23" s="567"/>
      <c r="C23" s="567" t="s">
        <v>298</v>
      </c>
      <c r="D23" s="567"/>
      <c r="E23" s="567"/>
      <c r="F23" s="567"/>
      <c r="G23" s="783" t="s">
        <v>299</v>
      </c>
      <c r="H23" s="568" t="s">
        <v>296</v>
      </c>
      <c r="I23" s="239" t="str">
        <f>IF(ISBLANK(input!I22),"",input!I22)</f>
        <v/>
      </c>
      <c r="K23" s="262" t="s">
        <v>4249</v>
      </c>
      <c r="N23" s="262">
        <v>1</v>
      </c>
    </row>
    <row r="24" spans="1:14" ht="12.75" customHeight="1" x14ac:dyDescent="0.2">
      <c r="A24" s="567"/>
      <c r="B24" s="567"/>
      <c r="C24" s="567" t="s">
        <v>300</v>
      </c>
      <c r="D24" s="567"/>
      <c r="E24" s="567"/>
      <c r="F24" s="567"/>
      <c r="G24" s="784" t="s">
        <v>301</v>
      </c>
      <c r="H24" s="568" t="s">
        <v>296</v>
      </c>
      <c r="I24" s="239" t="str">
        <f>IF(ISBLANK(input!I23),"",input!I23)</f>
        <v/>
      </c>
      <c r="K24" s="262" t="s">
        <v>4249</v>
      </c>
      <c r="N24" s="262">
        <v>0.3</v>
      </c>
    </row>
    <row r="25" spans="1:14" ht="12.75" customHeight="1" x14ac:dyDescent="0.2">
      <c r="A25" s="567"/>
      <c r="B25" s="567"/>
      <c r="C25" s="567" t="s">
        <v>302</v>
      </c>
      <c r="D25" s="567"/>
      <c r="E25" s="567"/>
      <c r="F25" s="567"/>
      <c r="G25" s="784" t="s">
        <v>303</v>
      </c>
      <c r="H25" s="568" t="s">
        <v>296</v>
      </c>
      <c r="I25" s="239" t="str">
        <f>IF(ISBLANK(input!I24),"",input!I24)</f>
        <v/>
      </c>
      <c r="K25" s="262" t="s">
        <v>4249</v>
      </c>
      <c r="N25" s="262">
        <v>1</v>
      </c>
    </row>
    <row r="26" spans="1:14" ht="12.75" customHeight="1" x14ac:dyDescent="0.2">
      <c r="A26" s="567"/>
      <c r="B26" s="567"/>
      <c r="C26" s="567" t="s">
        <v>304</v>
      </c>
      <c r="D26" s="567"/>
      <c r="E26" s="567"/>
      <c r="F26" s="567"/>
      <c r="G26" s="784" t="s">
        <v>305</v>
      </c>
      <c r="H26" s="568" t="s">
        <v>296</v>
      </c>
      <c r="I26" s="239" t="str">
        <f>IF(ISBLANK(input!I25),"",input!I25)</f>
        <v/>
      </c>
      <c r="K26" s="262" t="s">
        <v>4249</v>
      </c>
      <c r="N26" s="262" t="s">
        <v>4249</v>
      </c>
    </row>
    <row r="27" spans="1:14" ht="12.75" customHeight="1" x14ac:dyDescent="0.2">
      <c r="A27" s="567"/>
      <c r="B27" s="567"/>
      <c r="C27" s="567" t="s">
        <v>306</v>
      </c>
      <c r="D27" s="567"/>
      <c r="E27" s="567"/>
      <c r="F27" s="567"/>
      <c r="G27" s="784" t="s">
        <v>307</v>
      </c>
      <c r="H27" s="568" t="s">
        <v>296</v>
      </c>
      <c r="I27" s="239" t="str">
        <f>IF(ISBLANK(input!I26),"",input!I26)</f>
        <v/>
      </c>
      <c r="K27" s="262" t="s">
        <v>4249</v>
      </c>
      <c r="N27" s="262" t="s">
        <v>4249</v>
      </c>
    </row>
    <row r="28" spans="1:14" ht="12.75" customHeight="1" x14ac:dyDescent="0.2">
      <c r="A28" s="567"/>
      <c r="B28" s="567"/>
      <c r="C28" s="567" t="s">
        <v>308</v>
      </c>
      <c r="D28" s="567"/>
      <c r="E28" s="567"/>
      <c r="F28" s="567"/>
      <c r="G28" s="784" t="s">
        <v>309</v>
      </c>
      <c r="H28" s="568" t="s">
        <v>296</v>
      </c>
      <c r="I28" s="239" t="str">
        <f>IF(ISBLANK(input!I27),"",input!I27)</f>
        <v/>
      </c>
      <c r="K28" s="262" t="s">
        <v>4249</v>
      </c>
      <c r="N28" s="262" t="s">
        <v>4249</v>
      </c>
    </row>
    <row r="29" spans="1:14" ht="12.75" customHeight="1" x14ac:dyDescent="0.2">
      <c r="A29" s="567"/>
      <c r="B29" s="567"/>
      <c r="C29" s="567" t="s">
        <v>310</v>
      </c>
      <c r="D29" s="567"/>
      <c r="E29" s="567"/>
      <c r="F29" s="567"/>
      <c r="G29" s="784" t="s">
        <v>311</v>
      </c>
      <c r="H29" s="568" t="s">
        <v>296</v>
      </c>
      <c r="I29" s="239" t="str">
        <f>IF(ISBLANK(input!I28),"",input!I28)</f>
        <v/>
      </c>
      <c r="K29" s="262" t="s">
        <v>4249</v>
      </c>
      <c r="N29" s="262" t="s">
        <v>4249</v>
      </c>
    </row>
    <row r="30" spans="1:14" ht="12.75" customHeight="1" x14ac:dyDescent="0.2">
      <c r="A30" s="567"/>
      <c r="B30" s="567"/>
      <c r="C30" s="567" t="s">
        <v>312</v>
      </c>
      <c r="D30" s="567"/>
      <c r="E30" s="567"/>
      <c r="F30" s="567"/>
      <c r="G30" s="784" t="s">
        <v>313</v>
      </c>
      <c r="H30" s="568" t="s">
        <v>296</v>
      </c>
      <c r="I30" s="239" t="str">
        <f>IF(ISBLANK(input!I29),"",input!I29)</f>
        <v/>
      </c>
      <c r="K30" s="262" t="s">
        <v>4249</v>
      </c>
      <c r="N30" s="262">
        <v>1</v>
      </c>
    </row>
    <row r="31" spans="1:14" ht="12.75" customHeight="1" x14ac:dyDescent="0.2">
      <c r="A31" s="567"/>
      <c r="B31" s="567"/>
      <c r="C31" s="567" t="s">
        <v>314</v>
      </c>
      <c r="D31" s="567"/>
      <c r="E31" s="567"/>
      <c r="F31" s="567"/>
      <c r="G31" s="784" t="s">
        <v>315</v>
      </c>
      <c r="H31" s="568" t="s">
        <v>296</v>
      </c>
      <c r="I31" s="239" t="str">
        <f>IF(ISBLANK(input!I30),"",input!I30)</f>
        <v/>
      </c>
      <c r="K31" s="262" t="s">
        <v>4249</v>
      </c>
      <c r="N31" s="262">
        <v>1</v>
      </c>
    </row>
    <row r="32" spans="1:14" ht="12.75" customHeight="1" x14ac:dyDescent="0.2">
      <c r="A32" s="567"/>
      <c r="B32" s="567"/>
      <c r="C32" s="567" t="s">
        <v>316</v>
      </c>
      <c r="D32" s="567"/>
      <c r="E32" s="567"/>
      <c r="F32" s="567"/>
      <c r="G32" s="784" t="s">
        <v>317</v>
      </c>
      <c r="H32" s="568" t="s">
        <v>296</v>
      </c>
      <c r="I32" s="239" t="str">
        <f>IF(ISBLANK(input!I31),"",input!I31)</f>
        <v/>
      </c>
      <c r="K32" s="262" t="s">
        <v>4249</v>
      </c>
      <c r="N32" s="262">
        <v>1E-3</v>
      </c>
    </row>
    <row r="33" spans="1:14" ht="12.75" customHeight="1" x14ac:dyDescent="0.2">
      <c r="A33" s="567"/>
      <c r="B33" s="567"/>
      <c r="C33" s="567" t="s">
        <v>318</v>
      </c>
      <c r="D33" s="567"/>
      <c r="E33" s="567"/>
      <c r="F33" s="567"/>
      <c r="G33" s="784" t="s">
        <v>319</v>
      </c>
      <c r="H33" s="568" t="s">
        <v>296</v>
      </c>
      <c r="I33" s="239" t="str">
        <f>IF(ISBLANK(input!I32),"",input!I32)</f>
        <v/>
      </c>
      <c r="K33" s="262" t="s">
        <v>4249</v>
      </c>
      <c r="N33" s="262">
        <v>1</v>
      </c>
    </row>
    <row r="34" spans="1:14" ht="12.75" customHeight="1" x14ac:dyDescent="0.2">
      <c r="A34" s="567"/>
      <c r="B34" s="567"/>
      <c r="C34" s="567" t="s">
        <v>320</v>
      </c>
      <c r="D34" s="567"/>
      <c r="E34" s="567"/>
      <c r="F34" s="567"/>
      <c r="G34" s="784" t="s">
        <v>321</v>
      </c>
      <c r="H34" s="568" t="s">
        <v>296</v>
      </c>
      <c r="I34" s="239" t="str">
        <f>IF(ISBLANK(input!I33),"",input!I33)</f>
        <v/>
      </c>
      <c r="K34" s="262" t="s">
        <v>4249</v>
      </c>
      <c r="N34" s="262">
        <v>1E-3</v>
      </c>
    </row>
    <row r="35" spans="1:14" ht="12.75" customHeight="1" x14ac:dyDescent="0.2">
      <c r="A35" s="567"/>
      <c r="B35" s="567"/>
      <c r="C35" s="567" t="s">
        <v>322</v>
      </c>
      <c r="D35" s="567"/>
      <c r="E35" s="567"/>
      <c r="F35" s="567"/>
      <c r="G35" s="784" t="s">
        <v>323</v>
      </c>
      <c r="H35" s="568" t="s">
        <v>296</v>
      </c>
      <c r="I35" s="239" t="str">
        <f>IF(ISBLANK(input!I34),"",input!I34)</f>
        <v/>
      </c>
      <c r="K35" s="262" t="s">
        <v>4249</v>
      </c>
      <c r="N35" s="262">
        <v>1</v>
      </c>
    </row>
    <row r="36" spans="1:14" ht="12.75" customHeight="1" x14ac:dyDescent="0.2">
      <c r="A36" s="567"/>
      <c r="B36" s="567"/>
      <c r="C36" s="567" t="s">
        <v>324</v>
      </c>
      <c r="D36" s="567"/>
      <c r="E36" s="567"/>
      <c r="F36" s="567"/>
      <c r="G36" s="784" t="s">
        <v>325</v>
      </c>
      <c r="H36" s="568" t="s">
        <v>296</v>
      </c>
      <c r="I36" s="239" t="str">
        <f>IF(ISBLANK(input!I35),"",input!I35)</f>
        <v/>
      </c>
      <c r="K36" s="262" t="s">
        <v>4249</v>
      </c>
      <c r="N36" s="262">
        <v>0.3</v>
      </c>
    </row>
    <row r="37" spans="1:14" ht="12.75" customHeight="1" x14ac:dyDescent="0.2">
      <c r="A37" s="567"/>
      <c r="B37" s="567"/>
      <c r="C37" s="567" t="s">
        <v>326</v>
      </c>
      <c r="D37" s="567"/>
      <c r="E37" s="567"/>
      <c r="F37" s="567"/>
      <c r="G37" s="784" t="s">
        <v>327</v>
      </c>
      <c r="H37" s="568" t="s">
        <v>296</v>
      </c>
      <c r="I37" s="239" t="str">
        <f>IF(ISBLANK(input!I36),"",input!I36)</f>
        <v/>
      </c>
      <c r="K37" s="262" t="s">
        <v>4249</v>
      </c>
      <c r="N37" s="262">
        <v>1</v>
      </c>
    </row>
    <row r="38" spans="1:14" ht="12.75" customHeight="1" x14ac:dyDescent="0.2">
      <c r="A38" s="567"/>
      <c r="B38" s="567"/>
      <c r="C38" s="567" t="s">
        <v>328</v>
      </c>
      <c r="D38" s="567"/>
      <c r="E38" s="567"/>
      <c r="F38" s="567"/>
      <c r="G38" s="784" t="s">
        <v>329</v>
      </c>
      <c r="H38" s="568" t="s">
        <v>296</v>
      </c>
      <c r="I38" s="239" t="str">
        <f>IF(ISBLANK(input!I37),"",input!I37)</f>
        <v/>
      </c>
      <c r="K38" s="262" t="s">
        <v>4249</v>
      </c>
      <c r="N38" s="262">
        <v>0.3</v>
      </c>
    </row>
    <row r="39" spans="1:14" ht="12.75" customHeight="1" x14ac:dyDescent="0.2">
      <c r="A39" s="567"/>
      <c r="B39" s="567"/>
      <c r="C39" s="567" t="s">
        <v>330</v>
      </c>
      <c r="D39" s="567"/>
      <c r="E39" s="567"/>
      <c r="F39" s="567"/>
      <c r="G39" s="784" t="s">
        <v>331</v>
      </c>
      <c r="H39" s="568" t="s">
        <v>296</v>
      </c>
      <c r="I39" s="239" t="str">
        <f>IF(ISBLANK(input!I38),"",input!I38)</f>
        <v/>
      </c>
      <c r="K39" s="262" t="s">
        <v>4249</v>
      </c>
      <c r="N39" s="262">
        <v>1</v>
      </c>
    </row>
    <row r="40" spans="1:14" ht="12.75" customHeight="1" x14ac:dyDescent="0.2">
      <c r="A40" s="567"/>
      <c r="B40" s="567"/>
      <c r="C40" s="567" t="s">
        <v>332</v>
      </c>
      <c r="D40" s="567"/>
      <c r="E40" s="567"/>
      <c r="F40" s="567"/>
      <c r="G40" s="784" t="s">
        <v>333</v>
      </c>
      <c r="H40" s="568" t="s">
        <v>296</v>
      </c>
      <c r="I40" s="239" t="str">
        <f>IF(ISBLANK(input!I39),"",input!I39)</f>
        <v/>
      </c>
      <c r="K40" s="262" t="s">
        <v>4249</v>
      </c>
      <c r="N40" s="262">
        <v>0.3</v>
      </c>
    </row>
    <row r="41" spans="1:14" ht="12.75" customHeight="1" x14ac:dyDescent="0.2">
      <c r="A41" s="567"/>
      <c r="B41" s="567"/>
      <c r="C41" s="599" t="s">
        <v>334</v>
      </c>
      <c r="D41" s="599"/>
      <c r="E41" s="599"/>
      <c r="F41" s="599"/>
      <c r="G41" s="785" t="s">
        <v>335</v>
      </c>
      <c r="H41" s="602" t="s">
        <v>296</v>
      </c>
      <c r="I41" s="239" t="str">
        <f>IF(ISBLANK(input!I40),"",input!I40)</f>
        <v/>
      </c>
      <c r="K41" s="262" t="s">
        <v>4249</v>
      </c>
      <c r="N41" s="262">
        <v>1</v>
      </c>
    </row>
    <row r="42" spans="1:14" ht="12.75" customHeight="1" x14ac:dyDescent="0.2">
      <c r="A42" s="567"/>
      <c r="B42" s="567"/>
      <c r="C42" s="581"/>
      <c r="D42" s="581"/>
      <c r="E42" s="581"/>
      <c r="F42" s="581"/>
      <c r="G42" s="568"/>
      <c r="H42" s="568"/>
      <c r="I42" s="239" t="str">
        <f>IF(ISBLANK(input!I41),"",input!I41)</f>
        <v/>
      </c>
    </row>
    <row r="43" spans="1:14" ht="12.75" customHeight="1" x14ac:dyDescent="0.2">
      <c r="A43" s="567"/>
      <c r="B43" s="567"/>
      <c r="C43" s="601" t="s">
        <v>336</v>
      </c>
      <c r="D43" s="599"/>
      <c r="E43" s="599"/>
      <c r="F43" s="599"/>
      <c r="G43" s="588" t="s">
        <v>263</v>
      </c>
      <c r="H43" s="588" t="s">
        <v>279</v>
      </c>
      <c r="I43" s="239" t="str">
        <f>IF(ISBLANK(input!I42),"",input!I42)</f>
        <v>User input</v>
      </c>
      <c r="K43" s="262" t="s">
        <v>4249</v>
      </c>
      <c r="N43" s="262" t="s">
        <v>280</v>
      </c>
    </row>
    <row r="44" spans="1:14" ht="12.75" customHeight="1" x14ac:dyDescent="0.2">
      <c r="A44" s="567"/>
      <c r="B44" s="567"/>
      <c r="C44" s="809" t="s">
        <v>337</v>
      </c>
      <c r="D44" s="567"/>
      <c r="E44" s="567"/>
      <c r="F44" s="567"/>
      <c r="G44" s="568"/>
      <c r="H44" s="568"/>
      <c r="I44" s="239" t="str">
        <f>IF(ISBLANK(input!I43),"",input!I43)</f>
        <v/>
      </c>
      <c r="K44" s="262" t="s">
        <v>4249</v>
      </c>
    </row>
    <row r="45" spans="1:14" ht="12.75" customHeight="1" x14ac:dyDescent="0.2">
      <c r="A45" s="567"/>
      <c r="B45" s="567"/>
      <c r="C45" s="567" t="s">
        <v>338</v>
      </c>
      <c r="D45" s="567"/>
      <c r="E45" s="567"/>
      <c r="F45" s="567"/>
      <c r="G45" s="784" t="s">
        <v>339</v>
      </c>
      <c r="H45" s="568" t="s">
        <v>340</v>
      </c>
      <c r="I45" s="239" t="str">
        <f>IF(ISBLANK(input!I44),"",input!I44)</f>
        <v/>
      </c>
      <c r="J45" s="826"/>
      <c r="K45" s="262" t="s">
        <v>4249</v>
      </c>
      <c r="N45" s="262">
        <v>0</v>
      </c>
    </row>
    <row r="46" spans="1:14" ht="12.75" customHeight="1" x14ac:dyDescent="0.2">
      <c r="A46" s="567"/>
      <c r="B46" s="567"/>
      <c r="C46" s="567" t="s">
        <v>342</v>
      </c>
      <c r="D46" s="567"/>
      <c r="E46" s="567"/>
      <c r="F46" s="567"/>
      <c r="G46" s="784" t="s">
        <v>343</v>
      </c>
      <c r="H46" s="568" t="s">
        <v>340</v>
      </c>
      <c r="I46" s="239" t="str">
        <f>IF(ISBLANK(input!I45),"",input!I45)</f>
        <v/>
      </c>
      <c r="K46" s="262" t="s">
        <v>4249</v>
      </c>
      <c r="N46" s="262">
        <v>0</v>
      </c>
    </row>
    <row r="47" spans="1:14" ht="12.75" customHeight="1" x14ac:dyDescent="0.2">
      <c r="A47" s="567"/>
      <c r="B47" s="567"/>
      <c r="C47" s="567" t="s">
        <v>344</v>
      </c>
      <c r="D47" s="567"/>
      <c r="E47" s="567"/>
      <c r="F47" s="567"/>
      <c r="G47" s="784" t="s">
        <v>345</v>
      </c>
      <c r="H47" s="568" t="s">
        <v>340</v>
      </c>
      <c r="I47" s="239" t="str">
        <f>IF(ISBLANK(input!I46),"",input!I46)</f>
        <v/>
      </c>
      <c r="K47" s="262" t="s">
        <v>4249</v>
      </c>
      <c r="N47" s="262">
        <v>0</v>
      </c>
    </row>
    <row r="48" spans="1:14" ht="12.75" customHeight="1" x14ac:dyDescent="0.2">
      <c r="A48" s="567"/>
      <c r="B48" s="567"/>
      <c r="C48" s="567" t="s">
        <v>346</v>
      </c>
      <c r="D48" s="567"/>
      <c r="E48" s="567"/>
      <c r="F48" s="567"/>
      <c r="G48" s="784" t="s">
        <v>347</v>
      </c>
      <c r="H48" s="568" t="s">
        <v>340</v>
      </c>
      <c r="I48" s="239" t="str">
        <f>IF(ISBLANK(input!I47),"",input!I47)</f>
        <v/>
      </c>
      <c r="K48" s="262" t="s">
        <v>4249</v>
      </c>
      <c r="N48" s="262">
        <v>0</v>
      </c>
    </row>
    <row r="49" spans="1:14" ht="12.75" customHeight="1" x14ac:dyDescent="0.2">
      <c r="A49" s="567"/>
      <c r="B49" s="567"/>
      <c r="C49" s="567" t="s">
        <v>348</v>
      </c>
      <c r="D49" s="567"/>
      <c r="E49" s="567"/>
      <c r="F49" s="567"/>
      <c r="G49" s="784" t="s">
        <v>349</v>
      </c>
      <c r="H49" s="568" t="s">
        <v>340</v>
      </c>
      <c r="I49" s="239" t="str">
        <f>IF(ISBLANK(input!I48),"",input!I48)</f>
        <v/>
      </c>
      <c r="K49" s="262" t="s">
        <v>4249</v>
      </c>
      <c r="N49" s="262">
        <v>0</v>
      </c>
    </row>
    <row r="50" spans="1:14" ht="12.75" customHeight="1" x14ac:dyDescent="0.2">
      <c r="A50" s="567"/>
      <c r="B50" s="567"/>
      <c r="C50" s="567" t="s">
        <v>350</v>
      </c>
      <c r="D50" s="567"/>
      <c r="E50" s="567"/>
      <c r="F50" s="567"/>
      <c r="G50" s="784" t="s">
        <v>351</v>
      </c>
      <c r="H50" s="568" t="s">
        <v>340</v>
      </c>
      <c r="I50" s="239" t="str">
        <f>IF(ISBLANK(input!I49),"",input!I49)</f>
        <v/>
      </c>
      <c r="K50" s="262" t="s">
        <v>4249</v>
      </c>
      <c r="N50" s="262">
        <v>0</v>
      </c>
    </row>
    <row r="51" spans="1:14" ht="12.75" customHeight="1" x14ac:dyDescent="0.2">
      <c r="A51" s="567"/>
      <c r="B51" s="567"/>
      <c r="C51" s="567" t="s">
        <v>352</v>
      </c>
      <c r="D51" s="567"/>
      <c r="E51" s="567"/>
      <c r="F51" s="567"/>
      <c r="G51" s="784" t="s">
        <v>353</v>
      </c>
      <c r="H51" s="568" t="s">
        <v>340</v>
      </c>
      <c r="I51" s="239" t="str">
        <f>IF(ISBLANK(input!I50),"",input!I50)</f>
        <v/>
      </c>
      <c r="K51" s="262" t="s">
        <v>4249</v>
      </c>
      <c r="N51" s="262">
        <v>0</v>
      </c>
    </row>
    <row r="52" spans="1:14" ht="12.75" customHeight="1" x14ac:dyDescent="0.2">
      <c r="A52" s="567"/>
      <c r="B52" s="567"/>
      <c r="C52" s="567" t="s">
        <v>354</v>
      </c>
      <c r="D52" s="567"/>
      <c r="E52" s="567"/>
      <c r="F52" s="567"/>
      <c r="G52" s="784" t="s">
        <v>355</v>
      </c>
      <c r="H52" s="568" t="s">
        <v>340</v>
      </c>
      <c r="I52" s="239" t="str">
        <f>IF(ISBLANK(input!I51),"",input!I51)</f>
        <v/>
      </c>
      <c r="K52" s="262" t="s">
        <v>4249</v>
      </c>
      <c r="N52" s="262">
        <v>0</v>
      </c>
    </row>
    <row r="53" spans="1:14" ht="12.75" customHeight="1" x14ac:dyDescent="0.2">
      <c r="A53" s="567"/>
      <c r="B53" s="567"/>
      <c r="C53" s="567" t="s">
        <v>356</v>
      </c>
      <c r="D53" s="567"/>
      <c r="E53" s="567"/>
      <c r="F53" s="567"/>
      <c r="G53" s="784" t="s">
        <v>357</v>
      </c>
      <c r="H53" s="568" t="s">
        <v>340</v>
      </c>
      <c r="I53" s="239" t="str">
        <f>IF(ISBLANK(input!I52),"",input!I52)</f>
        <v/>
      </c>
      <c r="N53" s="262">
        <v>0</v>
      </c>
    </row>
    <row r="54" spans="1:14" ht="12.75" customHeight="1" x14ac:dyDescent="0.2">
      <c r="A54" s="567"/>
      <c r="B54" s="567"/>
      <c r="C54" s="567" t="s">
        <v>358</v>
      </c>
      <c r="D54" s="567"/>
      <c r="E54" s="567"/>
      <c r="F54" s="567"/>
      <c r="G54" s="784" t="s">
        <v>359</v>
      </c>
      <c r="H54" s="568" t="s">
        <v>340</v>
      </c>
      <c r="I54" s="239" t="str">
        <f>IF(ISBLANK(input!I53),"",input!I53)</f>
        <v/>
      </c>
      <c r="N54" s="262">
        <v>0</v>
      </c>
    </row>
    <row r="55" spans="1:14" ht="12.75" customHeight="1" x14ac:dyDescent="0.2">
      <c r="A55" s="567"/>
      <c r="B55" s="567"/>
      <c r="C55" s="809" t="s">
        <v>4346</v>
      </c>
      <c r="D55" s="567"/>
      <c r="E55" s="567"/>
      <c r="F55" s="567"/>
      <c r="G55" s="784"/>
      <c r="H55" s="568"/>
      <c r="I55" s="239" t="str">
        <f>IF(ISBLANK(input!I54),"",input!I54)</f>
        <v/>
      </c>
    </row>
    <row r="56" spans="1:14" ht="12.75" customHeight="1" x14ac:dyDescent="0.2">
      <c r="A56" s="567"/>
      <c r="B56" s="567"/>
      <c r="C56" s="567" t="s">
        <v>361</v>
      </c>
      <c r="D56" s="567"/>
      <c r="E56" s="567"/>
      <c r="F56" s="567"/>
      <c r="G56" s="784" t="s">
        <v>362</v>
      </c>
      <c r="H56" s="568" t="s">
        <v>340</v>
      </c>
      <c r="I56" s="239" t="str">
        <f>IF(ISBLANK(input!I55),"",input!I55)</f>
        <v/>
      </c>
      <c r="N56" s="262">
        <v>0</v>
      </c>
    </row>
    <row r="57" spans="1:14" ht="12.75" customHeight="1" x14ac:dyDescent="0.2">
      <c r="A57" s="567"/>
      <c r="B57" s="567"/>
      <c r="C57" s="567" t="s">
        <v>363</v>
      </c>
      <c r="D57" s="567"/>
      <c r="E57" s="567"/>
      <c r="F57" s="567"/>
      <c r="G57" s="784" t="s">
        <v>364</v>
      </c>
      <c r="H57" s="568" t="s">
        <v>340</v>
      </c>
      <c r="I57" s="239" t="str">
        <f>IF(ISBLANK(input!I56),"",input!I56)</f>
        <v/>
      </c>
      <c r="J57" s="228"/>
      <c r="N57" s="262">
        <v>0</v>
      </c>
    </row>
    <row r="58" spans="1:14" ht="12.75" customHeight="1" x14ac:dyDescent="0.2">
      <c r="A58" s="567"/>
      <c r="B58" s="567"/>
      <c r="C58" s="567" t="s">
        <v>365</v>
      </c>
      <c r="D58" s="567"/>
      <c r="E58" s="567"/>
      <c r="F58" s="567"/>
      <c r="G58" s="784" t="s">
        <v>366</v>
      </c>
      <c r="H58" s="568" t="s">
        <v>340</v>
      </c>
      <c r="I58" s="239" t="str">
        <f>IF(ISBLANK(input!I57),"",input!I57)</f>
        <v/>
      </c>
      <c r="J58" s="228"/>
      <c r="K58" s="262" t="s">
        <v>4249</v>
      </c>
      <c r="N58" s="262">
        <v>0</v>
      </c>
    </row>
    <row r="59" spans="1:14" ht="12.75" customHeight="1" x14ac:dyDescent="0.2">
      <c r="A59" s="567"/>
      <c r="B59" s="567"/>
      <c r="C59" s="567" t="s">
        <v>367</v>
      </c>
      <c r="D59" s="567"/>
      <c r="E59" s="567"/>
      <c r="F59" s="567"/>
      <c r="G59" s="784" t="s">
        <v>368</v>
      </c>
      <c r="H59" s="568" t="s">
        <v>340</v>
      </c>
      <c r="I59" s="239" t="str">
        <f>IF(ISBLANK(input!I58),"",input!I58)</f>
        <v/>
      </c>
      <c r="K59" s="262" t="s">
        <v>4249</v>
      </c>
      <c r="N59" s="262">
        <v>0</v>
      </c>
    </row>
    <row r="60" spans="1:14" ht="12.75" customHeight="1" x14ac:dyDescent="0.2">
      <c r="A60" s="567"/>
      <c r="B60" s="567"/>
      <c r="C60" s="567" t="s">
        <v>369</v>
      </c>
      <c r="D60" s="567"/>
      <c r="E60" s="567"/>
      <c r="F60" s="567"/>
      <c r="G60" s="784" t="s">
        <v>370</v>
      </c>
      <c r="H60" s="568" t="s">
        <v>340</v>
      </c>
      <c r="I60" s="239" t="str">
        <f>IF(ISBLANK(input!I59),"",input!I59)</f>
        <v/>
      </c>
      <c r="K60" s="262" t="s">
        <v>4249</v>
      </c>
      <c r="N60" s="262">
        <v>0</v>
      </c>
    </row>
    <row r="61" spans="1:14" ht="12.75" customHeight="1" x14ac:dyDescent="0.2">
      <c r="A61" s="567"/>
      <c r="B61" s="567"/>
      <c r="C61" s="567" t="s">
        <v>371</v>
      </c>
      <c r="D61" s="567"/>
      <c r="E61" s="567"/>
      <c r="F61" s="567"/>
      <c r="G61" s="784" t="s">
        <v>372</v>
      </c>
      <c r="H61" s="568" t="s">
        <v>340</v>
      </c>
      <c r="I61" s="239" t="str">
        <f>IF(ISBLANK(input!I60),"",input!I60)</f>
        <v/>
      </c>
      <c r="K61" s="262" t="s">
        <v>4249</v>
      </c>
      <c r="N61" s="262">
        <v>0</v>
      </c>
    </row>
    <row r="62" spans="1:14" ht="12.75" customHeight="1" x14ac:dyDescent="0.2">
      <c r="A62" s="567"/>
      <c r="B62" s="567"/>
      <c r="C62" s="567" t="s">
        <v>373</v>
      </c>
      <c r="D62" s="567"/>
      <c r="E62" s="567"/>
      <c r="F62" s="567"/>
      <c r="G62" s="784" t="s">
        <v>374</v>
      </c>
      <c r="H62" s="568" t="s">
        <v>340</v>
      </c>
      <c r="I62" s="239" t="str">
        <f>IF(ISBLANK(input!I61),"",input!I61)</f>
        <v/>
      </c>
      <c r="K62" s="262" t="s">
        <v>4249</v>
      </c>
      <c r="N62" s="262">
        <v>0</v>
      </c>
    </row>
    <row r="63" spans="1:14" ht="12.75" customHeight="1" x14ac:dyDescent="0.2">
      <c r="A63" s="567"/>
      <c r="B63" s="567"/>
      <c r="C63" s="567" t="s">
        <v>375</v>
      </c>
      <c r="D63" s="567"/>
      <c r="E63" s="567"/>
      <c r="F63" s="567"/>
      <c r="G63" s="784" t="s">
        <v>376</v>
      </c>
      <c r="H63" s="568" t="s">
        <v>340</v>
      </c>
      <c r="I63" s="239" t="str">
        <f>IF(ISBLANK(input!I62),"",input!I62)</f>
        <v/>
      </c>
      <c r="K63" s="262" t="s">
        <v>4249</v>
      </c>
      <c r="N63" s="262">
        <v>0</v>
      </c>
    </row>
    <row r="64" spans="1:14" ht="12.75" customHeight="1" x14ac:dyDescent="0.2">
      <c r="A64" s="567"/>
      <c r="B64" s="567"/>
      <c r="C64" s="567" t="s">
        <v>377</v>
      </c>
      <c r="D64" s="567"/>
      <c r="E64" s="567"/>
      <c r="F64" s="567"/>
      <c r="G64" s="784" t="s">
        <v>378</v>
      </c>
      <c r="H64" s="568" t="s">
        <v>340</v>
      </c>
      <c r="I64" s="239" t="str">
        <f>IF(ISBLANK(input!I63),"",input!I63)</f>
        <v/>
      </c>
      <c r="K64" s="262" t="s">
        <v>4249</v>
      </c>
      <c r="N64" s="262">
        <v>0</v>
      </c>
    </row>
    <row r="65" spans="1:14" ht="12.75" customHeight="1" x14ac:dyDescent="0.2">
      <c r="A65" s="567"/>
      <c r="B65" s="567"/>
      <c r="C65" s="567" t="s">
        <v>379</v>
      </c>
      <c r="D65" s="567"/>
      <c r="E65" s="567"/>
      <c r="F65" s="567"/>
      <c r="G65" s="784" t="s">
        <v>380</v>
      </c>
      <c r="H65" s="568" t="s">
        <v>340</v>
      </c>
      <c r="I65" s="239" t="str">
        <f>IF(ISBLANK(input!I64),"",input!I64)</f>
        <v/>
      </c>
      <c r="K65" s="262" t="s">
        <v>4249</v>
      </c>
      <c r="N65" s="262">
        <v>0</v>
      </c>
    </row>
    <row r="66" spans="1:14" ht="12.75" customHeight="1" x14ac:dyDescent="0.2">
      <c r="A66" s="567"/>
      <c r="B66" s="567"/>
      <c r="C66" s="567" t="s">
        <v>381</v>
      </c>
      <c r="D66" s="567"/>
      <c r="E66" s="567"/>
      <c r="F66" s="567"/>
      <c r="G66" s="784" t="s">
        <v>382</v>
      </c>
      <c r="H66" s="568" t="s">
        <v>340</v>
      </c>
      <c r="I66" s="239" t="str">
        <f>IF(ISBLANK(input!I65),"",input!I65)</f>
        <v/>
      </c>
      <c r="K66" s="262" t="s">
        <v>4249</v>
      </c>
      <c r="N66" s="262">
        <v>0</v>
      </c>
    </row>
    <row r="67" spans="1:14" ht="12.75" customHeight="1" x14ac:dyDescent="0.2">
      <c r="A67" s="567"/>
      <c r="B67" s="567"/>
      <c r="C67" s="567" t="s">
        <v>383</v>
      </c>
      <c r="D67" s="567"/>
      <c r="E67" s="567"/>
      <c r="F67" s="567"/>
      <c r="G67" s="784" t="s">
        <v>384</v>
      </c>
      <c r="H67" s="568" t="s">
        <v>340</v>
      </c>
      <c r="I67" s="239" t="str">
        <f>IF(ISBLANK(input!I66),"",input!I66)</f>
        <v/>
      </c>
      <c r="K67" s="262" t="s">
        <v>4249</v>
      </c>
      <c r="N67" s="262">
        <v>0</v>
      </c>
    </row>
    <row r="68" spans="1:14" ht="12.75" customHeight="1" x14ac:dyDescent="0.2">
      <c r="A68" s="567"/>
      <c r="B68" s="567"/>
      <c r="C68" s="567" t="s">
        <v>385</v>
      </c>
      <c r="D68" s="567"/>
      <c r="E68" s="567"/>
      <c r="F68" s="567"/>
      <c r="G68" s="784" t="s">
        <v>386</v>
      </c>
      <c r="H68" s="568" t="s">
        <v>340</v>
      </c>
      <c r="I68" s="239" t="str">
        <f>IF(ISBLANK(input!I67),"",input!I67)</f>
        <v/>
      </c>
      <c r="K68" s="262" t="s">
        <v>4249</v>
      </c>
      <c r="N68" s="262">
        <v>0</v>
      </c>
    </row>
    <row r="69" spans="1:14" ht="12.75" customHeight="1" x14ac:dyDescent="0.2">
      <c r="A69" s="567"/>
      <c r="B69" s="567"/>
      <c r="C69" s="567" t="s">
        <v>387</v>
      </c>
      <c r="D69" s="567"/>
      <c r="E69" s="567"/>
      <c r="F69" s="567"/>
      <c r="G69" s="784" t="s">
        <v>388</v>
      </c>
      <c r="H69" s="568" t="s">
        <v>340</v>
      </c>
      <c r="I69" s="239" t="str">
        <f>IF(ISBLANK(input!I68),"",input!I68)</f>
        <v/>
      </c>
      <c r="K69" s="262" t="s">
        <v>4249</v>
      </c>
      <c r="N69" s="262">
        <v>0</v>
      </c>
    </row>
    <row r="70" spans="1:14" ht="12.75" customHeight="1" x14ac:dyDescent="0.2">
      <c r="A70" s="567"/>
      <c r="B70" s="567"/>
      <c r="C70" s="567" t="s">
        <v>389</v>
      </c>
      <c r="D70" s="567"/>
      <c r="E70" s="567"/>
      <c r="F70" s="567"/>
      <c r="G70" s="784" t="s">
        <v>390</v>
      </c>
      <c r="H70" s="568" t="s">
        <v>340</v>
      </c>
      <c r="I70" s="239" t="str">
        <f>IF(ISBLANK(input!I69),"",input!I69)</f>
        <v/>
      </c>
      <c r="K70" s="262" t="s">
        <v>4249</v>
      </c>
      <c r="N70" s="262">
        <v>0</v>
      </c>
    </row>
    <row r="71" spans="1:14" ht="12.75" customHeight="1" x14ac:dyDescent="0.2">
      <c r="A71" s="567"/>
      <c r="B71" s="567"/>
      <c r="C71" s="567" t="s">
        <v>391</v>
      </c>
      <c r="D71" s="567"/>
      <c r="E71" s="567"/>
      <c r="F71" s="567"/>
      <c r="G71" s="784" t="s">
        <v>392</v>
      </c>
      <c r="H71" s="568" t="s">
        <v>340</v>
      </c>
      <c r="I71" s="239" t="str">
        <f>IF(ISBLANK(input!I70),"",input!I70)</f>
        <v/>
      </c>
      <c r="K71" s="262" t="s">
        <v>4249</v>
      </c>
      <c r="N71" s="262">
        <v>0</v>
      </c>
    </row>
    <row r="72" spans="1:14" ht="12.75" customHeight="1" x14ac:dyDescent="0.2">
      <c r="A72" s="567"/>
      <c r="B72" s="567"/>
      <c r="C72" s="567" t="s">
        <v>393</v>
      </c>
      <c r="D72" s="567"/>
      <c r="E72" s="567"/>
      <c r="F72" s="567"/>
      <c r="G72" s="784" t="s">
        <v>394</v>
      </c>
      <c r="H72" s="568" t="s">
        <v>340</v>
      </c>
      <c r="I72" s="239" t="str">
        <f>IF(ISBLANK(input!I71),"",input!I71)</f>
        <v/>
      </c>
      <c r="K72" s="262" t="s">
        <v>4249</v>
      </c>
      <c r="N72" s="262">
        <v>0</v>
      </c>
    </row>
    <row r="73" spans="1:14" ht="12.75" customHeight="1" x14ac:dyDescent="0.2">
      <c r="A73" s="567"/>
      <c r="B73" s="567"/>
      <c r="C73" s="567" t="s">
        <v>395</v>
      </c>
      <c r="D73" s="567"/>
      <c r="E73" s="567"/>
      <c r="F73" s="567"/>
      <c r="G73" s="784" t="s">
        <v>396</v>
      </c>
      <c r="H73" s="568" t="s">
        <v>340</v>
      </c>
      <c r="I73" s="239" t="str">
        <f>IF(ISBLANK(input!I72),"",input!I72)</f>
        <v/>
      </c>
      <c r="K73" s="262" t="s">
        <v>4249</v>
      </c>
      <c r="N73" s="262">
        <v>0</v>
      </c>
    </row>
    <row r="74" spans="1:14" ht="12.75" customHeight="1" x14ac:dyDescent="0.2">
      <c r="A74" s="567"/>
      <c r="B74" s="567"/>
      <c r="C74" s="567" t="s">
        <v>397</v>
      </c>
      <c r="D74" s="567"/>
      <c r="E74" s="567"/>
      <c r="F74" s="567"/>
      <c r="G74" s="784" t="s">
        <v>398</v>
      </c>
      <c r="H74" s="568" t="s">
        <v>340</v>
      </c>
      <c r="I74" s="239" t="str">
        <f>IF(ISBLANK(input!I73),"",input!I73)</f>
        <v/>
      </c>
      <c r="K74" s="262" t="s">
        <v>4249</v>
      </c>
      <c r="N74" s="262">
        <v>0</v>
      </c>
    </row>
    <row r="75" spans="1:14" ht="12.75" customHeight="1" x14ac:dyDescent="0.2">
      <c r="A75" s="567"/>
      <c r="B75" s="567"/>
      <c r="C75" s="599" t="s">
        <v>399</v>
      </c>
      <c r="D75" s="599"/>
      <c r="E75" s="599"/>
      <c r="F75" s="599"/>
      <c r="G75" s="785" t="s">
        <v>400</v>
      </c>
      <c r="H75" s="602" t="s">
        <v>340</v>
      </c>
      <c r="I75" s="239" t="str">
        <f>IF(ISBLANK(input!I74),"",input!I74)</f>
        <v/>
      </c>
      <c r="K75" s="262" t="s">
        <v>4249</v>
      </c>
      <c r="N75" s="262">
        <v>0</v>
      </c>
    </row>
    <row r="76" spans="1:14" ht="12.75" customHeight="1" x14ac:dyDescent="0.2">
      <c r="A76" s="567"/>
      <c r="B76" s="567"/>
      <c r="C76" s="599"/>
      <c r="D76" s="599"/>
      <c r="E76" s="599"/>
      <c r="F76" s="599"/>
      <c r="G76" s="785"/>
      <c r="H76" s="602"/>
      <c r="I76" s="239" t="str">
        <f>IF(ISBLANK(input!I75),"",input!I75)</f>
        <v/>
      </c>
      <c r="K76" s="262" t="s">
        <v>4249</v>
      </c>
      <c r="N76" s="262" t="s">
        <v>4249</v>
      </c>
    </row>
    <row r="77" spans="1:14" ht="12.75" customHeight="1" x14ac:dyDescent="0.2">
      <c r="A77" s="567"/>
      <c r="B77" s="567"/>
      <c r="C77" s="601" t="s">
        <v>401</v>
      </c>
      <c r="D77" s="599"/>
      <c r="E77" s="599"/>
      <c r="F77" s="599"/>
      <c r="G77" s="588" t="s">
        <v>263</v>
      </c>
      <c r="H77" s="588" t="s">
        <v>279</v>
      </c>
      <c r="I77" s="239" t="str">
        <f>IF(ISBLANK(input!I76),"",input!I76)</f>
        <v>User input</v>
      </c>
      <c r="K77" s="262" t="s">
        <v>4249</v>
      </c>
      <c r="N77" s="262" t="s">
        <v>264</v>
      </c>
    </row>
    <row r="78" spans="1:14" ht="12.75" customHeight="1" x14ac:dyDescent="0.2">
      <c r="A78" s="567"/>
      <c r="B78" s="567"/>
      <c r="C78" s="782" t="s">
        <v>337</v>
      </c>
      <c r="D78" s="567"/>
      <c r="E78" s="567"/>
      <c r="F78" s="567"/>
      <c r="G78" s="568"/>
      <c r="H78" s="568"/>
      <c r="I78" s="239" t="str">
        <f>IF(ISBLANK(input!I77),"",input!I77)</f>
        <v/>
      </c>
      <c r="K78" s="262" t="s">
        <v>4249</v>
      </c>
      <c r="N78" s="262" t="s">
        <v>4249</v>
      </c>
    </row>
    <row r="79" spans="1:14" ht="12.75" customHeight="1" x14ac:dyDescent="0.2">
      <c r="A79" s="567"/>
      <c r="B79" s="567"/>
      <c r="C79" s="567" t="s">
        <v>402</v>
      </c>
      <c r="D79" s="567"/>
      <c r="E79" s="567"/>
      <c r="F79" s="567"/>
      <c r="G79" s="784" t="s">
        <v>403</v>
      </c>
      <c r="H79" s="568" t="s">
        <v>340</v>
      </c>
      <c r="I79" s="239" t="str">
        <f>IF(ISBLANK(input!I78),"",input!I78)</f>
        <v/>
      </c>
      <c r="K79" s="262" t="s">
        <v>4249</v>
      </c>
      <c r="N79" s="262" t="s">
        <v>4249</v>
      </c>
    </row>
    <row r="80" spans="1:14" ht="12.75" customHeight="1" x14ac:dyDescent="0.2">
      <c r="A80" s="567"/>
      <c r="B80" s="567"/>
      <c r="C80" s="567" t="s">
        <v>408</v>
      </c>
      <c r="D80" s="567"/>
      <c r="E80" s="567"/>
      <c r="F80" s="567"/>
      <c r="G80" s="784" t="s">
        <v>409</v>
      </c>
      <c r="H80" s="568" t="s">
        <v>340</v>
      </c>
      <c r="I80" s="239" t="str">
        <f>IF(ISBLANK(input!I81),"",input!I81)</f>
        <v/>
      </c>
      <c r="K80" s="262" t="s">
        <v>4249</v>
      </c>
      <c r="N80" s="262" t="s">
        <v>4249</v>
      </c>
    </row>
    <row r="81" spans="1:14" ht="12.75" customHeight="1" x14ac:dyDescent="0.2">
      <c r="A81" s="567"/>
      <c r="B81" s="567"/>
      <c r="C81" s="567" t="s">
        <v>410</v>
      </c>
      <c r="D81" s="567"/>
      <c r="E81" s="567"/>
      <c r="F81" s="567"/>
      <c r="G81" s="784" t="s">
        <v>411</v>
      </c>
      <c r="H81" s="568" t="s">
        <v>340</v>
      </c>
      <c r="I81" s="239" t="str">
        <f>IF(ISBLANK(input!I82),"",input!I82)</f>
        <v/>
      </c>
      <c r="K81" s="262" t="s">
        <v>4249</v>
      </c>
      <c r="N81" s="262" t="s">
        <v>4249</v>
      </c>
    </row>
    <row r="82" spans="1:14" ht="12.75" customHeight="1" x14ac:dyDescent="0.2">
      <c r="A82" s="567"/>
      <c r="B82" s="567"/>
      <c r="C82" s="567" t="s">
        <v>416</v>
      </c>
      <c r="D82" s="567"/>
      <c r="E82" s="567"/>
      <c r="F82" s="567"/>
      <c r="G82" s="784" t="s">
        <v>417</v>
      </c>
      <c r="H82" s="568" t="s">
        <v>340</v>
      </c>
      <c r="I82" s="239" t="str">
        <f>IF(ISBLANK(input!I85),"",input!I85)</f>
        <v/>
      </c>
      <c r="K82" s="262" t="s">
        <v>4249</v>
      </c>
      <c r="N82" s="262" t="s">
        <v>4249</v>
      </c>
    </row>
    <row r="83" spans="1:14" ht="12.75" customHeight="1" x14ac:dyDescent="0.2">
      <c r="A83" s="567"/>
      <c r="B83" s="567"/>
      <c r="C83" s="567" t="s">
        <v>4347</v>
      </c>
      <c r="D83" s="567"/>
      <c r="E83" s="567"/>
      <c r="F83" s="567"/>
      <c r="G83" s="784" t="s">
        <v>423</v>
      </c>
      <c r="H83" s="568" t="s">
        <v>340</v>
      </c>
      <c r="I83" s="239" t="str">
        <f>IF(ISBLANK(input!I88),"",input!I88)</f>
        <v/>
      </c>
      <c r="K83" s="262" t="s">
        <v>4249</v>
      </c>
      <c r="N83" s="262" t="s">
        <v>4249</v>
      </c>
    </row>
    <row r="84" spans="1:14" ht="12.75" customHeight="1" x14ac:dyDescent="0.2">
      <c r="A84" s="567"/>
      <c r="B84" s="567"/>
      <c r="C84" s="567" t="s">
        <v>4348</v>
      </c>
      <c r="D84" s="567"/>
      <c r="E84" s="567"/>
      <c r="F84" s="567"/>
      <c r="G84" s="784" t="s">
        <v>425</v>
      </c>
      <c r="H84" s="568" t="s">
        <v>340</v>
      </c>
      <c r="I84" s="239" t="str">
        <f>IF(ISBLANK(input!I89),"",input!I89)</f>
        <v/>
      </c>
      <c r="K84" s="262" t="s">
        <v>4249</v>
      </c>
      <c r="N84" s="262" t="s">
        <v>4249</v>
      </c>
    </row>
    <row r="85" spans="1:14" ht="12.75" customHeight="1" x14ac:dyDescent="0.2">
      <c r="A85" s="567"/>
      <c r="B85" s="567"/>
      <c r="C85" s="567" t="s">
        <v>4349</v>
      </c>
      <c r="D85" s="567"/>
      <c r="E85" s="567"/>
      <c r="F85" s="567"/>
      <c r="G85" s="784" t="s">
        <v>427</v>
      </c>
      <c r="H85" s="568" t="s">
        <v>340</v>
      </c>
      <c r="I85" s="239" t="str">
        <f>IF(ISBLANK(input!I90),"",input!I90)</f>
        <v/>
      </c>
      <c r="K85" s="262" t="s">
        <v>4249</v>
      </c>
      <c r="N85" s="262" t="s">
        <v>4249</v>
      </c>
    </row>
    <row r="86" spans="1:14" ht="12.75" customHeight="1" x14ac:dyDescent="0.2">
      <c r="A86" s="567"/>
      <c r="B86" s="567"/>
      <c r="C86" s="567" t="s">
        <v>432</v>
      </c>
      <c r="D86" s="567"/>
      <c r="E86" s="567"/>
      <c r="F86" s="567"/>
      <c r="G86" s="784" t="s">
        <v>433</v>
      </c>
      <c r="H86" s="568" t="s">
        <v>340</v>
      </c>
      <c r="I86" s="239" t="str">
        <f>IF(ISBLANK(input!I93),"",input!I93)</f>
        <v/>
      </c>
      <c r="K86" s="262" t="s">
        <v>4249</v>
      </c>
      <c r="N86" s="262" t="s">
        <v>4249</v>
      </c>
    </row>
    <row r="87" spans="1:14" ht="12.75" customHeight="1" x14ac:dyDescent="0.2">
      <c r="A87" s="567"/>
      <c r="B87" s="567"/>
      <c r="C87" s="567" t="s">
        <v>434</v>
      </c>
      <c r="D87" s="567"/>
      <c r="E87" s="567"/>
      <c r="F87" s="567"/>
      <c r="G87" s="784" t="s">
        <v>435</v>
      </c>
      <c r="H87" s="568" t="s">
        <v>340</v>
      </c>
      <c r="I87" s="239" t="str">
        <f>IF(ISBLANK(input!I94),"",input!I94)</f>
        <v/>
      </c>
      <c r="K87" s="262" t="s">
        <v>4249</v>
      </c>
      <c r="N87" s="262" t="s">
        <v>4249</v>
      </c>
    </row>
    <row r="88" spans="1:14" ht="12.75" customHeight="1" x14ac:dyDescent="0.2">
      <c r="A88" s="567"/>
      <c r="B88" s="567"/>
      <c r="C88" s="567" t="s">
        <v>436</v>
      </c>
      <c r="D88" s="567"/>
      <c r="E88" s="567"/>
      <c r="F88" s="567"/>
      <c r="G88" s="784" t="s">
        <v>437</v>
      </c>
      <c r="H88" s="568" t="s">
        <v>340</v>
      </c>
      <c r="I88" s="239" t="str">
        <f>IF(ISBLANK(input!I95),"",input!I95)</f>
        <v/>
      </c>
      <c r="K88" s="262" t="s">
        <v>4249</v>
      </c>
      <c r="N88" s="262" t="s">
        <v>4249</v>
      </c>
    </row>
    <row r="89" spans="1:14" ht="12.75" customHeight="1" x14ac:dyDescent="0.2">
      <c r="A89" s="567"/>
      <c r="B89" s="567"/>
      <c r="C89" s="567" t="s">
        <v>442</v>
      </c>
      <c r="D89" s="567"/>
      <c r="E89" s="567"/>
      <c r="F89" s="567"/>
      <c r="G89" s="784" t="s">
        <v>443</v>
      </c>
      <c r="H89" s="568" t="s">
        <v>340</v>
      </c>
      <c r="I89" s="239" t="str">
        <f>IF(ISBLANK(input!I98),"",input!I98)</f>
        <v/>
      </c>
      <c r="N89" s="262" t="s">
        <v>4249</v>
      </c>
    </row>
    <row r="90" spans="1:14" ht="12.75" customHeight="1" x14ac:dyDescent="0.2">
      <c r="A90" s="567"/>
      <c r="B90" s="567"/>
      <c r="C90" s="782" t="s">
        <v>4346</v>
      </c>
      <c r="D90" s="567"/>
      <c r="E90" s="567"/>
      <c r="F90" s="567"/>
      <c r="G90" s="784"/>
      <c r="H90" s="568"/>
      <c r="I90" s="239" t="str">
        <f>IF(ISBLANK(input!I101),"",input!I101)</f>
        <v/>
      </c>
      <c r="N90" s="262" t="s">
        <v>4249</v>
      </c>
    </row>
    <row r="91" spans="1:14" ht="12.75" customHeight="1" x14ac:dyDescent="0.2">
      <c r="A91" s="567"/>
      <c r="B91" s="567"/>
      <c r="C91" s="567" t="s">
        <v>451</v>
      </c>
      <c r="D91" s="567"/>
      <c r="E91" s="567"/>
      <c r="F91" s="567"/>
      <c r="G91" s="784" t="s">
        <v>448</v>
      </c>
      <c r="H91" s="568" t="s">
        <v>340</v>
      </c>
      <c r="I91" s="239" t="str">
        <f>IF(ISBLANK(input!I102),"",input!I102)</f>
        <v/>
      </c>
      <c r="N91" s="262" t="s">
        <v>4249</v>
      </c>
    </row>
    <row r="92" spans="1:14" ht="12.75" customHeight="1" x14ac:dyDescent="0.2">
      <c r="A92" s="567"/>
      <c r="B92" s="567"/>
      <c r="C92" s="567" t="s">
        <v>453</v>
      </c>
      <c r="D92" s="567"/>
      <c r="E92" s="567"/>
      <c r="F92" s="567"/>
      <c r="G92" s="784" t="s">
        <v>450</v>
      </c>
      <c r="H92" s="568" t="s">
        <v>340</v>
      </c>
      <c r="I92" s="239" t="str">
        <f>IF(ISBLANK(input!I103),"",input!I103)</f>
        <v/>
      </c>
      <c r="N92" s="262" t="s">
        <v>4249</v>
      </c>
    </row>
    <row r="93" spans="1:14" ht="12.75" customHeight="1" x14ac:dyDescent="0.2">
      <c r="A93" s="567"/>
      <c r="B93" s="567"/>
      <c r="C93" s="567" t="s">
        <v>451</v>
      </c>
      <c r="D93" s="567"/>
      <c r="E93" s="567"/>
      <c r="F93" s="567"/>
      <c r="G93" s="784" t="s">
        <v>452</v>
      </c>
      <c r="H93" s="568" t="s">
        <v>340</v>
      </c>
      <c r="I93" s="239" t="str">
        <f>IF(ISBLANK(input!I104),"",input!I104)</f>
        <v/>
      </c>
      <c r="N93" s="262" t="s">
        <v>4249</v>
      </c>
    </row>
    <row r="94" spans="1:14" ht="12.75" customHeight="1" x14ac:dyDescent="0.2">
      <c r="A94" s="567"/>
      <c r="B94" s="567"/>
      <c r="C94" s="567" t="s">
        <v>453</v>
      </c>
      <c r="D94" s="567"/>
      <c r="E94" s="567"/>
      <c r="F94" s="567"/>
      <c r="G94" s="784" t="s">
        <v>454</v>
      </c>
      <c r="H94" s="568" t="s">
        <v>340</v>
      </c>
      <c r="I94" s="239" t="str">
        <f>IF(ISBLANK(input!I105),"",input!I105)</f>
        <v/>
      </c>
      <c r="N94" s="262" t="s">
        <v>4249</v>
      </c>
    </row>
    <row r="95" spans="1:14" ht="12.75" customHeight="1" x14ac:dyDescent="0.2">
      <c r="A95" s="567"/>
      <c r="B95" s="567"/>
      <c r="C95" s="567" t="s">
        <v>455</v>
      </c>
      <c r="D95" s="567"/>
      <c r="E95" s="567"/>
      <c r="F95" s="567"/>
      <c r="G95" s="784" t="s">
        <v>456</v>
      </c>
      <c r="H95" s="568" t="s">
        <v>340</v>
      </c>
      <c r="I95" s="239" t="str">
        <f>IF(ISBLANK(input!I106),"",input!I106)</f>
        <v/>
      </c>
      <c r="K95" s="262" t="s">
        <v>4249</v>
      </c>
      <c r="N95" s="262" t="s">
        <v>4249</v>
      </c>
    </row>
    <row r="96" spans="1:14" ht="12.75" customHeight="1" x14ac:dyDescent="0.2">
      <c r="A96" s="567"/>
      <c r="B96" s="567"/>
      <c r="C96" s="567" t="s">
        <v>457</v>
      </c>
      <c r="D96" s="567"/>
      <c r="E96" s="567"/>
      <c r="F96" s="567"/>
      <c r="G96" s="784" t="s">
        <v>458</v>
      </c>
      <c r="H96" s="568" t="s">
        <v>340</v>
      </c>
      <c r="I96" s="239" t="str">
        <f>IF(ISBLANK(input!I107),"",input!I107)</f>
        <v/>
      </c>
      <c r="K96" s="262" t="s">
        <v>4249</v>
      </c>
      <c r="N96" s="262" t="s">
        <v>4249</v>
      </c>
    </row>
    <row r="97" spans="1:14" ht="12.75" customHeight="1" x14ac:dyDescent="0.2">
      <c r="A97" s="567"/>
      <c r="B97" s="567"/>
      <c r="C97" s="567" t="s">
        <v>459</v>
      </c>
      <c r="D97" s="567"/>
      <c r="E97" s="567"/>
      <c r="F97" s="567"/>
      <c r="G97" s="784" t="s">
        <v>460</v>
      </c>
      <c r="H97" s="568" t="s">
        <v>340</v>
      </c>
      <c r="I97" s="239" t="str">
        <f>IF(ISBLANK(input!I108),"",input!I108)</f>
        <v/>
      </c>
      <c r="K97" s="262" t="s">
        <v>4249</v>
      </c>
      <c r="N97" s="262" t="s">
        <v>4249</v>
      </c>
    </row>
    <row r="98" spans="1:14" ht="12.75" customHeight="1" x14ac:dyDescent="0.2">
      <c r="A98" s="567"/>
      <c r="B98" s="567"/>
      <c r="C98" s="567" t="s">
        <v>461</v>
      </c>
      <c r="D98" s="567"/>
      <c r="E98" s="567"/>
      <c r="F98" s="567"/>
      <c r="G98" s="784" t="s">
        <v>462</v>
      </c>
      <c r="H98" s="568" t="s">
        <v>340</v>
      </c>
      <c r="I98" s="239" t="str">
        <f>IF(ISBLANK(input!I109),"",input!I109)</f>
        <v/>
      </c>
      <c r="K98" s="262" t="s">
        <v>4249</v>
      </c>
      <c r="N98" s="262" t="s">
        <v>4249</v>
      </c>
    </row>
    <row r="99" spans="1:14" ht="12.75" customHeight="1" x14ac:dyDescent="0.2">
      <c r="A99" s="567"/>
      <c r="B99" s="567"/>
      <c r="C99" s="567" t="s">
        <v>463</v>
      </c>
      <c r="D99" s="567"/>
      <c r="E99" s="567"/>
      <c r="F99" s="567"/>
      <c r="G99" s="784" t="s">
        <v>464</v>
      </c>
      <c r="H99" s="568" t="s">
        <v>340</v>
      </c>
      <c r="I99" s="239" t="str">
        <f>IF(ISBLANK(input!I110),"",input!I110)</f>
        <v/>
      </c>
      <c r="K99" s="262" t="s">
        <v>4249</v>
      </c>
      <c r="N99" s="262" t="s">
        <v>4249</v>
      </c>
    </row>
    <row r="100" spans="1:14" ht="12.75" customHeight="1" x14ac:dyDescent="0.2">
      <c r="A100" s="567"/>
      <c r="B100" s="567"/>
      <c r="C100" s="567" t="s">
        <v>465</v>
      </c>
      <c r="D100" s="567"/>
      <c r="E100" s="567"/>
      <c r="F100" s="567"/>
      <c r="G100" s="784" t="s">
        <v>466</v>
      </c>
      <c r="H100" s="568" t="s">
        <v>340</v>
      </c>
      <c r="I100" s="239" t="str">
        <f>IF(ISBLANK(input!I111),"",input!I111)</f>
        <v/>
      </c>
      <c r="K100" s="262" t="s">
        <v>4249</v>
      </c>
      <c r="N100" s="262" t="s">
        <v>4249</v>
      </c>
    </row>
    <row r="101" spans="1:14" ht="12.75" customHeight="1" x14ac:dyDescent="0.2">
      <c r="A101" s="567"/>
      <c r="B101" s="567"/>
      <c r="C101" s="567" t="s">
        <v>467</v>
      </c>
      <c r="D101" s="567"/>
      <c r="E101" s="567"/>
      <c r="F101" s="567"/>
      <c r="G101" s="784" t="s">
        <v>468</v>
      </c>
      <c r="H101" s="568" t="s">
        <v>340</v>
      </c>
      <c r="I101" s="239" t="str">
        <f>IF(ISBLANK(input!I112),"",input!I112)</f>
        <v/>
      </c>
      <c r="K101" s="262" t="s">
        <v>4249</v>
      </c>
      <c r="N101" s="262" t="s">
        <v>4249</v>
      </c>
    </row>
    <row r="102" spans="1:14" ht="12.75" customHeight="1" x14ac:dyDescent="0.2">
      <c r="A102" s="567"/>
      <c r="B102" s="567"/>
      <c r="C102" s="567" t="s">
        <v>469</v>
      </c>
      <c r="D102" s="567"/>
      <c r="E102" s="567"/>
      <c r="F102" s="567"/>
      <c r="G102" s="784" t="s">
        <v>470</v>
      </c>
      <c r="H102" s="568" t="s">
        <v>340</v>
      </c>
      <c r="I102" s="239" t="str">
        <f>IF(ISBLANK(input!I113),"",input!I113)</f>
        <v/>
      </c>
      <c r="K102" s="262" t="s">
        <v>4249</v>
      </c>
      <c r="N102" s="262" t="s">
        <v>4249</v>
      </c>
    </row>
    <row r="103" spans="1:14" ht="12.75" customHeight="1" x14ac:dyDescent="0.2">
      <c r="A103" s="567"/>
      <c r="B103" s="567"/>
      <c r="C103" s="567" t="s">
        <v>471</v>
      </c>
      <c r="D103" s="567"/>
      <c r="E103" s="567"/>
      <c r="F103" s="567"/>
      <c r="G103" s="784" t="s">
        <v>472</v>
      </c>
      <c r="H103" s="568" t="s">
        <v>340</v>
      </c>
      <c r="I103" s="239" t="str">
        <f>IF(ISBLANK(input!I114),"",input!I114)</f>
        <v/>
      </c>
      <c r="K103" s="262" t="s">
        <v>4249</v>
      </c>
      <c r="N103" s="262" t="s">
        <v>4249</v>
      </c>
    </row>
    <row r="104" spans="1:14" ht="12.75" customHeight="1" x14ac:dyDescent="0.2">
      <c r="A104" s="567"/>
      <c r="B104" s="567"/>
      <c r="C104" s="567" t="s">
        <v>473</v>
      </c>
      <c r="D104" s="567"/>
      <c r="E104" s="567"/>
      <c r="F104" s="567"/>
      <c r="G104" s="784" t="s">
        <v>474</v>
      </c>
      <c r="H104" s="568" t="s">
        <v>340</v>
      </c>
      <c r="I104" s="239" t="str">
        <f>IF(ISBLANK(input!I115),"",input!I115)</f>
        <v/>
      </c>
      <c r="K104" s="262" t="s">
        <v>4249</v>
      </c>
      <c r="N104" s="262" t="s">
        <v>4249</v>
      </c>
    </row>
    <row r="105" spans="1:14" ht="12.75" customHeight="1" x14ac:dyDescent="0.2">
      <c r="A105" s="567"/>
      <c r="B105" s="567"/>
      <c r="C105" s="567" t="s">
        <v>475</v>
      </c>
      <c r="D105" s="567"/>
      <c r="E105" s="567"/>
      <c r="F105" s="567"/>
      <c r="G105" s="784" t="s">
        <v>476</v>
      </c>
      <c r="H105" s="568" t="s">
        <v>340</v>
      </c>
      <c r="I105" s="239" t="str">
        <f>IF(ISBLANK(input!I116),"",input!I116)</f>
        <v/>
      </c>
      <c r="K105" s="262" t="s">
        <v>4249</v>
      </c>
      <c r="N105" s="262" t="s">
        <v>4249</v>
      </c>
    </row>
    <row r="106" spans="1:14" ht="12.75" customHeight="1" x14ac:dyDescent="0.2">
      <c r="A106" s="567"/>
      <c r="B106" s="567"/>
      <c r="C106" s="567" t="s">
        <v>477</v>
      </c>
      <c r="D106" s="567"/>
      <c r="E106" s="567"/>
      <c r="F106" s="567"/>
      <c r="G106" s="784" t="s">
        <v>478</v>
      </c>
      <c r="H106" s="568" t="s">
        <v>340</v>
      </c>
      <c r="I106" s="239" t="str">
        <f>IF(ISBLANK(input!I117),"",input!I117)</f>
        <v/>
      </c>
      <c r="K106" s="262" t="s">
        <v>4249</v>
      </c>
      <c r="N106" s="262" t="s">
        <v>4249</v>
      </c>
    </row>
    <row r="107" spans="1:14" ht="12.75" customHeight="1" x14ac:dyDescent="0.2">
      <c r="A107" s="567"/>
      <c r="B107" s="567"/>
      <c r="C107" s="567" t="s">
        <v>479</v>
      </c>
      <c r="D107" s="567"/>
      <c r="E107" s="567"/>
      <c r="F107" s="567"/>
      <c r="G107" s="784" t="s">
        <v>480</v>
      </c>
      <c r="H107" s="568" t="s">
        <v>340</v>
      </c>
      <c r="I107" s="239" t="str">
        <f>IF(ISBLANK(input!I118),"",input!I118)</f>
        <v/>
      </c>
      <c r="K107" s="262" t="s">
        <v>4249</v>
      </c>
      <c r="N107" s="262" t="s">
        <v>4249</v>
      </c>
    </row>
    <row r="108" spans="1:14" ht="12.75" customHeight="1" x14ac:dyDescent="0.2">
      <c r="A108" s="567"/>
      <c r="B108" s="567"/>
      <c r="C108" s="567" t="s">
        <v>481</v>
      </c>
      <c r="D108" s="567"/>
      <c r="E108" s="567"/>
      <c r="F108" s="567"/>
      <c r="G108" s="784" t="s">
        <v>482</v>
      </c>
      <c r="H108" s="568" t="s">
        <v>340</v>
      </c>
      <c r="I108" s="239" t="str">
        <f>IF(ISBLANK(input!I119),"",input!I119)</f>
        <v/>
      </c>
      <c r="K108" s="262" t="s">
        <v>4249</v>
      </c>
      <c r="N108" s="262" t="s">
        <v>4249</v>
      </c>
    </row>
    <row r="109" spans="1:14" ht="12.75" customHeight="1" x14ac:dyDescent="0.2">
      <c r="A109" s="567"/>
      <c r="B109" s="567"/>
      <c r="C109" s="567" t="s">
        <v>483</v>
      </c>
      <c r="D109" s="567"/>
      <c r="E109" s="567"/>
      <c r="F109" s="567"/>
      <c r="G109" s="784" t="s">
        <v>484</v>
      </c>
      <c r="H109" s="568" t="s">
        <v>340</v>
      </c>
      <c r="I109" s="239" t="str">
        <f>IF(ISBLANK(input!I120),"",input!I120)</f>
        <v/>
      </c>
      <c r="K109" s="262" t="s">
        <v>4249</v>
      </c>
      <c r="N109" s="262" t="s">
        <v>4249</v>
      </c>
    </row>
    <row r="110" spans="1:14" ht="12.75" customHeight="1" x14ac:dyDescent="0.2">
      <c r="A110" s="567"/>
      <c r="B110" s="567"/>
      <c r="C110" s="567" t="s">
        <v>485</v>
      </c>
      <c r="D110" s="567"/>
      <c r="E110" s="567"/>
      <c r="F110" s="567"/>
      <c r="G110" s="784" t="s">
        <v>486</v>
      </c>
      <c r="H110" s="568" t="s">
        <v>340</v>
      </c>
      <c r="I110" s="239" t="str">
        <f>IF(ISBLANK(input!I121),"",input!I121)</f>
        <v/>
      </c>
      <c r="K110" s="262" t="s">
        <v>4249</v>
      </c>
      <c r="N110" s="262" t="s">
        <v>4249</v>
      </c>
    </row>
    <row r="111" spans="1:14" ht="12.75" customHeight="1" x14ac:dyDescent="0.2">
      <c r="A111" s="567"/>
      <c r="B111" s="567"/>
      <c r="C111" s="567" t="s">
        <v>487</v>
      </c>
      <c r="D111" s="567"/>
      <c r="E111" s="567"/>
      <c r="F111" s="567"/>
      <c r="G111" s="784" t="s">
        <v>488</v>
      </c>
      <c r="H111" s="568" t="s">
        <v>340</v>
      </c>
      <c r="I111" s="239" t="str">
        <f>IF(ISBLANK(input!I122),"",input!I122)</f>
        <v/>
      </c>
      <c r="K111" s="262" t="s">
        <v>4249</v>
      </c>
      <c r="N111" s="262" t="s">
        <v>4249</v>
      </c>
    </row>
    <row r="112" spans="1:14" ht="12.75" customHeight="1" x14ac:dyDescent="0.2">
      <c r="A112" s="567"/>
      <c r="B112" s="567"/>
      <c r="C112" s="567" t="s">
        <v>489</v>
      </c>
      <c r="D112" s="567"/>
      <c r="E112" s="567"/>
      <c r="F112" s="567"/>
      <c r="G112" s="784" t="s">
        <v>490</v>
      </c>
      <c r="H112" s="568" t="s">
        <v>340</v>
      </c>
      <c r="I112" s="239" t="str">
        <f>IF(ISBLANK(input!I123),"",input!I123)</f>
        <v/>
      </c>
      <c r="K112" s="262" t="s">
        <v>4249</v>
      </c>
      <c r="N112" s="262" t="s">
        <v>4249</v>
      </c>
    </row>
    <row r="113" spans="1:14" ht="12.75" customHeight="1" x14ac:dyDescent="0.2">
      <c r="A113" s="567"/>
      <c r="B113" s="567"/>
      <c r="C113" s="567"/>
      <c r="D113" s="567"/>
      <c r="E113" s="567"/>
      <c r="F113" s="567"/>
      <c r="G113" s="784"/>
      <c r="H113" s="568"/>
      <c r="I113" s="239" t="str">
        <f>IF(ISBLANK(input!I124),"",input!I124)</f>
        <v/>
      </c>
      <c r="K113" s="262" t="s">
        <v>4249</v>
      </c>
      <c r="N113" s="262" t="s">
        <v>4249</v>
      </c>
    </row>
    <row r="114" spans="1:14" ht="12.75" customHeight="1" x14ac:dyDescent="0.2">
      <c r="A114" s="147" t="s">
        <v>491</v>
      </c>
      <c r="B114" s="147"/>
      <c r="C114" s="147"/>
      <c r="D114" s="147"/>
      <c r="E114" s="147"/>
      <c r="F114" s="147"/>
      <c r="G114" s="148" t="s">
        <v>263</v>
      </c>
      <c r="H114" s="148" t="s">
        <v>279</v>
      </c>
      <c r="I114" s="239" t="str">
        <f>IF(ISBLANK(input!I125),"",input!I125)</f>
        <v>User input</v>
      </c>
      <c r="N114" s="262" t="s">
        <v>264</v>
      </c>
    </row>
    <row r="115" spans="1:14" ht="12.75" customHeight="1" x14ac:dyDescent="0.2">
      <c r="A115" s="17"/>
      <c r="B115" s="17"/>
      <c r="C115" s="17"/>
      <c r="D115" s="17"/>
      <c r="E115" s="17"/>
      <c r="F115" s="17"/>
      <c r="G115" s="38"/>
      <c r="H115" s="38"/>
      <c r="I115" s="239" t="str">
        <f>IF(ISBLANK(input!I126),"",input!I126)</f>
        <v/>
      </c>
      <c r="N115" s="262" t="s">
        <v>4249</v>
      </c>
    </row>
    <row r="116" spans="1:14" ht="12.75" customHeight="1" x14ac:dyDescent="0.2">
      <c r="A116" s="763"/>
      <c r="B116" s="764" t="s">
        <v>128</v>
      </c>
      <c r="C116" s="357"/>
      <c r="D116" s="168"/>
      <c r="E116" s="168"/>
      <c r="F116" s="168"/>
      <c r="G116" s="357"/>
      <c r="H116" s="357"/>
      <c r="I116" s="239" t="str">
        <f>IF(ISBLANK(input!I127),"",input!I127)</f>
        <v/>
      </c>
      <c r="N116" s="262" t="s">
        <v>4249</v>
      </c>
    </row>
    <row r="117" spans="1:14" ht="12.75" customHeight="1" x14ac:dyDescent="0.2">
      <c r="A117" s="762"/>
      <c r="B117" s="74" t="s">
        <v>63</v>
      </c>
      <c r="C117" s="17"/>
      <c r="D117" s="17"/>
      <c r="E117" s="17"/>
      <c r="F117" s="17"/>
      <c r="G117" s="38"/>
      <c r="H117" s="38"/>
      <c r="I117" s="239" t="str">
        <f>IF(ISBLANK(input!I128),"",input!I128)</f>
        <v/>
      </c>
      <c r="N117" s="262" t="s">
        <v>4249</v>
      </c>
    </row>
    <row r="118" spans="1:14" ht="12.75" customHeight="1" x14ac:dyDescent="0.2">
      <c r="A118" s="762"/>
      <c r="B118" s="38"/>
      <c r="C118" s="38" t="s">
        <v>492</v>
      </c>
      <c r="D118" s="17"/>
      <c r="E118" s="17"/>
      <c r="F118" s="17"/>
      <c r="G118" s="38" t="s">
        <v>493</v>
      </c>
      <c r="H118" s="38" t="s">
        <v>494</v>
      </c>
      <c r="I118" s="239" t="str">
        <f>IF(ISBLANK(input!I129),"",input!I129)</f>
        <v/>
      </c>
      <c r="N118" s="737">
        <v>2</v>
      </c>
    </row>
    <row r="119" spans="1:14" ht="12.75" customHeight="1" x14ac:dyDescent="0.2">
      <c r="A119" s="762"/>
      <c r="B119" s="38"/>
      <c r="C119" s="38" t="s">
        <v>496</v>
      </c>
      <c r="D119" s="17"/>
      <c r="E119" s="17"/>
      <c r="F119" s="17"/>
      <c r="G119" s="38" t="s">
        <v>497</v>
      </c>
      <c r="H119" s="38" t="s">
        <v>494</v>
      </c>
      <c r="I119" s="239" t="str">
        <f>IF(ISBLANK(input!I130),"",input!I130)</f>
        <v/>
      </c>
      <c r="J119" s="411"/>
      <c r="N119" s="737">
        <v>0.32500000000000001</v>
      </c>
    </row>
    <row r="120" spans="1:14" ht="12.75" customHeight="1" x14ac:dyDescent="0.2">
      <c r="A120" s="762"/>
      <c r="B120" s="38"/>
      <c r="C120" s="38" t="s">
        <v>498</v>
      </c>
      <c r="D120" s="17"/>
      <c r="E120" s="17"/>
      <c r="F120" s="17"/>
      <c r="G120" s="38" t="s">
        <v>499</v>
      </c>
      <c r="H120" s="38" t="s">
        <v>494</v>
      </c>
      <c r="I120" s="239" t="str">
        <f>IF(ISBLANK(input!I131),"",input!I131)</f>
        <v/>
      </c>
      <c r="N120" s="737">
        <v>3.5750000000000002</v>
      </c>
    </row>
    <row r="121" spans="1:14" ht="12.75" customHeight="1" x14ac:dyDescent="0.2">
      <c r="A121" s="762"/>
      <c r="B121" s="38"/>
      <c r="C121" s="38" t="s">
        <v>500</v>
      </c>
      <c r="D121" s="17"/>
      <c r="E121" s="17"/>
      <c r="F121" s="17"/>
      <c r="G121" s="38" t="s">
        <v>501</v>
      </c>
      <c r="H121" s="38" t="s">
        <v>494</v>
      </c>
      <c r="I121" s="239" t="str">
        <f>IF(ISBLANK(input!I132),"",input!I132)</f>
        <v/>
      </c>
      <c r="N121" s="737">
        <v>0</v>
      </c>
    </row>
    <row r="122" spans="1:14" ht="12.75" customHeight="1" x14ac:dyDescent="0.2">
      <c r="A122" s="762"/>
      <c r="B122" s="38"/>
      <c r="C122" s="38" t="s">
        <v>502</v>
      </c>
      <c r="D122" s="17"/>
      <c r="E122" s="17"/>
      <c r="F122" s="17"/>
      <c r="G122" s="38" t="s">
        <v>503</v>
      </c>
      <c r="H122" s="38" t="s">
        <v>494</v>
      </c>
      <c r="I122" s="239" t="str">
        <f>IF(ISBLANK(input!I133),"",input!I133)</f>
        <v/>
      </c>
      <c r="N122" s="737">
        <v>0</v>
      </c>
    </row>
    <row r="123" spans="1:14" ht="12.75" customHeight="1" x14ac:dyDescent="0.2">
      <c r="A123" s="762"/>
      <c r="B123" s="38"/>
      <c r="C123" s="38" t="s">
        <v>504</v>
      </c>
      <c r="D123" s="17"/>
      <c r="E123" s="17"/>
      <c r="F123" s="17"/>
      <c r="G123" s="38" t="s">
        <v>505</v>
      </c>
      <c r="H123" s="38" t="s">
        <v>494</v>
      </c>
      <c r="I123" s="239" t="str">
        <f>IF(ISBLANK(input!I134),"",input!I134)</f>
        <v/>
      </c>
      <c r="N123" s="737">
        <v>180</v>
      </c>
    </row>
    <row r="124" spans="1:14" ht="12.75" customHeight="1" x14ac:dyDescent="0.2">
      <c r="A124" s="762"/>
      <c r="B124" s="38"/>
      <c r="C124" s="38" t="s">
        <v>507</v>
      </c>
      <c r="D124" s="17"/>
      <c r="E124" s="17"/>
      <c r="F124" s="17"/>
      <c r="G124" s="38" t="s">
        <v>508</v>
      </c>
      <c r="H124" s="38" t="s">
        <v>494</v>
      </c>
      <c r="I124" s="239" t="str">
        <f>IF(ISBLANK(input!I135),"",input!I135)</f>
        <v/>
      </c>
      <c r="N124" s="737">
        <v>1</v>
      </c>
    </row>
    <row r="125" spans="1:14" ht="12.75" customHeight="1" x14ac:dyDescent="0.2">
      <c r="A125" s="762"/>
      <c r="B125" s="74" t="s">
        <v>216</v>
      </c>
      <c r="C125" s="17"/>
      <c r="D125" s="17"/>
      <c r="E125" s="17"/>
      <c r="F125" s="17"/>
      <c r="G125" s="149"/>
      <c r="H125" s="38"/>
      <c r="I125" s="239" t="str">
        <f>IF(ISBLANK(input!I136),"",input!I136)</f>
        <v/>
      </c>
      <c r="N125" s="737" t="s">
        <v>4249</v>
      </c>
    </row>
    <row r="126" spans="1:14" ht="12.75" customHeight="1" x14ac:dyDescent="0.2">
      <c r="A126" s="762"/>
      <c r="B126" s="38"/>
      <c r="C126" s="38" t="s">
        <v>492</v>
      </c>
      <c r="D126" s="17"/>
      <c r="E126" s="17"/>
      <c r="F126" s="17"/>
      <c r="G126" s="38" t="s">
        <v>509</v>
      </c>
      <c r="H126" s="38" t="s">
        <v>494</v>
      </c>
      <c r="I126" s="239" t="str">
        <f>IF(ISBLANK(input!I137),"",input!I137)</f>
        <v/>
      </c>
      <c r="N126" s="737">
        <v>18</v>
      </c>
    </row>
    <row r="127" spans="1:14" ht="12.75" customHeight="1" x14ac:dyDescent="0.2">
      <c r="A127" s="762"/>
      <c r="B127" s="38"/>
      <c r="C127" s="38" t="s">
        <v>496</v>
      </c>
      <c r="D127" s="17"/>
      <c r="E127" s="17"/>
      <c r="F127" s="17"/>
      <c r="G127" s="38" t="s">
        <v>510</v>
      </c>
      <c r="H127" s="38" t="s">
        <v>494</v>
      </c>
      <c r="I127" s="239" t="str">
        <f>IF(ISBLANK(input!I138),"",input!I138)</f>
        <v/>
      </c>
      <c r="N127" s="737">
        <v>2.93</v>
      </c>
    </row>
    <row r="128" spans="1:14" ht="12.75" customHeight="1" x14ac:dyDescent="0.2">
      <c r="A128" s="762"/>
      <c r="B128" s="38"/>
      <c r="C128" s="38" t="s">
        <v>498</v>
      </c>
      <c r="D128" s="17"/>
      <c r="E128" s="17"/>
      <c r="F128" s="17"/>
      <c r="G128" s="38" t="s">
        <v>511</v>
      </c>
      <c r="H128" s="38" t="s">
        <v>494</v>
      </c>
      <c r="I128" s="239" t="str">
        <f>IF(ISBLANK(input!I139),"",input!I139)</f>
        <v/>
      </c>
      <c r="N128" s="737">
        <v>32.200000000000003</v>
      </c>
    </row>
    <row r="129" spans="1:14" ht="12.75" customHeight="1" x14ac:dyDescent="0.2">
      <c r="A129" s="762"/>
      <c r="B129" s="38"/>
      <c r="C129" s="38" t="s">
        <v>500</v>
      </c>
      <c r="D129" s="17"/>
      <c r="E129" s="17"/>
      <c r="F129" s="17"/>
      <c r="G129" s="38" t="s">
        <v>512</v>
      </c>
      <c r="H129" s="38" t="s">
        <v>494</v>
      </c>
      <c r="I129" s="239" t="str">
        <f>IF(ISBLANK(input!I140),"",input!I140)</f>
        <v/>
      </c>
      <c r="N129" s="737">
        <v>0</v>
      </c>
    </row>
    <row r="130" spans="1:14" ht="12.75" customHeight="1" x14ac:dyDescent="0.2">
      <c r="A130" s="762"/>
      <c r="B130" s="38"/>
      <c r="C130" s="38" t="s">
        <v>502</v>
      </c>
      <c r="D130" s="17"/>
      <c r="E130" s="17"/>
      <c r="F130" s="17"/>
      <c r="G130" s="38" t="s">
        <v>513</v>
      </c>
      <c r="H130" s="38" t="s">
        <v>494</v>
      </c>
      <c r="I130" s="239" t="str">
        <f>IF(ISBLANK(input!I141),"",input!I141)</f>
        <v/>
      </c>
      <c r="N130" s="737">
        <v>0</v>
      </c>
    </row>
    <row r="131" spans="1:14" ht="12.75" customHeight="1" x14ac:dyDescent="0.2">
      <c r="A131" s="762"/>
      <c r="B131" s="38"/>
      <c r="C131" s="38" t="s">
        <v>504</v>
      </c>
      <c r="D131" s="17"/>
      <c r="E131" s="17"/>
      <c r="F131" s="17"/>
      <c r="G131" s="38" t="s">
        <v>514</v>
      </c>
      <c r="H131" s="38" t="s">
        <v>494</v>
      </c>
      <c r="I131" s="239" t="str">
        <f>IF(ISBLANK(input!I142),"",input!I142)</f>
        <v/>
      </c>
      <c r="N131" s="737">
        <v>1620</v>
      </c>
    </row>
    <row r="132" spans="1:14" ht="12.75" customHeight="1" x14ac:dyDescent="0.2">
      <c r="A132" s="762"/>
      <c r="B132" s="38"/>
      <c r="C132" s="38" t="s">
        <v>507</v>
      </c>
      <c r="D132" s="17"/>
      <c r="E132" s="17"/>
      <c r="F132" s="17"/>
      <c r="G132" s="38" t="s">
        <v>515</v>
      </c>
      <c r="H132" s="38" t="s">
        <v>494</v>
      </c>
      <c r="I132" s="239" t="str">
        <f>IF(ISBLANK(input!I143),"",input!I143)</f>
        <v/>
      </c>
      <c r="N132" s="737">
        <v>9</v>
      </c>
    </row>
    <row r="133" spans="1:14" ht="12.75" customHeight="1" x14ac:dyDescent="0.2">
      <c r="A133" s="762"/>
      <c r="B133" s="74" t="s">
        <v>232</v>
      </c>
      <c r="C133" s="17"/>
      <c r="D133" s="17"/>
      <c r="E133" s="17"/>
      <c r="F133" s="17"/>
      <c r="G133" s="149"/>
      <c r="H133" s="38"/>
      <c r="I133" s="239" t="str">
        <f>IF(ISBLANK(input!I144),"",input!I144)</f>
        <v/>
      </c>
      <c r="N133" s="262" t="s">
        <v>4249</v>
      </c>
    </row>
    <row r="134" spans="1:14" ht="12.75" customHeight="1" x14ac:dyDescent="0.2">
      <c r="A134" s="762"/>
      <c r="B134" s="38"/>
      <c r="C134" s="38" t="s">
        <v>492</v>
      </c>
      <c r="D134" s="17"/>
      <c r="E134" s="17"/>
      <c r="F134" s="17"/>
      <c r="G134" s="38" t="s">
        <v>516</v>
      </c>
      <c r="H134" s="38" t="s">
        <v>494</v>
      </c>
      <c r="I134" s="239" t="str">
        <f>IF(ISBLANK(input!I145),"",input!I145)</f>
        <v/>
      </c>
      <c r="N134" s="262" t="s">
        <v>4249</v>
      </c>
    </row>
    <row r="135" spans="1:14" ht="12.75" customHeight="1" x14ac:dyDescent="0.2">
      <c r="A135" s="762"/>
      <c r="B135" s="38"/>
      <c r="C135" s="38" t="s">
        <v>517</v>
      </c>
      <c r="D135" s="17"/>
      <c r="E135" s="17"/>
      <c r="F135" s="17"/>
      <c r="G135" s="38" t="s">
        <v>518</v>
      </c>
      <c r="H135" s="38" t="s">
        <v>494</v>
      </c>
      <c r="I135" s="239" t="str">
        <f>IF(ISBLANK(input!I146),"",input!I146)</f>
        <v/>
      </c>
      <c r="N135" s="262" t="s">
        <v>4249</v>
      </c>
    </row>
    <row r="136" spans="1:14" ht="12.75" customHeight="1" x14ac:dyDescent="0.2">
      <c r="A136" s="762"/>
      <c r="B136" s="38"/>
      <c r="C136" s="38" t="s">
        <v>519</v>
      </c>
      <c r="D136" s="17"/>
      <c r="E136" s="17"/>
      <c r="F136" s="17"/>
      <c r="G136" s="38" t="s">
        <v>520</v>
      </c>
      <c r="H136" s="38" t="s">
        <v>494</v>
      </c>
      <c r="I136" s="239" t="str">
        <f>IF(ISBLANK(input!I147),"",input!I147)</f>
        <v/>
      </c>
      <c r="N136" s="262" t="s">
        <v>4249</v>
      </c>
    </row>
    <row r="137" spans="1:14" ht="12.75" customHeight="1" x14ac:dyDescent="0.2">
      <c r="A137" s="762"/>
      <c r="B137" s="3" t="s">
        <v>233</v>
      </c>
      <c r="C137" s="38"/>
      <c r="D137" s="17"/>
      <c r="E137" s="17"/>
      <c r="F137" s="17"/>
      <c r="G137" s="149"/>
      <c r="H137" s="38"/>
      <c r="I137" s="239" t="str">
        <f>IF(ISBLANK(input!I148),"",input!I148)</f>
        <v/>
      </c>
      <c r="N137" s="262" t="s">
        <v>4249</v>
      </c>
    </row>
    <row r="138" spans="1:14" ht="12.75" customHeight="1" x14ac:dyDescent="0.2">
      <c r="A138" s="762"/>
      <c r="B138" s="38"/>
      <c r="C138" s="38" t="s">
        <v>492</v>
      </c>
      <c r="D138" s="17"/>
      <c r="E138" s="17"/>
      <c r="F138" s="17"/>
      <c r="G138" s="38" t="s">
        <v>521</v>
      </c>
      <c r="H138" s="38" t="s">
        <v>494</v>
      </c>
      <c r="I138" s="239" t="str">
        <f>IF(ISBLANK(input!I149),"",input!I149)</f>
        <v/>
      </c>
      <c r="N138" s="262" t="s">
        <v>4249</v>
      </c>
    </row>
    <row r="139" spans="1:14" ht="12.75" customHeight="1" x14ac:dyDescent="0.2">
      <c r="A139" s="762"/>
      <c r="B139" s="38"/>
      <c r="C139" s="38" t="s">
        <v>517</v>
      </c>
      <c r="D139" s="17"/>
      <c r="E139" s="17"/>
      <c r="F139" s="17"/>
      <c r="G139" s="38" t="s">
        <v>522</v>
      </c>
      <c r="H139" s="38" t="s">
        <v>494</v>
      </c>
      <c r="I139" s="239" t="str">
        <f>IF(ISBLANK(input!I150),"",input!I150)</f>
        <v/>
      </c>
      <c r="N139" s="262" t="s">
        <v>4249</v>
      </c>
    </row>
    <row r="140" spans="1:14" ht="12.75" customHeight="1" x14ac:dyDescent="0.2">
      <c r="A140" s="762"/>
      <c r="B140" s="38"/>
      <c r="C140" s="38" t="s">
        <v>519</v>
      </c>
      <c r="D140" s="17"/>
      <c r="E140" s="17"/>
      <c r="F140" s="17"/>
      <c r="G140" s="38" t="s">
        <v>523</v>
      </c>
      <c r="H140" s="38" t="s">
        <v>494</v>
      </c>
      <c r="I140" s="239" t="str">
        <f>IF(ISBLANK(input!I151),"",input!I151)</f>
        <v/>
      </c>
      <c r="N140" s="262" t="s">
        <v>4249</v>
      </c>
    </row>
    <row r="141" spans="1:14" ht="12.75" customHeight="1" x14ac:dyDescent="0.2">
      <c r="A141" s="762"/>
      <c r="B141" s="74" t="s">
        <v>524</v>
      </c>
      <c r="C141" s="17"/>
      <c r="D141" s="17"/>
      <c r="E141" s="17"/>
      <c r="F141" s="17"/>
      <c r="G141" s="149"/>
      <c r="H141" s="38"/>
      <c r="I141" s="239" t="str">
        <f>IF(ISBLANK(input!I152),"",input!I152)</f>
        <v/>
      </c>
      <c r="N141" s="262" t="s">
        <v>4249</v>
      </c>
    </row>
    <row r="142" spans="1:14" ht="12.75" customHeight="1" x14ac:dyDescent="0.2">
      <c r="A142" s="762"/>
      <c r="B142" s="38"/>
      <c r="C142" s="38" t="s">
        <v>492</v>
      </c>
      <c r="D142" s="17"/>
      <c r="E142" s="17"/>
      <c r="F142" s="17"/>
      <c r="G142" s="38" t="s">
        <v>525</v>
      </c>
      <c r="H142" s="38" t="s">
        <v>494</v>
      </c>
      <c r="I142" s="239" t="str">
        <f>IF(ISBLANK(input!I153),"",input!I153)</f>
        <v/>
      </c>
      <c r="N142" s="262" t="s">
        <v>4249</v>
      </c>
    </row>
    <row r="143" spans="1:14" ht="12.75" customHeight="1" x14ac:dyDescent="0.2">
      <c r="A143" s="762"/>
      <c r="B143" s="38"/>
      <c r="C143" s="38" t="s">
        <v>517</v>
      </c>
      <c r="D143" s="17"/>
      <c r="E143" s="17"/>
      <c r="F143" s="17"/>
      <c r="G143" s="38" t="s">
        <v>526</v>
      </c>
      <c r="H143" s="38" t="s">
        <v>494</v>
      </c>
      <c r="I143" s="239" t="str">
        <f>IF(ISBLANK(input!I154),"",input!I154)</f>
        <v/>
      </c>
      <c r="N143" s="262" t="s">
        <v>4249</v>
      </c>
    </row>
    <row r="144" spans="1:14" ht="12.75" customHeight="1" x14ac:dyDescent="0.2">
      <c r="A144" s="762"/>
      <c r="B144" s="38"/>
      <c r="C144" s="38" t="s">
        <v>519</v>
      </c>
      <c r="D144" s="17"/>
      <c r="E144" s="17"/>
      <c r="F144" s="17"/>
      <c r="G144" s="38" t="s">
        <v>527</v>
      </c>
      <c r="H144" s="38" t="s">
        <v>494</v>
      </c>
      <c r="I144" s="239" t="str">
        <f>IF(ISBLANK(input!I155),"",input!I155)</f>
        <v/>
      </c>
      <c r="N144" s="262" t="s">
        <v>4249</v>
      </c>
    </row>
    <row r="145" spans="1:14" ht="12.75" customHeight="1" x14ac:dyDescent="0.2">
      <c r="A145" s="567"/>
      <c r="B145" s="567"/>
      <c r="C145" s="578"/>
      <c r="D145" s="578"/>
      <c r="E145" s="578"/>
      <c r="F145" s="578"/>
      <c r="G145" s="806"/>
      <c r="H145" s="603"/>
      <c r="I145" s="239" t="str">
        <f>IF(ISBLANK(input!I156),"",input!I156)</f>
        <v/>
      </c>
      <c r="N145" s="262" t="s">
        <v>4249</v>
      </c>
    </row>
    <row r="146" spans="1:14" ht="12.75" customHeight="1" x14ac:dyDescent="0.2">
      <c r="A146" s="148" t="s">
        <v>528</v>
      </c>
      <c r="B146" s="147"/>
      <c r="C146" s="147"/>
      <c r="D146" s="147"/>
      <c r="E146" s="147"/>
      <c r="F146" s="147"/>
      <c r="G146" s="148" t="s">
        <v>263</v>
      </c>
      <c r="H146" s="148" t="s">
        <v>279</v>
      </c>
      <c r="I146" s="239" t="str">
        <f>IF(ISBLANK(input!I157),"",input!I157)</f>
        <v>User input</v>
      </c>
      <c r="N146" s="262" t="s">
        <v>264</v>
      </c>
    </row>
    <row r="147" spans="1:14" ht="12.75" customHeight="1" x14ac:dyDescent="0.2">
      <c r="A147" s="38"/>
      <c r="B147" s="17"/>
      <c r="C147" s="17"/>
      <c r="D147" s="17"/>
      <c r="E147" s="17"/>
      <c r="F147" s="17"/>
      <c r="G147" s="38"/>
      <c r="H147" s="38"/>
      <c r="I147" s="239" t="str">
        <f>IF(ISBLANK(input!I158),"",input!I158)</f>
        <v/>
      </c>
      <c r="N147" s="262" t="s">
        <v>4249</v>
      </c>
    </row>
    <row r="148" spans="1:14" ht="12.75" customHeight="1" x14ac:dyDescent="0.2">
      <c r="A148" s="38"/>
      <c r="B148" s="144" t="s">
        <v>529</v>
      </c>
      <c r="C148" s="145"/>
      <c r="D148" s="145"/>
      <c r="E148" s="145"/>
      <c r="F148" s="145"/>
      <c r="G148" s="144" t="s">
        <v>530</v>
      </c>
      <c r="H148" s="144"/>
      <c r="I148" s="239" t="str">
        <f>IF(ISBLANK(input!I159),"",input!I159)</f>
        <v/>
      </c>
      <c r="N148" s="262" t="s">
        <v>4249</v>
      </c>
    </row>
    <row r="149" spans="1:14" ht="12.75" customHeight="1" x14ac:dyDescent="0.2">
      <c r="A149" s="17"/>
      <c r="B149" s="38" t="s">
        <v>532</v>
      </c>
      <c r="C149" s="17"/>
      <c r="D149" s="17"/>
      <c r="E149" s="17"/>
      <c r="F149" s="17"/>
      <c r="G149" s="38" t="s">
        <v>533</v>
      </c>
      <c r="H149" s="38" t="s">
        <v>534</v>
      </c>
      <c r="I149" s="239" t="str">
        <f>IF(ISBLANK(input!I160),"",input!I160)</f>
        <v/>
      </c>
      <c r="N149" s="262" t="s">
        <v>4249</v>
      </c>
    </row>
    <row r="150" spans="1:14" ht="12.75" customHeight="1" x14ac:dyDescent="0.2">
      <c r="A150" s="17"/>
      <c r="B150" s="38"/>
      <c r="C150" s="17"/>
      <c r="D150" s="17"/>
      <c r="E150" s="17"/>
      <c r="F150" s="17"/>
      <c r="G150" s="38"/>
      <c r="H150" s="38"/>
      <c r="I150" s="239" t="str">
        <f>IF(ISBLANK(input!I161),"",input!I161)</f>
        <v/>
      </c>
      <c r="N150" s="262" t="s">
        <v>4249</v>
      </c>
    </row>
    <row r="151" spans="1:14" ht="12.75" customHeight="1" x14ac:dyDescent="0.2">
      <c r="A151" s="38"/>
      <c r="B151" s="38" t="s">
        <v>536</v>
      </c>
      <c r="C151" s="17"/>
      <c r="D151" s="17"/>
      <c r="E151" s="17"/>
      <c r="F151" s="17"/>
      <c r="G151" s="146" t="s">
        <v>537</v>
      </c>
      <c r="H151" s="38" t="s">
        <v>296</v>
      </c>
      <c r="I151" s="239" t="str">
        <f>IF(ISBLANK(input!I162),"",input!I162)</f>
        <v/>
      </c>
      <c r="N151" s="262" t="s">
        <v>4249</v>
      </c>
    </row>
    <row r="152" spans="1:14" ht="12.75" customHeight="1" x14ac:dyDescent="0.2">
      <c r="A152" s="38"/>
      <c r="B152" s="38" t="s">
        <v>539</v>
      </c>
      <c r="C152" s="17"/>
      <c r="D152" s="17"/>
      <c r="E152" s="17"/>
      <c r="F152" s="17"/>
      <c r="G152" s="539" t="s">
        <v>540</v>
      </c>
      <c r="H152" s="38" t="s">
        <v>296</v>
      </c>
      <c r="I152" s="239" t="str">
        <f>IF(ISBLANK(input!I163),"",input!I163)</f>
        <v/>
      </c>
      <c r="N152" s="262" t="s">
        <v>4249</v>
      </c>
    </row>
    <row r="153" spans="1:14" ht="12.75" customHeight="1" x14ac:dyDescent="0.2">
      <c r="A153" s="38"/>
      <c r="B153" s="38" t="s">
        <v>541</v>
      </c>
      <c r="C153" s="146"/>
      <c r="D153" s="17"/>
      <c r="E153" s="17"/>
      <c r="F153" s="17"/>
      <c r="G153" s="146" t="s">
        <v>542</v>
      </c>
      <c r="H153" s="38" t="s">
        <v>296</v>
      </c>
      <c r="I153" s="239" t="str">
        <f>IF(ISBLANK(input!I164),"",input!I164)</f>
        <v/>
      </c>
      <c r="N153" s="262" t="s">
        <v>4249</v>
      </c>
    </row>
    <row r="154" spans="1:14" ht="12.75" customHeight="1" x14ac:dyDescent="0.2">
      <c r="A154" s="17"/>
      <c r="B154" s="17"/>
      <c r="C154" s="38" t="s">
        <v>543</v>
      </c>
      <c r="D154" s="17"/>
      <c r="E154" s="17"/>
      <c r="F154" s="17"/>
      <c r="G154" s="38" t="s">
        <v>544</v>
      </c>
      <c r="H154" s="38" t="s">
        <v>296</v>
      </c>
      <c r="I154" s="239" t="str">
        <f>IF(ISBLANK(input!I165),"",input!I165)</f>
        <v/>
      </c>
      <c r="N154" s="262" t="s">
        <v>4249</v>
      </c>
    </row>
    <row r="155" spans="1:14" ht="12.75" customHeight="1" x14ac:dyDescent="0.2">
      <c r="A155" s="17"/>
      <c r="B155" s="17"/>
      <c r="C155" s="38" t="s">
        <v>545</v>
      </c>
      <c r="D155" s="17"/>
      <c r="E155" s="17"/>
      <c r="F155" s="17"/>
      <c r="G155" s="540" t="s">
        <v>546</v>
      </c>
      <c r="H155" s="38" t="s">
        <v>296</v>
      </c>
      <c r="I155" s="239" t="str">
        <f>IF(ISBLANK(input!I166),"",input!I166)</f>
        <v/>
      </c>
      <c r="N155" s="262" t="s">
        <v>4249</v>
      </c>
    </row>
    <row r="156" spans="1:14" ht="12.75" customHeight="1" x14ac:dyDescent="0.2">
      <c r="A156" s="17"/>
      <c r="B156" s="17"/>
      <c r="C156" s="38" t="s">
        <v>547</v>
      </c>
      <c r="D156" s="17"/>
      <c r="E156" s="17"/>
      <c r="F156" s="17"/>
      <c r="G156" s="38" t="s">
        <v>548</v>
      </c>
      <c r="H156" s="38"/>
      <c r="I156" s="239" t="str">
        <f>IF(ISBLANK(input!I167),"",input!I167)</f>
        <v/>
      </c>
      <c r="N156" s="262" t="s">
        <v>4249</v>
      </c>
    </row>
    <row r="157" spans="1:14" ht="12.75" customHeight="1" x14ac:dyDescent="0.2">
      <c r="A157" s="17"/>
      <c r="B157" s="17"/>
      <c r="C157" s="38" t="s">
        <v>549</v>
      </c>
      <c r="D157" s="17"/>
      <c r="E157" s="17"/>
      <c r="F157" s="17"/>
      <c r="G157" s="38" t="s">
        <v>550</v>
      </c>
      <c r="H157" s="38" t="s">
        <v>296</v>
      </c>
      <c r="I157" s="239" t="str">
        <f>IF(ISBLANK(input!I168),"",input!I168)</f>
        <v/>
      </c>
      <c r="N157" s="262" t="s">
        <v>4249</v>
      </c>
    </row>
    <row r="158" spans="1:14" ht="12.75" customHeight="1" x14ac:dyDescent="0.2">
      <c r="A158" s="566"/>
      <c r="B158" s="567"/>
      <c r="C158" s="567" t="s">
        <v>552</v>
      </c>
      <c r="D158" s="567"/>
      <c r="E158" s="567"/>
      <c r="F158" s="567"/>
      <c r="G158" s="568" t="s">
        <v>553</v>
      </c>
      <c r="H158" s="568" t="s">
        <v>296</v>
      </c>
      <c r="I158" s="239" t="str">
        <f>IF(ISBLANK(input!I169),"",input!I169)</f>
        <v/>
      </c>
      <c r="N158" s="262" t="s">
        <v>4249</v>
      </c>
    </row>
    <row r="159" spans="1:14" ht="12.75" customHeight="1" x14ac:dyDescent="0.2">
      <c r="A159" s="3"/>
      <c r="B159" s="17"/>
      <c r="C159" s="17" t="s">
        <v>554</v>
      </c>
      <c r="D159" s="17"/>
      <c r="E159" s="17"/>
      <c r="F159" s="17"/>
      <c r="G159" s="38" t="s">
        <v>555</v>
      </c>
      <c r="H159" s="38" t="s">
        <v>296</v>
      </c>
      <c r="I159" s="239" t="str">
        <f>IF(ISBLANK(input!I170),"",input!I170)</f>
        <v/>
      </c>
      <c r="N159" s="262" t="s">
        <v>4249</v>
      </c>
    </row>
    <row r="160" spans="1:14" ht="12.75" customHeight="1" x14ac:dyDescent="0.2">
      <c r="A160" s="3"/>
      <c r="B160" s="17"/>
      <c r="C160" s="17" t="s">
        <v>556</v>
      </c>
      <c r="D160" s="17"/>
      <c r="E160" s="17"/>
      <c r="F160" s="17"/>
      <c r="G160" s="38" t="s">
        <v>557</v>
      </c>
      <c r="H160" s="38" t="s">
        <v>296</v>
      </c>
      <c r="I160" s="239" t="str">
        <f>IF(ISBLANK(input!I171),"",input!I171)</f>
        <v/>
      </c>
      <c r="N160" s="262" t="s">
        <v>4249</v>
      </c>
    </row>
    <row r="161" spans="1:14" ht="12.75" customHeight="1" x14ac:dyDescent="0.2">
      <c r="A161" s="3"/>
      <c r="B161" s="17"/>
      <c r="C161" s="17" t="s">
        <v>558</v>
      </c>
      <c r="D161" s="17"/>
      <c r="E161" s="17"/>
      <c r="F161" s="17"/>
      <c r="G161" s="38" t="s">
        <v>559</v>
      </c>
      <c r="H161" s="38" t="s">
        <v>296</v>
      </c>
      <c r="I161" s="239" t="str">
        <f>IF(ISBLANK(input!I172),"",input!I172)</f>
        <v/>
      </c>
      <c r="N161" s="262" t="s">
        <v>4249</v>
      </c>
    </row>
    <row r="162" spans="1:14" ht="12.75" customHeight="1" x14ac:dyDescent="0.2">
      <c r="A162" s="3"/>
      <c r="B162" s="17"/>
      <c r="C162" s="17" t="s">
        <v>560</v>
      </c>
      <c r="D162" s="17"/>
      <c r="E162" s="17"/>
      <c r="F162" s="17"/>
      <c r="G162" s="38" t="s">
        <v>561</v>
      </c>
      <c r="H162" s="38" t="s">
        <v>296</v>
      </c>
      <c r="I162" s="239" t="str">
        <f>IF(ISBLANK(input!I173),"",input!I173)</f>
        <v/>
      </c>
      <c r="N162" s="262" t="s">
        <v>4249</v>
      </c>
    </row>
    <row r="163" spans="1:14" ht="12.75" customHeight="1" x14ac:dyDescent="0.2">
      <c r="A163" s="3"/>
      <c r="B163" s="17"/>
      <c r="C163" s="17" t="s">
        <v>562</v>
      </c>
      <c r="D163" s="17"/>
      <c r="E163" s="17"/>
      <c r="F163" s="17"/>
      <c r="G163" s="38" t="s">
        <v>563</v>
      </c>
      <c r="H163" s="38"/>
      <c r="I163" s="239" t="str">
        <f>IF(ISBLANK(input!I174),"",input!I174)</f>
        <v/>
      </c>
      <c r="N163" s="262" t="s">
        <v>4249</v>
      </c>
    </row>
    <row r="164" spans="1:14" ht="12.75" customHeight="1" x14ac:dyDescent="0.2">
      <c r="A164" s="3"/>
      <c r="B164" s="17"/>
      <c r="C164" s="17" t="s">
        <v>564</v>
      </c>
      <c r="D164" s="17"/>
      <c r="E164" s="17"/>
      <c r="F164" s="17"/>
      <c r="G164" s="38" t="s">
        <v>565</v>
      </c>
      <c r="H164" s="38" t="s">
        <v>296</v>
      </c>
      <c r="I164" s="239" t="str">
        <f>IF(ISBLANK(input!I175),"",input!I175)</f>
        <v/>
      </c>
      <c r="N164" s="262" t="s">
        <v>4249</v>
      </c>
    </row>
    <row r="165" spans="1:14" ht="12.75" customHeight="1" x14ac:dyDescent="0.2">
      <c r="A165" s="3"/>
      <c r="B165" s="17"/>
      <c r="C165" s="17" t="s">
        <v>566</v>
      </c>
      <c r="D165" s="17"/>
      <c r="E165" s="17"/>
      <c r="F165" s="17"/>
      <c r="G165" s="38" t="s">
        <v>567</v>
      </c>
      <c r="H165" s="38" t="s">
        <v>296</v>
      </c>
      <c r="I165" s="239" t="str">
        <f>IF(ISBLANK(input!I176),"",input!I176)</f>
        <v/>
      </c>
      <c r="N165" s="262" t="s">
        <v>4249</v>
      </c>
    </row>
    <row r="166" spans="1:14" ht="12.75" customHeight="1" x14ac:dyDescent="0.2">
      <c r="A166" s="3"/>
      <c r="B166" s="17"/>
      <c r="C166" s="17" t="s">
        <v>568</v>
      </c>
      <c r="D166" s="17"/>
      <c r="E166" s="17"/>
      <c r="F166" s="17"/>
      <c r="G166" s="38" t="s">
        <v>569</v>
      </c>
      <c r="H166" s="38" t="s">
        <v>296</v>
      </c>
      <c r="I166" s="239" t="str">
        <f>IF(ISBLANK(input!I177),"",input!I177)</f>
        <v/>
      </c>
      <c r="N166" s="262" t="s">
        <v>4249</v>
      </c>
    </row>
    <row r="167" spans="1:14" ht="12.75" customHeight="1" x14ac:dyDescent="0.2">
      <c r="A167" s="3"/>
      <c r="B167" s="17"/>
      <c r="C167" s="17" t="s">
        <v>570</v>
      </c>
      <c r="D167" s="17"/>
      <c r="E167" s="17"/>
      <c r="F167" s="17"/>
      <c r="G167" s="38" t="s">
        <v>571</v>
      </c>
      <c r="H167" s="38" t="s">
        <v>296</v>
      </c>
      <c r="I167" s="239" t="str">
        <f>IF(ISBLANK(input!I178),"",input!I178)</f>
        <v/>
      </c>
      <c r="N167" s="262" t="s">
        <v>4249</v>
      </c>
    </row>
    <row r="168" spans="1:14" ht="12.75" customHeight="1" x14ac:dyDescent="0.2">
      <c r="A168" s="3"/>
      <c r="B168" s="17"/>
      <c r="C168" s="17" t="s">
        <v>572</v>
      </c>
      <c r="D168" s="17"/>
      <c r="E168" s="17"/>
      <c r="F168" s="17"/>
      <c r="G168" s="38" t="s">
        <v>573</v>
      </c>
      <c r="H168" s="38" t="s">
        <v>296</v>
      </c>
      <c r="I168" s="239" t="str">
        <f>IF(ISBLANK(input!I179),"",input!I179)</f>
        <v/>
      </c>
      <c r="N168" s="262" t="s">
        <v>4249</v>
      </c>
    </row>
    <row r="169" spans="1:14" ht="12.75" customHeight="1" x14ac:dyDescent="0.2">
      <c r="A169" s="3"/>
      <c r="B169" s="17"/>
      <c r="C169" s="17" t="s">
        <v>574</v>
      </c>
      <c r="D169" s="17"/>
      <c r="E169" s="17"/>
      <c r="F169" s="17"/>
      <c r="G169" s="38" t="s">
        <v>575</v>
      </c>
      <c r="H169" s="38" t="s">
        <v>296</v>
      </c>
      <c r="I169" s="239" t="str">
        <f>IF(ISBLANK(input!I180),"",input!I180)</f>
        <v/>
      </c>
      <c r="N169" s="262" t="s">
        <v>4249</v>
      </c>
    </row>
    <row r="170" spans="1:14" ht="12.75" customHeight="1" x14ac:dyDescent="0.2">
      <c r="A170" s="17"/>
      <c r="B170" s="17"/>
      <c r="C170" s="17" t="s">
        <v>576</v>
      </c>
      <c r="D170" s="17"/>
      <c r="E170" s="17"/>
      <c r="F170" s="17"/>
      <c r="G170" s="17" t="s">
        <v>577</v>
      </c>
      <c r="H170" s="17" t="s">
        <v>578</v>
      </c>
      <c r="I170" s="239" t="str">
        <f>IF(ISBLANK(input!I181),"",input!I181)</f>
        <v/>
      </c>
      <c r="N170" s="262" t="s">
        <v>4249</v>
      </c>
    </row>
    <row r="171" spans="1:14" ht="12.75" customHeight="1" x14ac:dyDescent="0.2">
      <c r="A171" s="17"/>
      <c r="B171" s="38"/>
      <c r="C171" s="38" t="s">
        <v>580</v>
      </c>
      <c r="D171" s="17"/>
      <c r="E171" s="17"/>
      <c r="F171" s="17"/>
      <c r="G171" s="38" t="s">
        <v>581</v>
      </c>
      <c r="H171" s="38" t="s">
        <v>582</v>
      </c>
      <c r="I171" s="239" t="str">
        <f>IF(ISBLANK(input!I182),"",input!I182)</f>
        <v/>
      </c>
      <c r="N171" s="262" t="s">
        <v>4249</v>
      </c>
    </row>
    <row r="172" spans="1:14" ht="12.75" customHeight="1" x14ac:dyDescent="0.2">
      <c r="A172" s="17"/>
      <c r="B172" s="38"/>
      <c r="C172" s="38" t="s">
        <v>584</v>
      </c>
      <c r="D172" s="17"/>
      <c r="E172" s="17"/>
      <c r="F172" s="17"/>
      <c r="G172" s="38" t="s">
        <v>585</v>
      </c>
      <c r="H172" s="38" t="s">
        <v>586</v>
      </c>
      <c r="I172" s="239" t="str">
        <f>IF(ISBLANK(input!I183),"",input!I183)</f>
        <v/>
      </c>
      <c r="N172" s="262" t="s">
        <v>4249</v>
      </c>
    </row>
    <row r="173" spans="1:14" ht="12.75" customHeight="1" x14ac:dyDescent="0.2">
      <c r="A173" s="17"/>
      <c r="B173" s="38"/>
      <c r="C173" s="38" t="s">
        <v>588</v>
      </c>
      <c r="D173" s="17"/>
      <c r="E173" s="17"/>
      <c r="F173" s="17"/>
      <c r="G173" s="38" t="s">
        <v>589</v>
      </c>
      <c r="H173" s="38" t="s">
        <v>582</v>
      </c>
      <c r="I173" s="239" t="str">
        <f>IF(ISBLANK(input!I184),"",input!I184)</f>
        <v/>
      </c>
      <c r="N173" s="262" t="s">
        <v>4249</v>
      </c>
    </row>
    <row r="174" spans="1:14" ht="12.75" customHeight="1" x14ac:dyDescent="0.2">
      <c r="A174" s="17"/>
      <c r="B174" s="17"/>
      <c r="C174" s="17" t="s">
        <v>590</v>
      </c>
      <c r="D174" s="17"/>
      <c r="E174" s="17"/>
      <c r="F174" s="17"/>
      <c r="G174" s="17" t="s">
        <v>591</v>
      </c>
      <c r="H174" s="17" t="s">
        <v>592</v>
      </c>
      <c r="I174" s="239" t="str">
        <f>IF(ISBLANK(input!I185),"",input!I185)</f>
        <v/>
      </c>
      <c r="N174" s="262" t="s">
        <v>4249</v>
      </c>
    </row>
    <row r="175" spans="1:14" ht="12.75" customHeight="1" x14ac:dyDescent="0.2">
      <c r="A175" s="17"/>
      <c r="B175" s="17"/>
      <c r="C175" s="17"/>
      <c r="D175" s="17"/>
      <c r="E175" s="17"/>
      <c r="F175" s="17"/>
      <c r="G175" s="17"/>
      <c r="H175" s="33"/>
      <c r="I175" s="239" t="str">
        <f>IF(ISBLANK(input!I338),"",input!I338)</f>
        <v/>
      </c>
      <c r="N175" s="262" t="s">
        <v>4249</v>
      </c>
    </row>
    <row r="176" spans="1:14" ht="12.75" customHeight="1" x14ac:dyDescent="0.2">
      <c r="A176" s="17"/>
      <c r="B176" s="38" t="s">
        <v>622</v>
      </c>
      <c r="C176" s="17"/>
      <c r="D176" s="146"/>
      <c r="E176" s="17"/>
      <c r="F176" s="17"/>
      <c r="G176" s="146" t="s">
        <v>623</v>
      </c>
      <c r="H176" s="38" t="s">
        <v>624</v>
      </c>
      <c r="I176" s="239" t="str">
        <f>IF(ISBLANK(input!I213),"",input!I213)</f>
        <v/>
      </c>
      <c r="N176" s="262" t="s">
        <v>4249</v>
      </c>
    </row>
    <row r="177" spans="1:14" ht="12.75" customHeight="1" x14ac:dyDescent="0.2">
      <c r="A177" s="38"/>
      <c r="B177" s="17"/>
      <c r="C177" s="38" t="s">
        <v>625</v>
      </c>
      <c r="D177" s="17"/>
      <c r="E177" s="17"/>
      <c r="F177" s="17"/>
      <c r="G177" s="38" t="s">
        <v>626</v>
      </c>
      <c r="H177" s="38" t="s">
        <v>627</v>
      </c>
      <c r="I177" s="239" t="str">
        <f>IF(ISBLANK(input!I214),"",input!I214)</f>
        <v/>
      </c>
      <c r="J177" s="827"/>
      <c r="N177" s="262" t="s">
        <v>4249</v>
      </c>
    </row>
    <row r="178" spans="1:14" ht="12.75" customHeight="1" x14ac:dyDescent="0.2">
      <c r="A178" s="38"/>
      <c r="B178" s="17"/>
      <c r="C178" s="38" t="s">
        <v>629</v>
      </c>
      <c r="D178" s="17"/>
      <c r="E178" s="17"/>
      <c r="F178" s="17"/>
      <c r="G178" s="38" t="s">
        <v>630</v>
      </c>
      <c r="H178" s="38" t="s">
        <v>631</v>
      </c>
      <c r="I178" s="239" t="str">
        <f>IF(ISBLANK(input!I215),"",input!I215)</f>
        <v/>
      </c>
      <c r="J178" s="216"/>
      <c r="N178" s="262" t="s">
        <v>4249</v>
      </c>
    </row>
    <row r="179" spans="1:14" ht="12.75" customHeight="1" x14ac:dyDescent="0.2">
      <c r="A179" s="38"/>
      <c r="B179" s="17"/>
      <c r="C179" s="38" t="s">
        <v>633</v>
      </c>
      <c r="D179" s="17"/>
      <c r="E179" s="17"/>
      <c r="F179" s="17"/>
      <c r="G179" s="38" t="s">
        <v>634</v>
      </c>
      <c r="H179" s="38" t="s">
        <v>635</v>
      </c>
      <c r="I179" s="239" t="str">
        <f>IF(ISBLANK(input!I216),"",input!I216)</f>
        <v/>
      </c>
      <c r="N179" s="262" t="s">
        <v>4249</v>
      </c>
    </row>
    <row r="180" spans="1:14" ht="12.75" customHeight="1" x14ac:dyDescent="0.2">
      <c r="A180" s="17"/>
      <c r="B180" s="38" t="s">
        <v>636</v>
      </c>
      <c r="C180" s="17"/>
      <c r="D180" s="146"/>
      <c r="E180" s="17"/>
      <c r="F180" s="17"/>
      <c r="G180" s="146" t="s">
        <v>637</v>
      </c>
      <c r="H180" s="38" t="s">
        <v>624</v>
      </c>
      <c r="I180" s="239" t="str">
        <f>IF(ISBLANK(input!I217),"",input!I217)</f>
        <v/>
      </c>
      <c r="J180" s="216"/>
      <c r="N180" s="262" t="s">
        <v>4249</v>
      </c>
    </row>
    <row r="181" spans="1:14" ht="12.75" customHeight="1" x14ac:dyDescent="0.2">
      <c r="A181" s="17"/>
      <c r="B181" s="17"/>
      <c r="C181" s="38" t="s">
        <v>638</v>
      </c>
      <c r="D181" s="17"/>
      <c r="E181" s="17"/>
      <c r="F181" s="17"/>
      <c r="G181" s="38" t="s">
        <v>639</v>
      </c>
      <c r="H181" s="38" t="s">
        <v>640</v>
      </c>
      <c r="I181" s="239" t="str">
        <f>IF(ISBLANK(input!I218),"",input!I218)</f>
        <v/>
      </c>
      <c r="J181" s="828"/>
      <c r="N181" s="262" t="s">
        <v>4249</v>
      </c>
    </row>
    <row r="182" spans="1:14" ht="12.75" customHeight="1" x14ac:dyDescent="0.2">
      <c r="A182" s="17"/>
      <c r="B182" s="17"/>
      <c r="C182" s="38" t="s">
        <v>642</v>
      </c>
      <c r="D182" s="146"/>
      <c r="E182" s="17"/>
      <c r="F182" s="17"/>
      <c r="G182" s="38" t="s">
        <v>643</v>
      </c>
      <c r="H182" s="38" t="s">
        <v>644</v>
      </c>
      <c r="I182" s="239" t="str">
        <f>IF(ISBLANK(input!I219),"",input!I219)</f>
        <v/>
      </c>
      <c r="J182" s="829"/>
      <c r="N182" s="262" t="s">
        <v>4249</v>
      </c>
    </row>
    <row r="183" spans="1:14" ht="12.75" customHeight="1" x14ac:dyDescent="0.2">
      <c r="A183" s="17"/>
      <c r="B183" s="17"/>
      <c r="C183" s="17" t="s">
        <v>646</v>
      </c>
      <c r="D183" s="17"/>
      <c r="E183" s="17"/>
      <c r="F183" s="17"/>
      <c r="G183" s="38" t="s">
        <v>647</v>
      </c>
      <c r="H183" s="38" t="s">
        <v>296</v>
      </c>
      <c r="I183" s="239" t="str">
        <f>IF(ISBLANK(input!I220),"",input!I220)</f>
        <v/>
      </c>
      <c r="N183" s="262" t="s">
        <v>4249</v>
      </c>
    </row>
    <row r="184" spans="1:14" ht="12.75" customHeight="1" x14ac:dyDescent="0.2">
      <c r="A184" s="17"/>
      <c r="B184" s="38" t="s">
        <v>648</v>
      </c>
      <c r="C184" s="146"/>
      <c r="D184" s="146"/>
      <c r="E184" s="17"/>
      <c r="F184" s="17"/>
      <c r="G184" s="146" t="s">
        <v>649</v>
      </c>
      <c r="H184" s="38" t="s">
        <v>624</v>
      </c>
      <c r="I184" s="239" t="str">
        <f>IF(ISBLANK(input!I221),"",input!I221)</f>
        <v/>
      </c>
      <c r="N184" s="262" t="s">
        <v>4249</v>
      </c>
    </row>
    <row r="185" spans="1:14" ht="12.75" customHeight="1" x14ac:dyDescent="0.2">
      <c r="A185" s="17"/>
      <c r="B185" s="38" t="s">
        <v>650</v>
      </c>
      <c r="C185" s="146"/>
      <c r="D185" s="146"/>
      <c r="E185" s="17"/>
      <c r="F185" s="17"/>
      <c r="G185" s="146" t="s">
        <v>651</v>
      </c>
      <c r="H185" s="38" t="s">
        <v>624</v>
      </c>
      <c r="I185" s="239" t="str">
        <f>IF(ISBLANK(input!I222),"",input!I222)</f>
        <v/>
      </c>
      <c r="N185" s="262" t="s">
        <v>4249</v>
      </c>
    </row>
    <row r="186" spans="1:14" ht="12.75" customHeight="1" x14ac:dyDescent="0.2">
      <c r="A186" s="17"/>
      <c r="B186" s="17"/>
      <c r="C186" s="17"/>
      <c r="D186" s="17"/>
      <c r="E186" s="17"/>
      <c r="F186" s="17"/>
      <c r="G186" s="38"/>
      <c r="H186" s="38"/>
      <c r="I186" s="239" t="str">
        <f>IF(ISBLANK(input!I223),"",input!I223)</f>
        <v/>
      </c>
      <c r="N186" s="262" t="s">
        <v>4249</v>
      </c>
    </row>
    <row r="187" spans="1:14" ht="12.75" customHeight="1" x14ac:dyDescent="0.2">
      <c r="A187" s="147" t="s">
        <v>491</v>
      </c>
      <c r="B187" s="147"/>
      <c r="C187" s="147"/>
      <c r="D187" s="147"/>
      <c r="E187" s="147"/>
      <c r="F187" s="147"/>
      <c r="G187" s="148" t="s">
        <v>263</v>
      </c>
      <c r="H187" s="148" t="s">
        <v>279</v>
      </c>
      <c r="I187" s="239" t="str">
        <f>IF(ISBLANK(input!I224),"",input!I224)</f>
        <v>User input</v>
      </c>
      <c r="N187" s="262" t="s">
        <v>264</v>
      </c>
    </row>
    <row r="188" spans="1:14" ht="12.75" customHeight="1" x14ac:dyDescent="0.2">
      <c r="A188" s="762"/>
      <c r="B188" s="38"/>
      <c r="C188" s="38"/>
      <c r="D188" s="17"/>
      <c r="E188" s="17"/>
      <c r="F188" s="17"/>
      <c r="G188" s="38"/>
      <c r="H188" s="38"/>
      <c r="I188" s="239" t="str">
        <f>IF(ISBLANK(input!I225),"",input!I225)</f>
        <v/>
      </c>
      <c r="N188" s="262" t="s">
        <v>4249</v>
      </c>
    </row>
    <row r="189" spans="1:14" ht="12.75" customHeight="1" x14ac:dyDescent="0.2">
      <c r="A189" s="17"/>
      <c r="B189" s="761" t="s">
        <v>652</v>
      </c>
      <c r="C189" s="168"/>
      <c r="D189" s="168"/>
      <c r="E189" s="168"/>
      <c r="F189" s="168"/>
      <c r="G189" s="357"/>
      <c r="H189" s="357"/>
      <c r="I189" s="239" t="str">
        <f>IF(ISBLANK(input!I226),"",input!I226)</f>
        <v/>
      </c>
      <c r="N189" s="262" t="s">
        <v>4249</v>
      </c>
    </row>
    <row r="190" spans="1:14" ht="12.75" customHeight="1" x14ac:dyDescent="0.2">
      <c r="A190" s="762"/>
      <c r="B190" s="74" t="s">
        <v>63</v>
      </c>
      <c r="C190" s="17"/>
      <c r="D190" s="17"/>
      <c r="E190" s="17"/>
      <c r="F190" s="17"/>
      <c r="G190" s="38"/>
      <c r="H190" s="38"/>
      <c r="I190" s="239" t="str">
        <f>IF(ISBLANK(input!I227),"",input!I227)</f>
        <v/>
      </c>
      <c r="N190" s="262" t="s">
        <v>4249</v>
      </c>
    </row>
    <row r="191" spans="1:14" ht="12.75" customHeight="1" x14ac:dyDescent="0.2">
      <c r="A191" s="762"/>
      <c r="B191" s="38"/>
      <c r="C191" s="38" t="s">
        <v>492</v>
      </c>
      <c r="D191" s="17"/>
      <c r="E191" s="17"/>
      <c r="F191" s="17"/>
      <c r="G191" s="38" t="s">
        <v>653</v>
      </c>
      <c r="H191" s="38" t="s">
        <v>494</v>
      </c>
      <c r="I191" s="239" t="str">
        <f>IF(ISBLANK(input!I228),"",input!I228)</f>
        <v/>
      </c>
    </row>
    <row r="192" spans="1:14" ht="12.75" customHeight="1" x14ac:dyDescent="0.2">
      <c r="A192" s="762"/>
      <c r="B192" s="38"/>
      <c r="C192" s="38" t="s">
        <v>496</v>
      </c>
      <c r="D192" s="17"/>
      <c r="E192" s="17"/>
      <c r="F192" s="17"/>
      <c r="G192" s="38" t="s">
        <v>654</v>
      </c>
      <c r="H192" s="38" t="s">
        <v>494</v>
      </c>
      <c r="I192" s="239" t="str">
        <f>IF(ISBLANK(input!I229),"",input!I229)</f>
        <v/>
      </c>
    </row>
    <row r="193" spans="1:14" ht="12.75" customHeight="1" x14ac:dyDescent="0.2">
      <c r="A193" s="762"/>
      <c r="B193" s="38"/>
      <c r="C193" s="38" t="s">
        <v>498</v>
      </c>
      <c r="D193" s="17"/>
      <c r="E193" s="17"/>
      <c r="F193" s="17"/>
      <c r="G193" s="38" t="s">
        <v>655</v>
      </c>
      <c r="H193" s="38" t="s">
        <v>494</v>
      </c>
      <c r="I193" s="239" t="str">
        <f>IF(ISBLANK(input!I230),"",input!I230)</f>
        <v/>
      </c>
    </row>
    <row r="194" spans="1:14" ht="12.75" customHeight="1" x14ac:dyDescent="0.2">
      <c r="A194" s="762"/>
      <c r="B194" s="38"/>
      <c r="C194" s="38" t="s">
        <v>500</v>
      </c>
      <c r="D194" s="17"/>
      <c r="E194" s="17"/>
      <c r="F194" s="17"/>
      <c r="G194" s="38" t="s">
        <v>656</v>
      </c>
      <c r="H194" s="38" t="s">
        <v>494</v>
      </c>
      <c r="I194" s="239" t="str">
        <f>IF(ISBLANK(input!I231),"",input!I231)</f>
        <v/>
      </c>
    </row>
    <row r="195" spans="1:14" ht="12.75" customHeight="1" x14ac:dyDescent="0.2">
      <c r="A195" s="762"/>
      <c r="B195" s="38"/>
      <c r="C195" s="38" t="s">
        <v>502</v>
      </c>
      <c r="D195" s="17"/>
      <c r="E195" s="17"/>
      <c r="F195" s="17"/>
      <c r="G195" s="38" t="s">
        <v>657</v>
      </c>
      <c r="H195" s="38" t="s">
        <v>494</v>
      </c>
      <c r="I195" s="239" t="str">
        <f>IF(ISBLANK(input!I232),"",input!I232)</f>
        <v/>
      </c>
    </row>
    <row r="196" spans="1:14" ht="12.75" customHeight="1" x14ac:dyDescent="0.2">
      <c r="A196" s="762"/>
      <c r="B196" s="38"/>
      <c r="C196" s="38" t="s">
        <v>504</v>
      </c>
      <c r="D196" s="17"/>
      <c r="E196" s="17"/>
      <c r="F196" s="17"/>
      <c r="G196" s="38" t="s">
        <v>658</v>
      </c>
      <c r="H196" s="38" t="s">
        <v>494</v>
      </c>
      <c r="I196" s="239" t="str">
        <f>IF(ISBLANK(input!I233),"",input!I233)</f>
        <v/>
      </c>
    </row>
    <row r="197" spans="1:14" ht="12.75" customHeight="1" x14ac:dyDescent="0.2">
      <c r="A197" s="762"/>
      <c r="B197" s="38"/>
      <c r="C197" s="38" t="s">
        <v>507</v>
      </c>
      <c r="D197" s="17"/>
      <c r="E197" s="17"/>
      <c r="F197" s="17"/>
      <c r="G197" s="38" t="s">
        <v>659</v>
      </c>
      <c r="H197" s="38" t="s">
        <v>494</v>
      </c>
      <c r="I197" s="239" t="str">
        <f>IF(ISBLANK(input!I234),"",input!I234)</f>
        <v/>
      </c>
    </row>
    <row r="198" spans="1:14" ht="12.75" customHeight="1" x14ac:dyDescent="0.2">
      <c r="A198" s="762"/>
      <c r="B198" s="74" t="s">
        <v>216</v>
      </c>
      <c r="C198" s="17"/>
      <c r="D198" s="17"/>
      <c r="E198" s="17"/>
      <c r="F198" s="17"/>
      <c r="G198" s="149"/>
      <c r="H198" s="38"/>
      <c r="I198" s="239" t="str">
        <f>IF(ISBLANK(input!I235),"",input!I235)</f>
        <v/>
      </c>
      <c r="N198" s="262" t="s">
        <v>4249</v>
      </c>
    </row>
    <row r="199" spans="1:14" ht="12.75" customHeight="1" x14ac:dyDescent="0.2">
      <c r="A199" s="762"/>
      <c r="B199" s="38"/>
      <c r="C199" s="38" t="s">
        <v>492</v>
      </c>
      <c r="D199" s="17"/>
      <c r="E199" s="17"/>
      <c r="F199" s="17"/>
      <c r="G199" s="38" t="s">
        <v>660</v>
      </c>
      <c r="H199" s="38" t="s">
        <v>494</v>
      </c>
      <c r="I199" s="239" t="str">
        <f>IF(ISBLANK(input!I236),"",input!I236)</f>
        <v/>
      </c>
      <c r="N199" s="262" t="s">
        <v>4249</v>
      </c>
    </row>
    <row r="200" spans="1:14" ht="12.75" customHeight="1" x14ac:dyDescent="0.2">
      <c r="A200" s="762"/>
      <c r="B200" s="38"/>
      <c r="C200" s="38" t="s">
        <v>496</v>
      </c>
      <c r="D200" s="17"/>
      <c r="E200" s="17"/>
      <c r="F200" s="17"/>
      <c r="G200" s="38" t="s">
        <v>661</v>
      </c>
      <c r="H200" s="38" t="s">
        <v>494</v>
      </c>
      <c r="I200" s="239" t="str">
        <f>IF(ISBLANK(input!I237),"",input!I237)</f>
        <v/>
      </c>
      <c r="N200" s="262" t="s">
        <v>4249</v>
      </c>
    </row>
    <row r="201" spans="1:14" ht="12.75" customHeight="1" x14ac:dyDescent="0.2">
      <c r="A201" s="762"/>
      <c r="B201" s="38"/>
      <c r="C201" s="38" t="s">
        <v>498</v>
      </c>
      <c r="D201" s="17"/>
      <c r="E201" s="17"/>
      <c r="F201" s="17"/>
      <c r="G201" s="38" t="s">
        <v>662</v>
      </c>
      <c r="H201" s="38" t="s">
        <v>494</v>
      </c>
      <c r="I201" s="239" t="str">
        <f>IF(ISBLANK(input!I238),"",input!I238)</f>
        <v/>
      </c>
      <c r="N201" s="262" t="s">
        <v>4249</v>
      </c>
    </row>
    <row r="202" spans="1:14" ht="12.75" customHeight="1" x14ac:dyDescent="0.2">
      <c r="A202" s="762"/>
      <c r="B202" s="38"/>
      <c r="C202" s="38" t="s">
        <v>500</v>
      </c>
      <c r="D202" s="17"/>
      <c r="E202" s="17"/>
      <c r="F202" s="17"/>
      <c r="G202" s="38" t="s">
        <v>663</v>
      </c>
      <c r="H202" s="38" t="s">
        <v>494</v>
      </c>
      <c r="I202" s="239" t="str">
        <f>IF(ISBLANK(input!I239),"",input!I239)</f>
        <v/>
      </c>
      <c r="N202" s="262" t="s">
        <v>4249</v>
      </c>
    </row>
    <row r="203" spans="1:14" ht="12.75" customHeight="1" x14ac:dyDescent="0.2">
      <c r="A203" s="762"/>
      <c r="B203" s="38"/>
      <c r="C203" s="38" t="s">
        <v>502</v>
      </c>
      <c r="D203" s="17"/>
      <c r="E203" s="17"/>
      <c r="F203" s="17"/>
      <c r="G203" s="38" t="s">
        <v>664</v>
      </c>
      <c r="H203" s="38" t="s">
        <v>494</v>
      </c>
      <c r="I203" s="239" t="str">
        <f>IF(ISBLANK(input!I240),"",input!I240)</f>
        <v/>
      </c>
      <c r="N203" s="262" t="s">
        <v>4249</v>
      </c>
    </row>
    <row r="204" spans="1:14" ht="12.75" customHeight="1" x14ac:dyDescent="0.2">
      <c r="A204" s="762"/>
      <c r="B204" s="38"/>
      <c r="C204" s="38" t="s">
        <v>504</v>
      </c>
      <c r="D204" s="17"/>
      <c r="E204" s="17"/>
      <c r="F204" s="17"/>
      <c r="G204" s="38" t="s">
        <v>665</v>
      </c>
      <c r="H204" s="38" t="s">
        <v>494</v>
      </c>
      <c r="I204" s="239" t="str">
        <f>IF(ISBLANK(input!I241),"",input!I241)</f>
        <v/>
      </c>
      <c r="N204" s="262" t="s">
        <v>4249</v>
      </c>
    </row>
    <row r="205" spans="1:14" ht="12.75" customHeight="1" x14ac:dyDescent="0.2">
      <c r="A205" s="762"/>
      <c r="B205" s="38"/>
      <c r="C205" s="38" t="s">
        <v>507</v>
      </c>
      <c r="D205" s="17"/>
      <c r="E205" s="17"/>
      <c r="F205" s="17"/>
      <c r="G205" s="38" t="s">
        <v>666</v>
      </c>
      <c r="H205" s="38" t="s">
        <v>494</v>
      </c>
      <c r="I205" s="239" t="str">
        <f>IF(ISBLANK(input!I242),"",input!I242)</f>
        <v/>
      </c>
      <c r="N205" s="262" t="s">
        <v>4249</v>
      </c>
    </row>
    <row r="206" spans="1:14" ht="12.75" customHeight="1" x14ac:dyDescent="0.2">
      <c r="A206" s="762"/>
      <c r="B206" s="74" t="s">
        <v>232</v>
      </c>
      <c r="C206" s="17"/>
      <c r="D206" s="17"/>
      <c r="E206" s="17"/>
      <c r="F206" s="17"/>
      <c r="G206" s="149"/>
      <c r="H206" s="38"/>
      <c r="I206" s="239" t="str">
        <f>IF(ISBLANK(input!I243),"",input!I243)</f>
        <v/>
      </c>
      <c r="N206" s="262" t="s">
        <v>4249</v>
      </c>
    </row>
    <row r="207" spans="1:14" ht="12.75" customHeight="1" x14ac:dyDescent="0.2">
      <c r="A207" s="762"/>
      <c r="B207" s="38"/>
      <c r="C207" s="38" t="s">
        <v>492</v>
      </c>
      <c r="D207" s="17"/>
      <c r="E207" s="17"/>
      <c r="F207" s="17"/>
      <c r="G207" s="38" t="s">
        <v>667</v>
      </c>
      <c r="H207" s="38" t="s">
        <v>494</v>
      </c>
      <c r="I207" s="239" t="str">
        <f>IF(ISBLANK(input!I244),"",input!I244)</f>
        <v/>
      </c>
      <c r="N207" s="262" t="s">
        <v>4249</v>
      </c>
    </row>
    <row r="208" spans="1:14" ht="12.75" customHeight="1" x14ac:dyDescent="0.2">
      <c r="A208" s="762"/>
      <c r="B208" s="38"/>
      <c r="C208" s="38" t="s">
        <v>517</v>
      </c>
      <c r="D208" s="17"/>
      <c r="E208" s="17"/>
      <c r="F208" s="17"/>
      <c r="G208" s="38" t="s">
        <v>668</v>
      </c>
      <c r="H208" s="38" t="s">
        <v>494</v>
      </c>
      <c r="I208" s="239" t="str">
        <f>IF(ISBLANK(input!I245),"",input!I245)</f>
        <v/>
      </c>
      <c r="N208" s="262" t="s">
        <v>4249</v>
      </c>
    </row>
    <row r="209" spans="1:14" ht="12.75" customHeight="1" x14ac:dyDescent="0.2">
      <c r="A209" s="762"/>
      <c r="B209" s="38"/>
      <c r="C209" s="38" t="s">
        <v>519</v>
      </c>
      <c r="D209" s="17"/>
      <c r="E209" s="17"/>
      <c r="F209" s="17"/>
      <c r="G209" s="38" t="s">
        <v>669</v>
      </c>
      <c r="H209" s="38" t="s">
        <v>494</v>
      </c>
      <c r="I209" s="239" t="str">
        <f>IF(ISBLANK(input!I246),"",input!I246)</f>
        <v/>
      </c>
      <c r="N209" s="262" t="s">
        <v>4249</v>
      </c>
    </row>
    <row r="210" spans="1:14" ht="12.75" customHeight="1" x14ac:dyDescent="0.2">
      <c r="A210" s="762"/>
      <c r="B210" s="3" t="s">
        <v>233</v>
      </c>
      <c r="C210" s="38"/>
      <c r="D210" s="17"/>
      <c r="E210" s="17"/>
      <c r="F210" s="17"/>
      <c r="G210" s="149"/>
      <c r="H210" s="38"/>
      <c r="I210" s="239" t="str">
        <f>IF(ISBLANK(input!I247),"",input!I247)</f>
        <v/>
      </c>
      <c r="N210" s="262" t="s">
        <v>4249</v>
      </c>
    </row>
    <row r="211" spans="1:14" ht="12.75" customHeight="1" x14ac:dyDescent="0.2">
      <c r="A211" s="762"/>
      <c r="B211" s="38"/>
      <c r="C211" s="38" t="s">
        <v>492</v>
      </c>
      <c r="D211" s="17"/>
      <c r="E211" s="17"/>
      <c r="F211" s="17"/>
      <c r="G211" s="38" t="s">
        <v>670</v>
      </c>
      <c r="H211" s="38" t="s">
        <v>494</v>
      </c>
      <c r="I211" s="239" t="str">
        <f>IF(ISBLANK(input!I248),"",input!I248)</f>
        <v/>
      </c>
      <c r="N211" s="262" t="s">
        <v>4249</v>
      </c>
    </row>
    <row r="212" spans="1:14" ht="12.75" customHeight="1" x14ac:dyDescent="0.2">
      <c r="A212" s="762"/>
      <c r="B212" s="38"/>
      <c r="C212" s="38" t="s">
        <v>517</v>
      </c>
      <c r="D212" s="17"/>
      <c r="E212" s="17"/>
      <c r="F212" s="17"/>
      <c r="G212" s="38" t="s">
        <v>671</v>
      </c>
      <c r="H212" s="38" t="s">
        <v>494</v>
      </c>
      <c r="I212" s="239" t="str">
        <f>IF(ISBLANK(input!I249),"",input!I249)</f>
        <v/>
      </c>
      <c r="N212" s="262" t="s">
        <v>4249</v>
      </c>
    </row>
    <row r="213" spans="1:14" ht="12.75" customHeight="1" x14ac:dyDescent="0.2">
      <c r="A213" s="762"/>
      <c r="B213" s="38"/>
      <c r="C213" s="38" t="s">
        <v>519</v>
      </c>
      <c r="D213" s="17"/>
      <c r="E213" s="17"/>
      <c r="F213" s="17"/>
      <c r="G213" s="38" t="s">
        <v>672</v>
      </c>
      <c r="H213" s="38" t="s">
        <v>494</v>
      </c>
      <c r="I213" s="239" t="str">
        <f>IF(ISBLANK(input!I250),"",input!I250)</f>
        <v/>
      </c>
      <c r="N213" s="262" t="s">
        <v>4249</v>
      </c>
    </row>
    <row r="214" spans="1:14" ht="12.75" customHeight="1" x14ac:dyDescent="0.2">
      <c r="A214" s="762"/>
      <c r="B214" s="74" t="s">
        <v>524</v>
      </c>
      <c r="C214" s="17"/>
      <c r="D214" s="17"/>
      <c r="E214" s="17"/>
      <c r="F214" s="17"/>
      <c r="G214" s="149"/>
      <c r="H214" s="38"/>
      <c r="I214" s="239" t="str">
        <f>IF(ISBLANK(input!I251),"",input!I251)</f>
        <v/>
      </c>
      <c r="N214" s="262" t="s">
        <v>4249</v>
      </c>
    </row>
    <row r="215" spans="1:14" ht="12.75" customHeight="1" x14ac:dyDescent="0.2">
      <c r="A215" s="762"/>
      <c r="B215" s="38"/>
      <c r="C215" s="38" t="s">
        <v>492</v>
      </c>
      <c r="D215" s="17"/>
      <c r="E215" s="17"/>
      <c r="F215" s="17"/>
      <c r="G215" s="38" t="s">
        <v>673</v>
      </c>
      <c r="H215" s="38" t="s">
        <v>494</v>
      </c>
      <c r="I215" s="239" t="str">
        <f>IF(ISBLANK(input!I252),"",input!I252)</f>
        <v/>
      </c>
      <c r="N215" s="262" t="s">
        <v>4249</v>
      </c>
    </row>
    <row r="216" spans="1:14" ht="12.75" customHeight="1" x14ac:dyDescent="0.2">
      <c r="A216" s="762"/>
      <c r="B216" s="38"/>
      <c r="C216" s="38" t="s">
        <v>517</v>
      </c>
      <c r="D216" s="17"/>
      <c r="E216" s="17"/>
      <c r="F216" s="17"/>
      <c r="G216" s="38" t="s">
        <v>674</v>
      </c>
      <c r="H216" s="38" t="s">
        <v>494</v>
      </c>
      <c r="I216" s="239" t="str">
        <f>IF(ISBLANK(input!I253),"",input!I253)</f>
        <v/>
      </c>
      <c r="N216" s="262" t="s">
        <v>4249</v>
      </c>
    </row>
    <row r="217" spans="1:14" ht="12.75" customHeight="1" x14ac:dyDescent="0.2">
      <c r="A217" s="762"/>
      <c r="B217" s="38"/>
      <c r="C217" s="38" t="s">
        <v>519</v>
      </c>
      <c r="D217" s="17"/>
      <c r="E217" s="17"/>
      <c r="F217" s="17"/>
      <c r="G217" s="38" t="s">
        <v>675</v>
      </c>
      <c r="H217" s="38" t="s">
        <v>494</v>
      </c>
      <c r="I217" s="239" t="str">
        <f>IF(ISBLANK(input!I254),"",input!I254)</f>
        <v/>
      </c>
      <c r="N217" s="262" t="s">
        <v>4249</v>
      </c>
    </row>
    <row r="218" spans="1:14" ht="12.75" customHeight="1" x14ac:dyDescent="0.2">
      <c r="A218" s="17"/>
      <c r="B218" s="17"/>
      <c r="C218" s="17"/>
      <c r="D218" s="17"/>
      <c r="E218" s="17"/>
      <c r="F218" s="17"/>
      <c r="G218" s="38"/>
      <c r="H218" s="38"/>
      <c r="I218" s="239" t="str">
        <f>IF(ISBLANK(input!I255),"",input!I255)</f>
        <v/>
      </c>
      <c r="N218" s="262" t="s">
        <v>4249</v>
      </c>
    </row>
    <row r="219" spans="1:14" ht="12.75" customHeight="1" x14ac:dyDescent="0.2">
      <c r="A219" s="148" t="s">
        <v>676</v>
      </c>
      <c r="B219" s="147"/>
      <c r="C219" s="147"/>
      <c r="D219" s="147"/>
      <c r="E219" s="147"/>
      <c r="F219" s="147"/>
      <c r="G219" s="148" t="s">
        <v>263</v>
      </c>
      <c r="H219" s="148" t="s">
        <v>279</v>
      </c>
      <c r="I219" s="239" t="str">
        <f>IF(ISBLANK(input!I256),"",input!I256)</f>
        <v>User input</v>
      </c>
      <c r="N219" s="262" t="s">
        <v>264</v>
      </c>
    </row>
    <row r="220" spans="1:14" ht="12.75" customHeight="1" x14ac:dyDescent="0.2">
      <c r="A220" s="38"/>
      <c r="B220" s="17"/>
      <c r="C220" s="17"/>
      <c r="D220" s="17"/>
      <c r="E220" s="17"/>
      <c r="F220" s="17"/>
      <c r="G220" s="38"/>
      <c r="H220" s="38"/>
      <c r="I220" s="239" t="str">
        <f>IF(ISBLANK(input!I257),"",input!I257)</f>
        <v/>
      </c>
      <c r="N220" s="262" t="s">
        <v>4249</v>
      </c>
    </row>
    <row r="221" spans="1:14" ht="12.75" customHeight="1" x14ac:dyDescent="0.2">
      <c r="A221" s="3" t="s">
        <v>63</v>
      </c>
      <c r="B221" s="17"/>
      <c r="C221" s="17"/>
      <c r="D221" s="17"/>
      <c r="E221" s="17"/>
      <c r="F221" s="17"/>
      <c r="G221" s="17"/>
      <c r="H221" s="17"/>
      <c r="I221" s="239" t="str">
        <f>IF(ISBLANK(input!I258),"",input!I258)</f>
        <v/>
      </c>
      <c r="N221" s="262" t="s">
        <v>4249</v>
      </c>
    </row>
    <row r="222" spans="1:14" ht="12.75" customHeight="1" x14ac:dyDescent="0.2">
      <c r="A222" s="17"/>
      <c r="B222" s="17" t="s">
        <v>677</v>
      </c>
      <c r="C222" s="17"/>
      <c r="D222" s="17"/>
      <c r="E222" s="17"/>
      <c r="F222" s="17"/>
      <c r="G222" s="17" t="s">
        <v>678</v>
      </c>
      <c r="H222" s="146" t="s">
        <v>679</v>
      </c>
      <c r="I222" s="239" t="str">
        <f>IF(ISBLANK(input!I259),"",input!I259)</f>
        <v/>
      </c>
      <c r="N222" s="262" t="s">
        <v>4249</v>
      </c>
    </row>
    <row r="223" spans="1:14" ht="12.75" customHeight="1" x14ac:dyDescent="0.2">
      <c r="A223" s="17"/>
      <c r="B223" s="17" t="s">
        <v>681</v>
      </c>
      <c r="C223" s="17"/>
      <c r="D223" s="17"/>
      <c r="E223" s="17"/>
      <c r="F223" s="17"/>
      <c r="G223" s="17" t="s">
        <v>682</v>
      </c>
      <c r="H223" s="146" t="s">
        <v>679</v>
      </c>
      <c r="I223" s="239" t="str">
        <f>IF(ISBLANK(input!I260),"",input!I260)</f>
        <v/>
      </c>
      <c r="N223" s="262" t="s">
        <v>4249</v>
      </c>
    </row>
    <row r="224" spans="1:14" ht="12.75" customHeight="1" x14ac:dyDescent="0.2">
      <c r="A224" s="17"/>
      <c r="B224" s="17" t="s">
        <v>683</v>
      </c>
      <c r="C224" s="17"/>
      <c r="D224" s="17"/>
      <c r="E224" s="17"/>
      <c r="F224" s="17"/>
      <c r="G224" s="17" t="s">
        <v>684</v>
      </c>
      <c r="H224" s="17" t="s">
        <v>297</v>
      </c>
      <c r="I224" s="239" t="str">
        <f>IF(ISBLANK(input!I261),"",input!I261)</f>
        <v/>
      </c>
      <c r="N224" s="262" t="s">
        <v>4249</v>
      </c>
    </row>
    <row r="225" spans="1:14" ht="12.75" customHeight="1" x14ac:dyDescent="0.2">
      <c r="A225" s="17"/>
      <c r="B225" s="17" t="s">
        <v>685</v>
      </c>
      <c r="C225" s="17"/>
      <c r="D225" s="17"/>
      <c r="E225" s="17"/>
      <c r="F225" s="17"/>
      <c r="G225" s="17" t="s">
        <v>686</v>
      </c>
      <c r="H225" s="17" t="s">
        <v>297</v>
      </c>
      <c r="I225" s="239" t="str">
        <f>IF(ISBLANK(input!I262),"",input!I262)</f>
        <v/>
      </c>
      <c r="N225" s="262" t="s">
        <v>4249</v>
      </c>
    </row>
    <row r="226" spans="1:14" ht="12.75" customHeight="1" x14ac:dyDescent="0.2">
      <c r="A226" s="17"/>
      <c r="B226" s="17" t="s">
        <v>687</v>
      </c>
      <c r="C226" s="17"/>
      <c r="D226" s="17"/>
      <c r="E226" s="17"/>
      <c r="F226" s="17"/>
      <c r="G226" s="17" t="s">
        <v>688</v>
      </c>
      <c r="H226" s="17" t="s">
        <v>297</v>
      </c>
      <c r="I226" s="239" t="str">
        <f>IF(ISBLANK(input!I263),"",input!I263)</f>
        <v/>
      </c>
      <c r="N226" s="262" t="s">
        <v>4249</v>
      </c>
    </row>
    <row r="227" spans="1:14" ht="12.75" customHeight="1" x14ac:dyDescent="0.2">
      <c r="A227" s="17"/>
      <c r="B227" s="17" t="s">
        <v>689</v>
      </c>
      <c r="C227" s="17"/>
      <c r="D227" s="17"/>
      <c r="E227" s="17"/>
      <c r="F227" s="17"/>
      <c r="G227" s="17" t="s">
        <v>690</v>
      </c>
      <c r="H227" s="17" t="s">
        <v>297</v>
      </c>
      <c r="I227" s="239" t="str">
        <f>IF(ISBLANK(input!I264),"",input!I264)</f>
        <v/>
      </c>
      <c r="N227" s="262" t="s">
        <v>4249</v>
      </c>
    </row>
    <row r="228" spans="1:14" ht="12.75" customHeight="1" x14ac:dyDescent="0.2">
      <c r="A228" s="17"/>
      <c r="B228" s="17" t="s">
        <v>691</v>
      </c>
      <c r="C228" s="17"/>
      <c r="D228" s="17"/>
      <c r="E228" s="17"/>
      <c r="F228" s="17"/>
      <c r="G228" s="17" t="s">
        <v>692</v>
      </c>
      <c r="H228" s="17" t="s">
        <v>297</v>
      </c>
      <c r="I228" s="239" t="str">
        <f>IF(ISBLANK(input!I265),"",input!I265)</f>
        <v/>
      </c>
      <c r="N228" s="262" t="s">
        <v>4249</v>
      </c>
    </row>
    <row r="229" spans="1:14" ht="12.75" customHeight="1" x14ac:dyDescent="0.2">
      <c r="A229" s="17"/>
      <c r="B229" s="17" t="s">
        <v>693</v>
      </c>
      <c r="C229" s="17"/>
      <c r="D229" s="17"/>
      <c r="E229" s="17"/>
      <c r="F229" s="17"/>
      <c r="G229" s="17" t="s">
        <v>694</v>
      </c>
      <c r="H229" s="17" t="s">
        <v>592</v>
      </c>
      <c r="I229" s="239" t="str">
        <f>IF(ISBLANK(input!I266),"",input!I266)</f>
        <v/>
      </c>
      <c r="N229" s="262" t="s">
        <v>4249</v>
      </c>
    </row>
    <row r="230" spans="1:14" ht="12.75" customHeight="1" x14ac:dyDescent="0.2">
      <c r="A230" s="228"/>
      <c r="B230" s="228" t="s">
        <v>695</v>
      </c>
      <c r="C230" s="228"/>
      <c r="D230" s="228"/>
      <c r="E230" s="228"/>
      <c r="F230" s="228"/>
      <c r="G230" s="228" t="s">
        <v>696</v>
      </c>
      <c r="H230" s="228" t="s">
        <v>697</v>
      </c>
      <c r="I230" s="239" t="str">
        <f>IF(ISBLANK(input!I267),"",input!I267)</f>
        <v/>
      </c>
      <c r="N230" s="262" t="s">
        <v>4249</v>
      </c>
    </row>
    <row r="231" spans="1:14" ht="12.75" customHeight="1" x14ac:dyDescent="0.2">
      <c r="A231" s="17"/>
      <c r="B231" s="17" t="s">
        <v>698</v>
      </c>
      <c r="C231" s="17"/>
      <c r="D231" s="17"/>
      <c r="E231" s="17"/>
      <c r="F231" s="17"/>
      <c r="G231" s="17" t="s">
        <v>699</v>
      </c>
      <c r="H231" s="17" t="s">
        <v>700</v>
      </c>
      <c r="I231" s="239" t="str">
        <f>IF(ISBLANK(input!I268),"",input!I268)</f>
        <v/>
      </c>
      <c r="N231" s="262" t="s">
        <v>4249</v>
      </c>
    </row>
    <row r="232" spans="1:14" ht="12.75" customHeight="1" x14ac:dyDescent="0.2">
      <c r="A232" s="17"/>
      <c r="B232" s="17" t="s">
        <v>701</v>
      </c>
      <c r="C232" s="17"/>
      <c r="D232" s="17"/>
      <c r="E232" s="17"/>
      <c r="F232" s="17"/>
      <c r="G232" s="17" t="s">
        <v>702</v>
      </c>
      <c r="H232" s="17" t="s">
        <v>284</v>
      </c>
      <c r="I232" s="239" t="str">
        <f>IF(ISBLANK(input!I269),"",input!I269)</f>
        <v/>
      </c>
      <c r="N232" s="262" t="s">
        <v>4249</v>
      </c>
    </row>
    <row r="233" spans="1:14" ht="12.75" customHeight="1" x14ac:dyDescent="0.2">
      <c r="A233" s="17"/>
      <c r="B233" s="17" t="s">
        <v>703</v>
      </c>
      <c r="C233" s="17"/>
      <c r="D233" s="17"/>
      <c r="E233" s="17"/>
      <c r="F233" s="17"/>
      <c r="G233" s="17" t="s">
        <v>704</v>
      </c>
      <c r="H233" s="17" t="s">
        <v>284</v>
      </c>
      <c r="I233" s="239" t="str">
        <f>IF(ISBLANK(input!I270),"",input!I270)</f>
        <v/>
      </c>
      <c r="N233" s="262" t="s">
        <v>4249</v>
      </c>
    </row>
    <row r="234" spans="1:14" ht="12.75" customHeight="1" x14ac:dyDescent="0.2">
      <c r="A234" s="17"/>
      <c r="B234" s="17" t="s">
        <v>705</v>
      </c>
      <c r="C234" s="17"/>
      <c r="D234" s="17"/>
      <c r="E234" s="17"/>
      <c r="F234" s="17"/>
      <c r="G234" s="17" t="s">
        <v>706</v>
      </c>
      <c r="H234" s="17" t="s">
        <v>297</v>
      </c>
      <c r="I234" s="239" t="str">
        <f>IF(ISBLANK(input!I271),"",input!I271)</f>
        <v/>
      </c>
      <c r="N234" s="262" t="s">
        <v>4249</v>
      </c>
    </row>
    <row r="235" spans="1:14" ht="12.75" customHeight="1" x14ac:dyDescent="0.2">
      <c r="A235" s="17"/>
      <c r="B235" s="17" t="s">
        <v>707</v>
      </c>
      <c r="C235" s="17"/>
      <c r="D235" s="17"/>
      <c r="E235" s="17"/>
      <c r="F235" s="17"/>
      <c r="G235" s="17" t="s">
        <v>708</v>
      </c>
      <c r="H235" s="17" t="s">
        <v>297</v>
      </c>
      <c r="I235" s="239" t="str">
        <f>IF(ISBLANK(input!I272),"",input!I272)</f>
        <v/>
      </c>
      <c r="N235" s="262" t="s">
        <v>4249</v>
      </c>
    </row>
    <row r="236" spans="1:14" ht="12.75" customHeight="1" x14ac:dyDescent="0.2">
      <c r="A236" s="17"/>
      <c r="B236" s="17" t="s">
        <v>709</v>
      </c>
      <c r="C236" s="17"/>
      <c r="D236" s="17"/>
      <c r="E236" s="17"/>
      <c r="F236" s="17"/>
      <c r="G236" s="17" t="s">
        <v>710</v>
      </c>
      <c r="H236" s="17" t="s">
        <v>297</v>
      </c>
      <c r="I236" s="239" t="str">
        <f>IF(ISBLANK(input!I273),"",input!I273)</f>
        <v/>
      </c>
      <c r="N236" s="262" t="s">
        <v>4249</v>
      </c>
    </row>
    <row r="237" spans="1:14" ht="12.75" customHeight="1" x14ac:dyDescent="0.2">
      <c r="A237" s="17"/>
      <c r="B237" s="17" t="s">
        <v>711</v>
      </c>
      <c r="C237" s="17"/>
      <c r="D237" s="17"/>
      <c r="E237" s="17"/>
      <c r="F237" s="17"/>
      <c r="G237" s="17" t="s">
        <v>712</v>
      </c>
      <c r="H237" s="17" t="s">
        <v>700</v>
      </c>
      <c r="I237" s="239" t="str">
        <f>IF(ISBLANK(input!I274),"",input!I274)</f>
        <v/>
      </c>
      <c r="J237" s="228"/>
      <c r="N237" s="262" t="s">
        <v>4249</v>
      </c>
    </row>
    <row r="238" spans="1:14" ht="12.75" customHeight="1" x14ac:dyDescent="0.2">
      <c r="A238" s="567"/>
      <c r="B238" s="578" t="s">
        <v>713</v>
      </c>
      <c r="C238" s="585"/>
      <c r="D238" s="567"/>
      <c r="E238" s="567"/>
      <c r="F238" s="567"/>
      <c r="G238" s="567" t="s">
        <v>714</v>
      </c>
      <c r="H238" s="568" t="s">
        <v>715</v>
      </c>
      <c r="I238" s="239" t="str">
        <f>IF(ISBLANK(input!I275),"",input!I275)</f>
        <v/>
      </c>
      <c r="J238" s="411"/>
      <c r="N238" s="262" t="s">
        <v>4249</v>
      </c>
    </row>
    <row r="239" spans="1:14" ht="12.75" customHeight="1" x14ac:dyDescent="0.2">
      <c r="A239" s="567"/>
      <c r="B239" s="578" t="s">
        <v>717</v>
      </c>
      <c r="C239" s="585"/>
      <c r="D239" s="567"/>
      <c r="E239" s="567"/>
      <c r="F239" s="567"/>
      <c r="G239" s="567" t="s">
        <v>718</v>
      </c>
      <c r="H239" s="568" t="s">
        <v>715</v>
      </c>
      <c r="I239" s="239" t="str">
        <f>IF(ISBLANK(input!I276),"",input!I276)</f>
        <v/>
      </c>
      <c r="J239" s="216"/>
      <c r="N239" s="262" t="s">
        <v>4249</v>
      </c>
    </row>
    <row r="240" spans="1:14" ht="12.75" customHeight="1" x14ac:dyDescent="0.2">
      <c r="A240" s="567"/>
      <c r="B240" s="578" t="s">
        <v>719</v>
      </c>
      <c r="C240" s="567"/>
      <c r="D240" s="567"/>
      <c r="E240" s="567"/>
      <c r="F240" s="567"/>
      <c r="G240" s="567" t="s">
        <v>720</v>
      </c>
      <c r="H240" s="568" t="s">
        <v>715</v>
      </c>
      <c r="I240" s="239" t="str">
        <f>IF(ISBLANK(input!I277),"",input!I277)</f>
        <v/>
      </c>
      <c r="N240" s="262" t="s">
        <v>4249</v>
      </c>
    </row>
    <row r="241" spans="1:14" ht="12.75" customHeight="1" x14ac:dyDescent="0.2">
      <c r="A241" s="216"/>
      <c r="B241" s="609" t="s">
        <v>721</v>
      </c>
      <c r="C241" s="972"/>
      <c r="D241" s="228"/>
      <c r="E241" s="228"/>
      <c r="F241" s="228"/>
      <c r="G241" s="579" t="s">
        <v>722</v>
      </c>
      <c r="H241" s="216" t="s">
        <v>723</v>
      </c>
      <c r="I241" s="239" t="str">
        <f>IF(ISBLANK(input!I278),"",input!I278)</f>
        <v/>
      </c>
      <c r="N241" s="262" t="s">
        <v>4249</v>
      </c>
    </row>
    <row r="242" spans="1:14" ht="12.75" customHeight="1" x14ac:dyDescent="0.2">
      <c r="A242" s="216"/>
      <c r="B242" s="609" t="s">
        <v>721</v>
      </c>
      <c r="C242" s="972"/>
      <c r="D242" s="228"/>
      <c r="E242" s="228"/>
      <c r="F242" s="228"/>
      <c r="G242" s="579" t="s">
        <v>725</v>
      </c>
      <c r="H242" s="216" t="s">
        <v>723</v>
      </c>
      <c r="I242" s="239" t="str">
        <f>IF(ISBLANK(input!I279),"",input!I279)</f>
        <v/>
      </c>
      <c r="N242" s="262" t="s">
        <v>4249</v>
      </c>
    </row>
    <row r="243" spans="1:14" ht="12.75" customHeight="1" x14ac:dyDescent="0.2">
      <c r="A243" s="216"/>
      <c r="B243" s="609" t="s">
        <v>721</v>
      </c>
      <c r="C243" s="972"/>
      <c r="D243" s="228"/>
      <c r="E243" s="228"/>
      <c r="F243" s="228"/>
      <c r="G243" s="579" t="s">
        <v>726</v>
      </c>
      <c r="H243" s="216" t="s">
        <v>723</v>
      </c>
      <c r="I243" s="239" t="str">
        <f>IF(ISBLANK(input!I280),"",input!I280)</f>
        <v/>
      </c>
      <c r="N243" s="262" t="s">
        <v>4249</v>
      </c>
    </row>
    <row r="244" spans="1:14" ht="12.75" customHeight="1" x14ac:dyDescent="0.2">
      <c r="A244" s="216"/>
      <c r="B244" s="609" t="s">
        <v>727</v>
      </c>
      <c r="C244" s="972"/>
      <c r="D244" s="228"/>
      <c r="E244" s="228"/>
      <c r="F244" s="228"/>
      <c r="G244" s="579" t="s">
        <v>728</v>
      </c>
      <c r="H244" s="216" t="s">
        <v>586</v>
      </c>
      <c r="I244" s="239" t="str">
        <f>IF(ISBLANK(input!I281),"",input!I281)</f>
        <v/>
      </c>
      <c r="N244" s="262" t="s">
        <v>4249</v>
      </c>
    </row>
    <row r="245" spans="1:14" ht="12.75" customHeight="1" x14ac:dyDescent="0.2">
      <c r="A245" s="216"/>
      <c r="B245" s="609" t="s">
        <v>730</v>
      </c>
      <c r="C245" s="972"/>
      <c r="D245" s="228"/>
      <c r="E245" s="228"/>
      <c r="F245" s="228"/>
      <c r="G245" s="579" t="s">
        <v>731</v>
      </c>
      <c r="H245" s="216" t="s">
        <v>586</v>
      </c>
      <c r="I245" s="239" t="str">
        <f>IF(ISBLANK(input!I282),"",input!I282)</f>
        <v/>
      </c>
      <c r="N245" s="262" t="s">
        <v>4249</v>
      </c>
    </row>
    <row r="246" spans="1:14" ht="12.75" customHeight="1" x14ac:dyDescent="0.2">
      <c r="A246" s="216"/>
      <c r="B246" s="609" t="s">
        <v>732</v>
      </c>
      <c r="C246" s="972"/>
      <c r="D246" s="228"/>
      <c r="E246" s="228"/>
      <c r="F246" s="228"/>
      <c r="G246" s="579" t="s">
        <v>733</v>
      </c>
      <c r="H246" s="216" t="s">
        <v>586</v>
      </c>
      <c r="I246" s="239" t="str">
        <f>IF(ISBLANK(input!I283),"",input!I283)</f>
        <v/>
      </c>
      <c r="N246" s="262" t="s">
        <v>4249</v>
      </c>
    </row>
    <row r="247" spans="1:14" ht="12.75" customHeight="1" x14ac:dyDescent="0.2">
      <c r="A247" s="567"/>
      <c r="B247" s="578" t="s">
        <v>734</v>
      </c>
      <c r="C247" s="567"/>
      <c r="D247" s="567"/>
      <c r="E247" s="567"/>
      <c r="F247" s="567"/>
      <c r="G247" s="784" t="s">
        <v>735</v>
      </c>
      <c r="H247" s="568" t="s">
        <v>736</v>
      </c>
      <c r="I247" s="239" t="str">
        <f>IF(ISBLANK(input!I284),"",input!I284)</f>
        <v/>
      </c>
      <c r="N247" s="262" t="s">
        <v>4249</v>
      </c>
    </row>
    <row r="248" spans="1:14" ht="12.75" customHeight="1" x14ac:dyDescent="0.2">
      <c r="A248" s="216"/>
      <c r="B248" s="228"/>
      <c r="C248" s="216"/>
      <c r="D248" s="228"/>
      <c r="E248" s="228"/>
      <c r="F248" s="228"/>
      <c r="G248" s="579"/>
      <c r="H248" s="216"/>
      <c r="I248" s="239" t="str">
        <f>IF(ISBLANK(input!I285),"",input!I285)</f>
        <v/>
      </c>
      <c r="N248" s="262" t="s">
        <v>4249</v>
      </c>
    </row>
    <row r="249" spans="1:14" ht="12.75" customHeight="1" x14ac:dyDescent="0.2">
      <c r="A249" s="3" t="s">
        <v>216</v>
      </c>
      <c r="B249" s="17"/>
      <c r="C249" s="17"/>
      <c r="D249" s="17"/>
      <c r="E249" s="17"/>
      <c r="F249" s="17"/>
      <c r="G249" s="17"/>
      <c r="H249" s="17"/>
      <c r="I249" s="239" t="str">
        <f>IF(ISBLANK(input!I286),"",input!I286)</f>
        <v/>
      </c>
      <c r="N249" s="262" t="s">
        <v>4249</v>
      </c>
    </row>
    <row r="250" spans="1:14" ht="12.75" customHeight="1" x14ac:dyDescent="0.2">
      <c r="A250" s="17"/>
      <c r="B250" s="17" t="s">
        <v>677</v>
      </c>
      <c r="C250" s="17"/>
      <c r="D250" s="17"/>
      <c r="E250" s="17"/>
      <c r="F250" s="17"/>
      <c r="G250" s="17" t="s">
        <v>739</v>
      </c>
      <c r="H250" s="146" t="s">
        <v>679</v>
      </c>
      <c r="I250" s="239" t="str">
        <f>IF(ISBLANK(input!I287),"",input!I287)</f>
        <v/>
      </c>
      <c r="N250" s="262" t="s">
        <v>4249</v>
      </c>
    </row>
    <row r="251" spans="1:14" ht="12.75" customHeight="1" x14ac:dyDescent="0.2">
      <c r="A251" s="17"/>
      <c r="B251" s="17" t="s">
        <v>681</v>
      </c>
      <c r="C251" s="17"/>
      <c r="D251" s="17"/>
      <c r="E251" s="17"/>
      <c r="F251" s="17"/>
      <c r="G251" s="17" t="s">
        <v>740</v>
      </c>
      <c r="H251" s="146" t="s">
        <v>679</v>
      </c>
      <c r="I251" s="239" t="str">
        <f>IF(ISBLANK(input!I288),"",input!I288)</f>
        <v/>
      </c>
      <c r="N251" s="262" t="s">
        <v>4249</v>
      </c>
    </row>
    <row r="252" spans="1:14" ht="12.75" customHeight="1" x14ac:dyDescent="0.2">
      <c r="A252" s="17"/>
      <c r="B252" s="17" t="s">
        <v>685</v>
      </c>
      <c r="C252" s="17"/>
      <c r="D252" s="17"/>
      <c r="E252" s="17"/>
      <c r="F252" s="17"/>
      <c r="G252" s="17" t="s">
        <v>741</v>
      </c>
      <c r="H252" s="17" t="s">
        <v>297</v>
      </c>
      <c r="I252" s="239" t="str">
        <f>IF(ISBLANK(input!I291),"",input!I291)</f>
        <v/>
      </c>
      <c r="N252" s="262" t="s">
        <v>4249</v>
      </c>
    </row>
    <row r="253" spans="1:14" ht="12.75" customHeight="1" x14ac:dyDescent="0.2">
      <c r="A253" s="17"/>
      <c r="B253" s="17" t="s">
        <v>685</v>
      </c>
      <c r="C253" s="17"/>
      <c r="D253" s="17"/>
      <c r="E253" s="17"/>
      <c r="F253" s="17"/>
      <c r="G253" s="17" t="s">
        <v>742</v>
      </c>
      <c r="H253" s="17" t="s">
        <v>297</v>
      </c>
      <c r="I253" s="239" t="str">
        <f>IF(ISBLANK(input!I292),"",input!I292)</f>
        <v/>
      </c>
      <c r="N253" s="262" t="s">
        <v>4249</v>
      </c>
    </row>
    <row r="254" spans="1:14" ht="12.75" customHeight="1" x14ac:dyDescent="0.2">
      <c r="A254" s="17"/>
      <c r="B254" s="17" t="s">
        <v>687</v>
      </c>
      <c r="C254" s="17"/>
      <c r="D254" s="17"/>
      <c r="E254" s="17"/>
      <c r="F254" s="17"/>
      <c r="G254" s="17" t="s">
        <v>743</v>
      </c>
      <c r="H254" s="17" t="s">
        <v>297</v>
      </c>
      <c r="I254" s="239" t="str">
        <f>IF(ISBLANK(input!I293),"",input!I293)</f>
        <v/>
      </c>
      <c r="N254" s="262" t="s">
        <v>4249</v>
      </c>
    </row>
    <row r="255" spans="1:14" ht="12.75" customHeight="1" x14ac:dyDescent="0.2">
      <c r="A255" s="17"/>
      <c r="B255" s="17" t="s">
        <v>689</v>
      </c>
      <c r="C255" s="17"/>
      <c r="D255" s="17"/>
      <c r="E255" s="17"/>
      <c r="F255" s="17"/>
      <c r="G255" s="17" t="s">
        <v>744</v>
      </c>
      <c r="H255" s="17" t="s">
        <v>297</v>
      </c>
      <c r="I255" s="239" t="str">
        <f>IF(ISBLANK(input!I294),"",input!I294)</f>
        <v/>
      </c>
      <c r="N255" s="262" t="s">
        <v>4249</v>
      </c>
    </row>
    <row r="256" spans="1:14" ht="12.75" customHeight="1" x14ac:dyDescent="0.2">
      <c r="A256" s="17"/>
      <c r="B256" s="17" t="s">
        <v>691</v>
      </c>
      <c r="C256" s="17"/>
      <c r="D256" s="17"/>
      <c r="E256" s="17"/>
      <c r="F256" s="17"/>
      <c r="G256" s="17" t="s">
        <v>745</v>
      </c>
      <c r="H256" s="17" t="s">
        <v>297</v>
      </c>
      <c r="I256" s="239" t="str">
        <f>IF(ISBLANK(input!I295),"",input!I295)</f>
        <v/>
      </c>
      <c r="N256" s="262" t="s">
        <v>4249</v>
      </c>
    </row>
    <row r="257" spans="1:14" ht="12.75" customHeight="1" x14ac:dyDescent="0.2">
      <c r="A257" s="17"/>
      <c r="B257" s="17" t="s">
        <v>693</v>
      </c>
      <c r="C257" s="17"/>
      <c r="D257" s="17"/>
      <c r="E257" s="17"/>
      <c r="F257" s="17"/>
      <c r="G257" s="17" t="s">
        <v>746</v>
      </c>
      <c r="H257" s="17" t="s">
        <v>592</v>
      </c>
      <c r="I257" s="239" t="str">
        <f>IF(ISBLANK(input!I296),"",input!I296)</f>
        <v/>
      </c>
      <c r="N257" s="262" t="s">
        <v>4249</v>
      </c>
    </row>
    <row r="258" spans="1:14" ht="12.75" customHeight="1" x14ac:dyDescent="0.2">
      <c r="A258" s="17"/>
      <c r="B258" s="17" t="s">
        <v>695</v>
      </c>
      <c r="C258" s="17"/>
      <c r="D258" s="17"/>
      <c r="E258" s="17"/>
      <c r="F258" s="17"/>
      <c r="G258" s="17" t="s">
        <v>747</v>
      </c>
      <c r="H258" s="17" t="s">
        <v>697</v>
      </c>
      <c r="I258" s="239" t="str">
        <f>IF(ISBLANK(input!I297),"",input!I297)</f>
        <v/>
      </c>
      <c r="N258" s="262" t="s">
        <v>4249</v>
      </c>
    </row>
    <row r="259" spans="1:14" ht="12.75" customHeight="1" x14ac:dyDescent="0.2">
      <c r="A259" s="17"/>
      <c r="B259" s="17" t="s">
        <v>698</v>
      </c>
      <c r="C259" s="17"/>
      <c r="D259" s="17"/>
      <c r="E259" s="17"/>
      <c r="F259" s="17"/>
      <c r="G259" s="17" t="s">
        <v>748</v>
      </c>
      <c r="H259" s="17" t="s">
        <v>700</v>
      </c>
      <c r="I259" s="239" t="str">
        <f>IF(ISBLANK(input!I298),"",input!I298)</f>
        <v/>
      </c>
      <c r="N259" s="262" t="s">
        <v>4249</v>
      </c>
    </row>
    <row r="260" spans="1:14" ht="12.75" customHeight="1" x14ac:dyDescent="0.2">
      <c r="A260" s="17"/>
      <c r="B260" s="17" t="s">
        <v>703</v>
      </c>
      <c r="C260" s="17"/>
      <c r="D260" s="17"/>
      <c r="E260" s="17"/>
      <c r="F260" s="17"/>
      <c r="G260" s="17" t="s">
        <v>749</v>
      </c>
      <c r="H260" s="17" t="s">
        <v>284</v>
      </c>
      <c r="I260" s="239" t="str">
        <f>IF(ISBLANK(input!I299),"",input!I299)</f>
        <v/>
      </c>
      <c r="N260" s="262" t="s">
        <v>4249</v>
      </c>
    </row>
    <row r="261" spans="1:14" ht="12.75" customHeight="1" x14ac:dyDescent="0.2">
      <c r="A261" s="17"/>
      <c r="B261" s="17" t="s">
        <v>703</v>
      </c>
      <c r="C261" s="17"/>
      <c r="D261" s="17"/>
      <c r="E261" s="17"/>
      <c r="F261" s="17"/>
      <c r="G261" s="17" t="s">
        <v>750</v>
      </c>
      <c r="H261" s="17" t="s">
        <v>284</v>
      </c>
      <c r="I261" s="239" t="str">
        <f>IF(ISBLANK(input!I300),"",input!I300)</f>
        <v/>
      </c>
      <c r="N261" s="262" t="s">
        <v>4249</v>
      </c>
    </row>
    <row r="262" spans="1:14" ht="12.75" customHeight="1" x14ac:dyDescent="0.2">
      <c r="A262" s="17"/>
      <c r="B262" s="17" t="s">
        <v>751</v>
      </c>
      <c r="C262" s="17"/>
      <c r="D262" s="17"/>
      <c r="E262" s="17"/>
      <c r="F262" s="17"/>
      <c r="G262" s="17" t="s">
        <v>752</v>
      </c>
      <c r="H262" s="17" t="s">
        <v>297</v>
      </c>
      <c r="I262" s="239" t="str">
        <f>IF(ISBLANK(input!I301),"",input!I301)</f>
        <v/>
      </c>
      <c r="N262" s="262" t="s">
        <v>4249</v>
      </c>
    </row>
    <row r="263" spans="1:14" ht="12.75" customHeight="1" x14ac:dyDescent="0.2">
      <c r="A263" s="17"/>
      <c r="B263" s="17" t="s">
        <v>709</v>
      </c>
      <c r="C263" s="17"/>
      <c r="D263" s="17"/>
      <c r="E263" s="17"/>
      <c r="F263" s="17"/>
      <c r="G263" s="17" t="s">
        <v>753</v>
      </c>
      <c r="H263" s="17" t="s">
        <v>297</v>
      </c>
      <c r="I263" s="239" t="str">
        <f>IF(ISBLANK(input!I302),"",input!I302)</f>
        <v/>
      </c>
      <c r="N263" s="262" t="s">
        <v>4249</v>
      </c>
    </row>
    <row r="264" spans="1:14" ht="12.75" customHeight="1" x14ac:dyDescent="0.2">
      <c r="A264" s="17"/>
      <c r="B264" s="17" t="s">
        <v>707</v>
      </c>
      <c r="C264" s="17"/>
      <c r="D264" s="17"/>
      <c r="E264" s="17"/>
      <c r="F264" s="17"/>
      <c r="G264" s="17" t="s">
        <v>754</v>
      </c>
      <c r="H264" s="17" t="s">
        <v>297</v>
      </c>
      <c r="I264" s="239" t="str">
        <f>IF(ISBLANK(input!I303),"",input!I303)</f>
        <v/>
      </c>
      <c r="N264" s="262" t="s">
        <v>4249</v>
      </c>
    </row>
    <row r="265" spans="1:14" ht="12.75" customHeight="1" x14ac:dyDescent="0.2">
      <c r="A265" s="17"/>
      <c r="B265" s="17" t="s">
        <v>711</v>
      </c>
      <c r="C265" s="17"/>
      <c r="D265" s="17"/>
      <c r="E265" s="17"/>
      <c r="F265" s="17"/>
      <c r="G265" s="17" t="s">
        <v>755</v>
      </c>
      <c r="H265" s="17" t="s">
        <v>700</v>
      </c>
      <c r="I265" s="239" t="str">
        <f>IF(ISBLANK(input!I304),"",input!I304)</f>
        <v/>
      </c>
      <c r="N265" s="262" t="s">
        <v>4249</v>
      </c>
    </row>
    <row r="266" spans="1:14" ht="12.75" customHeight="1" x14ac:dyDescent="0.2">
      <c r="A266" s="567"/>
      <c r="B266" s="578" t="s">
        <v>713</v>
      </c>
      <c r="C266" s="567"/>
      <c r="D266" s="567"/>
      <c r="E266" s="567"/>
      <c r="F266" s="567"/>
      <c r="G266" s="567" t="s">
        <v>756</v>
      </c>
      <c r="H266" s="568" t="s">
        <v>715</v>
      </c>
      <c r="I266" s="239" t="str">
        <f>IF(ISBLANK(input!I305),"",input!I305)</f>
        <v/>
      </c>
      <c r="N266" s="262" t="s">
        <v>4249</v>
      </c>
    </row>
    <row r="267" spans="1:14" ht="12.75" customHeight="1" x14ac:dyDescent="0.2">
      <c r="A267" s="567"/>
      <c r="B267" s="578" t="s">
        <v>717</v>
      </c>
      <c r="C267" s="567"/>
      <c r="D267" s="567"/>
      <c r="E267" s="567"/>
      <c r="F267" s="567"/>
      <c r="G267" s="567" t="s">
        <v>757</v>
      </c>
      <c r="H267" s="568" t="s">
        <v>715</v>
      </c>
      <c r="I267" s="239" t="str">
        <f>IF(ISBLANK(input!I306),"",input!I306)</f>
        <v/>
      </c>
      <c r="N267" s="262" t="s">
        <v>4249</v>
      </c>
    </row>
    <row r="268" spans="1:14" ht="12.75" customHeight="1" x14ac:dyDescent="0.2">
      <c r="A268" s="567"/>
      <c r="B268" s="578" t="s">
        <v>719</v>
      </c>
      <c r="C268" s="567"/>
      <c r="D268" s="567"/>
      <c r="E268" s="567"/>
      <c r="F268" s="567"/>
      <c r="G268" s="567" t="s">
        <v>758</v>
      </c>
      <c r="H268" s="568" t="s">
        <v>715</v>
      </c>
      <c r="I268" s="239" t="str">
        <f>IF(ISBLANK(input!I307),"",input!I307)</f>
        <v/>
      </c>
      <c r="N268" s="262" t="s">
        <v>4249</v>
      </c>
    </row>
    <row r="269" spans="1:14" ht="12.75" customHeight="1" x14ac:dyDescent="0.2">
      <c r="A269" s="38"/>
      <c r="B269" s="173" t="s">
        <v>721</v>
      </c>
      <c r="C269" s="972"/>
      <c r="D269" s="17"/>
      <c r="E269" s="17"/>
      <c r="F269" s="17"/>
      <c r="G269" s="146" t="s">
        <v>759</v>
      </c>
      <c r="H269" s="38" t="s">
        <v>723</v>
      </c>
      <c r="I269" s="239" t="str">
        <f>IF(ISBLANK(input!I308),"",input!I308)</f>
        <v/>
      </c>
      <c r="N269" s="262" t="s">
        <v>4249</v>
      </c>
    </row>
    <row r="270" spans="1:14" ht="12.75" customHeight="1" x14ac:dyDescent="0.2">
      <c r="A270" s="38"/>
      <c r="B270" s="173" t="s">
        <v>721</v>
      </c>
      <c r="C270" s="972"/>
      <c r="D270" s="17"/>
      <c r="E270" s="17"/>
      <c r="F270" s="17"/>
      <c r="G270" s="146" t="s">
        <v>760</v>
      </c>
      <c r="H270" s="38" t="s">
        <v>723</v>
      </c>
      <c r="I270" s="239" t="str">
        <f>IF(ISBLANK(input!I309),"",input!I309)</f>
        <v/>
      </c>
      <c r="N270" s="262" t="s">
        <v>4249</v>
      </c>
    </row>
    <row r="271" spans="1:14" ht="12.75" customHeight="1" x14ac:dyDescent="0.2">
      <c r="A271" s="38"/>
      <c r="B271" s="173" t="s">
        <v>721</v>
      </c>
      <c r="C271" s="972"/>
      <c r="D271" s="17"/>
      <c r="E271" s="17"/>
      <c r="F271" s="17"/>
      <c r="G271" s="146" t="s">
        <v>761</v>
      </c>
      <c r="H271" s="38" t="s">
        <v>723</v>
      </c>
      <c r="I271" s="239" t="str">
        <f>IF(ISBLANK(input!I310),"",input!I310)</f>
        <v/>
      </c>
      <c r="N271" s="262" t="s">
        <v>4249</v>
      </c>
    </row>
    <row r="272" spans="1:14" ht="12.75" customHeight="1" x14ac:dyDescent="0.2">
      <c r="A272" s="38"/>
      <c r="B272" s="173" t="s">
        <v>730</v>
      </c>
      <c r="C272" s="972"/>
      <c r="D272" s="17"/>
      <c r="E272" s="17"/>
      <c r="F272" s="17"/>
      <c r="G272" s="146" t="s">
        <v>762</v>
      </c>
      <c r="H272" s="38" t="s">
        <v>586</v>
      </c>
      <c r="I272" s="239" t="str">
        <f>IF(ISBLANK(input!I311),"",input!I311)</f>
        <v/>
      </c>
      <c r="N272" s="262" t="s">
        <v>4249</v>
      </c>
    </row>
    <row r="273" spans="1:14" ht="12.75" customHeight="1" x14ac:dyDescent="0.2">
      <c r="A273" s="38"/>
      <c r="B273" s="173" t="s">
        <v>730</v>
      </c>
      <c r="C273" s="972"/>
      <c r="D273" s="17"/>
      <c r="E273" s="17"/>
      <c r="F273" s="17"/>
      <c r="G273" s="146" t="s">
        <v>763</v>
      </c>
      <c r="H273" s="38" t="s">
        <v>723</v>
      </c>
      <c r="I273" s="239" t="str">
        <f>IF(ISBLANK(input!I312),"",input!I312)</f>
        <v/>
      </c>
      <c r="N273" s="262" t="s">
        <v>4249</v>
      </c>
    </row>
    <row r="274" spans="1:14" ht="12.75" customHeight="1" x14ac:dyDescent="0.2">
      <c r="A274" s="38"/>
      <c r="B274" s="173" t="s">
        <v>732</v>
      </c>
      <c r="C274" s="972"/>
      <c r="D274" s="17"/>
      <c r="E274" s="17"/>
      <c r="F274" s="17"/>
      <c r="G274" s="146" t="s">
        <v>764</v>
      </c>
      <c r="H274" s="38" t="s">
        <v>723</v>
      </c>
      <c r="I274" s="239" t="str">
        <f>IF(ISBLANK(input!I313),"",input!I313)</f>
        <v/>
      </c>
      <c r="N274" s="262" t="s">
        <v>4249</v>
      </c>
    </row>
    <row r="275" spans="1:14" ht="12.75" customHeight="1" x14ac:dyDescent="0.2">
      <c r="A275" s="567"/>
      <c r="B275" s="578" t="s">
        <v>734</v>
      </c>
      <c r="C275" s="567"/>
      <c r="D275" s="567"/>
      <c r="E275" s="567"/>
      <c r="F275" s="567"/>
      <c r="G275" s="568" t="s">
        <v>765</v>
      </c>
      <c r="H275" s="568" t="s">
        <v>736</v>
      </c>
      <c r="I275" s="239" t="str">
        <f>IF(ISBLANK(input!I314),"",input!I314)</f>
        <v/>
      </c>
      <c r="N275" s="262" t="s">
        <v>4249</v>
      </c>
    </row>
    <row r="276" spans="1:14" ht="12.75" customHeight="1" x14ac:dyDescent="0.2">
      <c r="A276" s="17"/>
      <c r="B276" s="17"/>
      <c r="C276" s="17"/>
      <c r="D276" s="17"/>
      <c r="E276" s="17"/>
      <c r="F276" s="17"/>
      <c r="G276" s="17"/>
      <c r="H276" s="17"/>
      <c r="I276" s="239" t="str">
        <f>IF(ISBLANK(input!I315),"",input!I315)</f>
        <v/>
      </c>
      <c r="N276" s="262" t="s">
        <v>4249</v>
      </c>
    </row>
    <row r="277" spans="1:14" ht="12.75" customHeight="1" x14ac:dyDescent="0.2">
      <c r="A277" s="3" t="s">
        <v>766</v>
      </c>
      <c r="B277" s="17"/>
      <c r="C277" s="17"/>
      <c r="D277" s="17"/>
      <c r="E277" s="17"/>
      <c r="F277" s="17"/>
      <c r="G277" s="38"/>
      <c r="H277" s="149"/>
      <c r="I277" s="239" t="str">
        <f>IF(ISBLANK(input!I316),"",input!I316)</f>
        <v/>
      </c>
      <c r="N277" s="262" t="s">
        <v>4249</v>
      </c>
    </row>
    <row r="278" spans="1:14" ht="12.75" customHeight="1" x14ac:dyDescent="0.2">
      <c r="A278" s="567"/>
      <c r="B278" s="567" t="s">
        <v>767</v>
      </c>
      <c r="C278" s="567"/>
      <c r="D278" s="567"/>
      <c r="E278" s="567"/>
      <c r="F278" s="567"/>
      <c r="G278" s="568" t="s">
        <v>768</v>
      </c>
      <c r="H278" s="568" t="s">
        <v>296</v>
      </c>
      <c r="I278" s="239" t="str">
        <f>IF(ISBLANK(input!I317),"",input!I317)</f>
        <v/>
      </c>
      <c r="N278" s="262" t="s">
        <v>4249</v>
      </c>
    </row>
    <row r="279" spans="1:14" ht="12.75" customHeight="1" x14ac:dyDescent="0.2">
      <c r="A279" s="228"/>
      <c r="B279" s="228" t="s">
        <v>769</v>
      </c>
      <c r="C279" s="228"/>
      <c r="D279" s="228"/>
      <c r="E279" s="228"/>
      <c r="F279" s="228"/>
      <c r="G279" s="216" t="s">
        <v>770</v>
      </c>
      <c r="H279" s="216" t="s">
        <v>296</v>
      </c>
      <c r="I279" s="239" t="str">
        <f>IF(ISBLANK(input!I318),"",input!I318)</f>
        <v/>
      </c>
      <c r="N279" s="262" t="s">
        <v>4249</v>
      </c>
    </row>
    <row r="280" spans="1:14" ht="12.75" customHeight="1" x14ac:dyDescent="0.2">
      <c r="A280" s="228"/>
      <c r="B280" s="228" t="s">
        <v>772</v>
      </c>
      <c r="C280" s="228"/>
      <c r="D280" s="228"/>
      <c r="E280" s="228"/>
      <c r="F280" s="228"/>
      <c r="G280" s="216" t="s">
        <v>773</v>
      </c>
      <c r="H280" s="216" t="s">
        <v>296</v>
      </c>
      <c r="I280" s="239" t="str">
        <f>IF(ISBLANK(input!I319),"",input!I319)</f>
        <v/>
      </c>
      <c r="N280" s="262" t="s">
        <v>4249</v>
      </c>
    </row>
    <row r="281" spans="1:14" ht="12.75" customHeight="1" x14ac:dyDescent="0.2">
      <c r="A281" s="228"/>
      <c r="B281" s="228" t="s">
        <v>774</v>
      </c>
      <c r="C281" s="228"/>
      <c r="D281" s="228"/>
      <c r="E281" s="228"/>
      <c r="F281" s="228"/>
      <c r="G281" s="216" t="s">
        <v>775</v>
      </c>
      <c r="H281" s="216" t="s">
        <v>296</v>
      </c>
      <c r="I281" s="239" t="str">
        <f>IF(ISBLANK(input!I320),"",input!I320)</f>
        <v/>
      </c>
      <c r="N281" s="262" t="s">
        <v>4249</v>
      </c>
    </row>
    <row r="282" spans="1:14" ht="12.75" customHeight="1" x14ac:dyDescent="0.2">
      <c r="A282" s="228"/>
      <c r="B282" s="228" t="s">
        <v>776</v>
      </c>
      <c r="C282" s="228"/>
      <c r="D282" s="228"/>
      <c r="E282" s="228"/>
      <c r="F282" s="228"/>
      <c r="G282" s="216" t="s">
        <v>777</v>
      </c>
      <c r="H282" s="216" t="s">
        <v>296</v>
      </c>
      <c r="I282" s="239" t="str">
        <f>IF(ISBLANK(input!I321),"",input!I321)</f>
        <v/>
      </c>
      <c r="N282" s="262" t="s">
        <v>4249</v>
      </c>
    </row>
    <row r="283" spans="1:14" ht="12.75" customHeight="1" x14ac:dyDescent="0.2">
      <c r="A283" s="228"/>
      <c r="B283" s="228" t="s">
        <v>778</v>
      </c>
      <c r="C283" s="228"/>
      <c r="D283" s="228"/>
      <c r="E283" s="228"/>
      <c r="F283" s="228"/>
      <c r="G283" s="216" t="s">
        <v>779</v>
      </c>
      <c r="H283" s="216" t="s">
        <v>296</v>
      </c>
      <c r="I283" s="239" t="str">
        <f>IF(ISBLANK(input!I322),"",input!I322)</f>
        <v/>
      </c>
      <c r="N283" s="262" t="s">
        <v>4249</v>
      </c>
    </row>
    <row r="284" spans="1:14" ht="12.75" customHeight="1" x14ac:dyDescent="0.2">
      <c r="A284" s="228"/>
      <c r="B284" s="228" t="s">
        <v>780</v>
      </c>
      <c r="C284" s="228"/>
      <c r="D284" s="228"/>
      <c r="E284" s="228"/>
      <c r="F284" s="228"/>
      <c r="G284" s="216" t="s">
        <v>781</v>
      </c>
      <c r="H284" s="216" t="s">
        <v>296</v>
      </c>
      <c r="I284" s="239" t="str">
        <f>IF(ISBLANK(input!I323),"",input!I323)</f>
        <v/>
      </c>
      <c r="N284" s="262" t="s">
        <v>4249</v>
      </c>
    </row>
    <row r="285" spans="1:14" ht="12.75" customHeight="1" x14ac:dyDescent="0.2">
      <c r="A285" s="228"/>
      <c r="B285" s="228" t="s">
        <v>782</v>
      </c>
      <c r="C285" s="228"/>
      <c r="D285" s="228"/>
      <c r="E285" s="228"/>
      <c r="F285" s="228"/>
      <c r="G285" s="216" t="s">
        <v>783</v>
      </c>
      <c r="H285" s="579" t="s">
        <v>784</v>
      </c>
      <c r="I285" s="239" t="str">
        <f>IF(ISBLANK(input!I324),"",input!I324)</f>
        <v/>
      </c>
      <c r="N285" s="262" t="s">
        <v>4249</v>
      </c>
    </row>
    <row r="286" spans="1:14" ht="12.75" customHeight="1" x14ac:dyDescent="0.2">
      <c r="A286" s="228"/>
      <c r="B286" s="228" t="s">
        <v>786</v>
      </c>
      <c r="C286" s="228"/>
      <c r="D286" s="228"/>
      <c r="E286" s="228"/>
      <c r="F286" s="228"/>
      <c r="G286" s="216" t="s">
        <v>787</v>
      </c>
      <c r="H286" s="579" t="s">
        <v>784</v>
      </c>
      <c r="I286" s="239" t="str">
        <f>IF(ISBLANK(input!I325),"",input!I325)</f>
        <v/>
      </c>
      <c r="N286" s="262" t="s">
        <v>4249</v>
      </c>
    </row>
    <row r="287" spans="1:14" ht="12.75" customHeight="1" x14ac:dyDescent="0.2">
      <c r="A287" s="228"/>
      <c r="B287" s="228" t="s">
        <v>788</v>
      </c>
      <c r="C287" s="228"/>
      <c r="D287" s="228"/>
      <c r="E287" s="228"/>
      <c r="F287" s="228"/>
      <c r="G287" s="228" t="s">
        <v>789</v>
      </c>
      <c r="H287" s="228" t="s">
        <v>296</v>
      </c>
      <c r="I287" s="239" t="str">
        <f>IF(ISBLANK(input!I326),"",input!I326)</f>
        <v/>
      </c>
      <c r="N287" s="262" t="s">
        <v>4249</v>
      </c>
    </row>
    <row r="288" spans="1:14" ht="12.75" customHeight="1" x14ac:dyDescent="0.2">
      <c r="A288" s="216"/>
      <c r="B288" s="216" t="s">
        <v>790</v>
      </c>
      <c r="C288" s="228"/>
      <c r="D288" s="228"/>
      <c r="E288" s="579"/>
      <c r="F288" s="579"/>
      <c r="G288" s="228" t="s">
        <v>791</v>
      </c>
      <c r="H288" s="216" t="s">
        <v>296</v>
      </c>
      <c r="I288" s="239" t="str">
        <f>IF(ISBLANK(input!I327),"",input!I327)</f>
        <v/>
      </c>
      <c r="N288" s="262" t="s">
        <v>4249</v>
      </c>
    </row>
    <row r="289" spans="1:14" ht="12.75" customHeight="1" x14ac:dyDescent="0.2">
      <c r="A289" s="228"/>
      <c r="B289" s="228" t="s">
        <v>792</v>
      </c>
      <c r="C289" s="228"/>
      <c r="D289" s="228"/>
      <c r="E289" s="228"/>
      <c r="F289" s="228"/>
      <c r="G289" s="228" t="s">
        <v>793</v>
      </c>
      <c r="H289" s="216" t="s">
        <v>794</v>
      </c>
      <c r="I289" s="239" t="str">
        <f>IF(ISBLANK(input!I328),"",input!I328)</f>
        <v/>
      </c>
      <c r="N289" s="262" t="s">
        <v>4249</v>
      </c>
    </row>
    <row r="290" spans="1:14" ht="12.75" customHeight="1" x14ac:dyDescent="0.2">
      <c r="A290" s="216"/>
      <c r="B290" s="216" t="s">
        <v>795</v>
      </c>
      <c r="C290" s="579"/>
      <c r="D290" s="579"/>
      <c r="E290" s="228"/>
      <c r="F290" s="228"/>
      <c r="G290" s="228" t="s">
        <v>796</v>
      </c>
      <c r="H290" s="216" t="s">
        <v>794</v>
      </c>
      <c r="I290" s="239" t="str">
        <f>IF(ISBLANK(input!I329),"",input!I329)</f>
        <v/>
      </c>
      <c r="N290" s="262" t="s">
        <v>4249</v>
      </c>
    </row>
    <row r="291" spans="1:14" ht="12.75" customHeight="1" x14ac:dyDescent="0.2">
      <c r="A291" s="567"/>
      <c r="B291" s="567" t="s">
        <v>797</v>
      </c>
      <c r="C291" s="567"/>
      <c r="D291" s="567"/>
      <c r="E291" s="567"/>
      <c r="F291" s="567"/>
      <c r="G291" s="567" t="s">
        <v>798</v>
      </c>
      <c r="H291" s="567" t="s">
        <v>799</v>
      </c>
      <c r="I291" s="239" t="str">
        <f>IF(ISBLANK(input!I330),"",input!I330)</f>
        <v/>
      </c>
      <c r="N291" s="262" t="s">
        <v>4249</v>
      </c>
    </row>
    <row r="292" spans="1:14" ht="12.75" customHeight="1" x14ac:dyDescent="0.2">
      <c r="A292" s="567"/>
      <c r="B292" s="567" t="s">
        <v>801</v>
      </c>
      <c r="C292" s="567"/>
      <c r="D292" s="567"/>
      <c r="E292" s="567"/>
      <c r="F292" s="567"/>
      <c r="G292" s="568" t="s">
        <v>802</v>
      </c>
      <c r="H292" s="568" t="s">
        <v>287</v>
      </c>
      <c r="I292" s="239" t="str">
        <f>IF(ISBLANK(input!I331),"",input!I331)</f>
        <v/>
      </c>
      <c r="N292" s="262" t="s">
        <v>4249</v>
      </c>
    </row>
    <row r="293" spans="1:14" ht="12.75" customHeight="1" x14ac:dyDescent="0.2">
      <c r="A293" s="567"/>
      <c r="B293" s="567" t="s">
        <v>803</v>
      </c>
      <c r="C293" s="567"/>
      <c r="D293" s="567"/>
      <c r="E293" s="567"/>
      <c r="F293" s="567"/>
      <c r="G293" s="568" t="s">
        <v>804</v>
      </c>
      <c r="H293" s="567" t="s">
        <v>805</v>
      </c>
      <c r="I293" s="239" t="str">
        <f>IF(ISBLANK(input!I332),"",input!I332)</f>
        <v/>
      </c>
      <c r="N293" s="262" t="s">
        <v>4249</v>
      </c>
    </row>
    <row r="294" spans="1:14" ht="12.75" customHeight="1" x14ac:dyDescent="0.2">
      <c r="A294" s="567"/>
      <c r="B294" s="567" t="s">
        <v>807</v>
      </c>
      <c r="C294" s="567"/>
      <c r="D294" s="567"/>
      <c r="E294" s="567"/>
      <c r="F294" s="567"/>
      <c r="G294" s="568" t="s">
        <v>808</v>
      </c>
      <c r="H294" s="568" t="s">
        <v>794</v>
      </c>
      <c r="I294" s="239" t="str">
        <f>IF(ISBLANK(input!I333),"",input!I333)</f>
        <v/>
      </c>
      <c r="N294" s="262" t="s">
        <v>4249</v>
      </c>
    </row>
    <row r="295" spans="1:14" ht="12.75" customHeight="1" x14ac:dyDescent="0.2">
      <c r="A295" s="567"/>
      <c r="B295" s="567" t="s">
        <v>809</v>
      </c>
      <c r="C295" s="567"/>
      <c r="D295" s="567"/>
      <c r="E295" s="567"/>
      <c r="F295" s="567"/>
      <c r="G295" s="567" t="s">
        <v>810</v>
      </c>
      <c r="H295" s="567" t="s">
        <v>811</v>
      </c>
      <c r="I295" s="239" t="str">
        <f>IF(ISBLANK(input!I334),"",input!I334)</f>
        <v/>
      </c>
      <c r="N295" s="262" t="s">
        <v>4249</v>
      </c>
    </row>
    <row r="296" spans="1:14" ht="12.75" customHeight="1" x14ac:dyDescent="0.2">
      <c r="A296" s="567"/>
      <c r="B296" s="567" t="s">
        <v>813</v>
      </c>
      <c r="C296" s="567"/>
      <c r="D296" s="567"/>
      <c r="E296" s="567"/>
      <c r="F296" s="567"/>
      <c r="G296" s="567" t="s">
        <v>814</v>
      </c>
      <c r="H296" s="567" t="s">
        <v>815</v>
      </c>
      <c r="I296" s="239" t="str">
        <f>IF(ISBLANK(input!I335),"",input!I335)</f>
        <v/>
      </c>
      <c r="N296" s="262" t="s">
        <v>4249</v>
      </c>
    </row>
    <row r="297" spans="1:14" ht="12.75" customHeight="1" x14ac:dyDescent="0.2">
      <c r="A297" s="567"/>
      <c r="B297" s="567"/>
      <c r="C297" s="567"/>
      <c r="D297" s="567"/>
      <c r="E297" s="567"/>
      <c r="F297" s="567"/>
      <c r="G297" s="567"/>
      <c r="H297" s="567"/>
      <c r="I297" s="239" t="str">
        <f>IF(ISBLANK(input!I336),"",input!I336)</f>
        <v/>
      </c>
      <c r="N297" s="262" t="s">
        <v>4249</v>
      </c>
    </row>
    <row r="298" spans="1:14" ht="12.75" customHeight="1" x14ac:dyDescent="0.2">
      <c r="A298" s="587" t="s">
        <v>817</v>
      </c>
      <c r="B298" s="587"/>
      <c r="C298" s="587"/>
      <c r="D298" s="587"/>
      <c r="E298" s="587"/>
      <c r="F298" s="587"/>
      <c r="G298" s="587"/>
      <c r="H298" s="587"/>
      <c r="I298" s="239" t="str">
        <f>IF(ISBLANK(input!I337),"",input!I337)</f>
        <v/>
      </c>
      <c r="N298" s="262" t="s">
        <v>4249</v>
      </c>
    </row>
    <row r="299" spans="1:14" ht="12.75" customHeight="1" x14ac:dyDescent="0.2">
      <c r="A299" s="567"/>
      <c r="B299" s="567" t="s">
        <v>818</v>
      </c>
      <c r="C299" s="567"/>
      <c r="D299" s="567"/>
      <c r="E299" s="567"/>
      <c r="F299" s="585"/>
      <c r="G299" s="782" t="s">
        <v>819</v>
      </c>
      <c r="H299" s="568" t="s">
        <v>283</v>
      </c>
      <c r="I299" s="239" t="str">
        <f>IF(ISBLANK(input!I338),"",input!I338)</f>
        <v/>
      </c>
      <c r="N299" s="262" t="s">
        <v>4249</v>
      </c>
    </row>
    <row r="300" spans="1:14" ht="12.75" customHeight="1" x14ac:dyDescent="0.2">
      <c r="A300" s="567"/>
      <c r="B300" s="567" t="s">
        <v>821</v>
      </c>
      <c r="C300" s="567"/>
      <c r="D300" s="567"/>
      <c r="E300" s="567"/>
      <c r="F300" s="585"/>
      <c r="G300" s="782" t="s">
        <v>822</v>
      </c>
      <c r="H300" s="568" t="s">
        <v>287</v>
      </c>
      <c r="I300" s="239" t="str">
        <f>IF(ISBLANK(input!I339),"",input!I339)</f>
        <v/>
      </c>
      <c r="N300" s="262" t="s">
        <v>4249</v>
      </c>
    </row>
    <row r="301" spans="1:14" ht="12.75" customHeight="1" x14ac:dyDescent="0.2">
      <c r="A301" s="567"/>
      <c r="B301" s="567" t="s">
        <v>824</v>
      </c>
      <c r="C301" s="567"/>
      <c r="D301" s="567"/>
      <c r="E301" s="567"/>
      <c r="F301" s="585"/>
      <c r="G301" s="782" t="s">
        <v>825</v>
      </c>
      <c r="H301" s="568" t="s">
        <v>283</v>
      </c>
      <c r="I301" s="239" t="str">
        <f>IF(ISBLANK(input!I340),"",input!I340)</f>
        <v/>
      </c>
      <c r="N301" s="262" t="s">
        <v>4249</v>
      </c>
    </row>
    <row r="302" spans="1:14" ht="12.75" customHeight="1" x14ac:dyDescent="0.2">
      <c r="A302" s="567"/>
      <c r="B302" s="567" t="s">
        <v>826</v>
      </c>
      <c r="C302" s="567"/>
      <c r="D302" s="567"/>
      <c r="E302" s="567"/>
      <c r="F302" s="585"/>
      <c r="G302" s="782" t="s">
        <v>827</v>
      </c>
      <c r="H302" s="568" t="s">
        <v>287</v>
      </c>
      <c r="I302" s="239" t="str">
        <f>IF(ISBLANK(input!I341),"",input!I341)</f>
        <v/>
      </c>
      <c r="N302" s="262" t="s">
        <v>4249</v>
      </c>
    </row>
    <row r="303" spans="1:14" ht="12.75" customHeight="1" x14ac:dyDescent="0.2">
      <c r="A303" s="567"/>
      <c r="B303" s="567" t="s">
        <v>828</v>
      </c>
      <c r="C303" s="567"/>
      <c r="D303" s="567"/>
      <c r="E303" s="567"/>
      <c r="F303" s="585"/>
      <c r="G303" s="782" t="s">
        <v>829</v>
      </c>
      <c r="H303" s="567" t="s">
        <v>830</v>
      </c>
      <c r="I303" s="239" t="str">
        <f>IF(ISBLANK(input!I342),"",input!I342)</f>
        <v/>
      </c>
      <c r="N303" s="262" t="s">
        <v>4249</v>
      </c>
    </row>
    <row r="304" spans="1:14" ht="12.75" customHeight="1" x14ac:dyDescent="0.2">
      <c r="A304" s="567"/>
      <c r="B304" s="567" t="s">
        <v>831</v>
      </c>
      <c r="C304" s="567"/>
      <c r="D304" s="567"/>
      <c r="E304" s="567"/>
      <c r="F304" s="585"/>
      <c r="G304" s="782" t="s">
        <v>832</v>
      </c>
      <c r="H304" s="568" t="s">
        <v>287</v>
      </c>
      <c r="I304" s="239" t="str">
        <f>IF(ISBLANK(input!I343),"",input!I343)</f>
        <v/>
      </c>
      <c r="N304" s="262" t="s">
        <v>4249</v>
      </c>
    </row>
    <row r="305" spans="1:25" ht="12.75" customHeight="1" x14ac:dyDescent="0.2">
      <c r="A305" s="567"/>
      <c r="B305" s="567" t="s">
        <v>833</v>
      </c>
      <c r="C305" s="567"/>
      <c r="D305" s="567"/>
      <c r="E305" s="567"/>
      <c r="F305" s="578"/>
      <c r="G305" s="782" t="s">
        <v>834</v>
      </c>
      <c r="H305" s="567" t="s">
        <v>283</v>
      </c>
      <c r="I305" s="239" t="str">
        <f>IF(ISBLANK(input!I344),"",input!I344)</f>
        <v/>
      </c>
      <c r="N305" s="262" t="s">
        <v>4249</v>
      </c>
    </row>
    <row r="306" spans="1:25" s="11" customFormat="1" ht="12.75" customHeight="1" x14ac:dyDescent="0.2">
      <c r="A306" s="567"/>
      <c r="B306" s="567" t="s">
        <v>836</v>
      </c>
      <c r="C306" s="567"/>
      <c r="D306" s="567"/>
      <c r="E306" s="567"/>
      <c r="F306" s="578"/>
      <c r="G306" s="782" t="s">
        <v>837</v>
      </c>
      <c r="H306" s="568" t="s">
        <v>287</v>
      </c>
      <c r="I306" s="239" t="str">
        <f>IF(ISBLANK(input!I345),"",input!I345)</f>
        <v/>
      </c>
      <c r="J306" s="837"/>
      <c r="K306" s="838"/>
      <c r="L306" s="836"/>
      <c r="M306" s="836"/>
      <c r="N306" s="215" t="s">
        <v>4249</v>
      </c>
      <c r="O306" s="215"/>
      <c r="P306" s="215"/>
      <c r="Q306" s="215"/>
      <c r="R306" s="228"/>
      <c r="S306" s="228"/>
      <c r="T306" s="228"/>
      <c r="U306" s="228"/>
      <c r="V306" s="228"/>
      <c r="W306" s="228"/>
      <c r="X306" s="228"/>
      <c r="Y306" s="215"/>
    </row>
    <row r="307" spans="1:25" s="11" customFormat="1" ht="12.75" customHeight="1" x14ac:dyDescent="0.2">
      <c r="A307" s="567"/>
      <c r="B307" s="567" t="s">
        <v>838</v>
      </c>
      <c r="C307" s="567"/>
      <c r="D307" s="567"/>
      <c r="E307" s="567"/>
      <c r="F307" s="578"/>
      <c r="G307" s="782" t="s">
        <v>839</v>
      </c>
      <c r="H307" s="567" t="s">
        <v>830</v>
      </c>
      <c r="I307" s="239" t="str">
        <f>IF(ISBLANK(input!I346),"",input!I346)</f>
        <v/>
      </c>
      <c r="J307" s="837"/>
      <c r="K307" s="838"/>
      <c r="L307" s="836"/>
      <c r="M307" s="836"/>
      <c r="N307" s="215" t="s">
        <v>4249</v>
      </c>
      <c r="O307" s="215"/>
      <c r="P307" s="215"/>
      <c r="Q307" s="215"/>
      <c r="R307" s="228"/>
      <c r="S307" s="228"/>
      <c r="T307" s="228"/>
      <c r="U307" s="228"/>
      <c r="V307" s="228"/>
      <c r="W307" s="228"/>
      <c r="X307" s="228"/>
      <c r="Y307" s="215"/>
    </row>
    <row r="308" spans="1:25" ht="12.75" customHeight="1" x14ac:dyDescent="0.2">
      <c r="A308" s="567"/>
      <c r="B308" s="567" t="s">
        <v>840</v>
      </c>
      <c r="C308" s="567"/>
      <c r="D308" s="567"/>
      <c r="E308" s="567"/>
      <c r="F308" s="578"/>
      <c r="G308" s="782" t="s">
        <v>841</v>
      </c>
      <c r="H308" s="568" t="s">
        <v>287</v>
      </c>
      <c r="I308" s="239" t="str">
        <f>IF(ISBLANK(input!I347),"",input!I347)</f>
        <v/>
      </c>
      <c r="N308" s="262" t="s">
        <v>4249</v>
      </c>
    </row>
    <row r="309" spans="1:25" ht="12.75" customHeight="1" x14ac:dyDescent="0.2">
      <c r="A309" s="567"/>
      <c r="B309" s="567" t="s">
        <v>843</v>
      </c>
      <c r="C309" s="567"/>
      <c r="D309" s="567"/>
      <c r="E309" s="567"/>
      <c r="F309" s="578"/>
      <c r="G309" s="782" t="s">
        <v>844</v>
      </c>
      <c r="H309" s="567" t="s">
        <v>283</v>
      </c>
      <c r="I309" s="239" t="str">
        <f>IF(ISBLANK(input!I348),"",input!I348)</f>
        <v/>
      </c>
      <c r="N309" s="262" t="s">
        <v>4249</v>
      </c>
    </row>
    <row r="310" spans="1:25" ht="12.75" customHeight="1" x14ac:dyDescent="0.2">
      <c r="A310" s="567"/>
      <c r="B310" s="567" t="s">
        <v>845</v>
      </c>
      <c r="C310" s="567"/>
      <c r="D310" s="567"/>
      <c r="E310" s="567"/>
      <c r="F310" s="578"/>
      <c r="G310" s="782" t="s">
        <v>846</v>
      </c>
      <c r="H310" s="568" t="s">
        <v>287</v>
      </c>
      <c r="I310" s="239" t="str">
        <f>IF(ISBLANK(input!I349),"",input!I349)</f>
        <v/>
      </c>
      <c r="N310" s="262" t="s">
        <v>4249</v>
      </c>
    </row>
    <row r="311" spans="1:25" ht="12.75" customHeight="1" x14ac:dyDescent="0.2">
      <c r="A311" s="567"/>
      <c r="B311" s="567" t="s">
        <v>847</v>
      </c>
      <c r="C311" s="567"/>
      <c r="D311" s="567"/>
      <c r="E311" s="567"/>
      <c r="F311" s="585"/>
      <c r="G311" s="782" t="s">
        <v>848</v>
      </c>
      <c r="H311" s="567" t="s">
        <v>830</v>
      </c>
      <c r="I311" s="239" t="str">
        <f>IF(ISBLANK(input!I350),"",input!I350)</f>
        <v/>
      </c>
      <c r="N311" s="262" t="s">
        <v>4249</v>
      </c>
    </row>
    <row r="312" spans="1:25" ht="12.75" customHeight="1" x14ac:dyDescent="0.2">
      <c r="A312" s="567"/>
      <c r="B312" s="567" t="s">
        <v>850</v>
      </c>
      <c r="C312" s="567"/>
      <c r="D312" s="567"/>
      <c r="E312" s="567"/>
      <c r="F312" s="578"/>
      <c r="G312" s="782" t="s">
        <v>851</v>
      </c>
      <c r="H312" s="567" t="s">
        <v>283</v>
      </c>
      <c r="I312" s="239" t="str">
        <f>IF(ISBLANK(input!I351),"",input!I351)</f>
        <v/>
      </c>
      <c r="N312" s="262" t="s">
        <v>4249</v>
      </c>
    </row>
    <row r="313" spans="1:25" ht="12.75" customHeight="1" x14ac:dyDescent="0.2">
      <c r="A313" s="567"/>
      <c r="B313" s="567" t="s">
        <v>853</v>
      </c>
      <c r="C313" s="567"/>
      <c r="D313" s="567"/>
      <c r="E313" s="567"/>
      <c r="F313" s="578"/>
      <c r="G313" s="782" t="s">
        <v>854</v>
      </c>
      <c r="H313" s="568" t="s">
        <v>287</v>
      </c>
      <c r="I313" s="239" t="str">
        <f>IF(ISBLANK(input!I352),"",input!I352)</f>
        <v/>
      </c>
      <c r="N313" s="262" t="s">
        <v>4249</v>
      </c>
    </row>
    <row r="314" spans="1:25" ht="12.75" customHeight="1" x14ac:dyDescent="0.2">
      <c r="A314" s="567"/>
      <c r="B314" s="567" t="s">
        <v>855</v>
      </c>
      <c r="C314" s="567"/>
      <c r="D314" s="567"/>
      <c r="E314" s="567"/>
      <c r="F314" s="578"/>
      <c r="G314" s="782" t="s">
        <v>856</v>
      </c>
      <c r="H314" s="567" t="s">
        <v>830</v>
      </c>
      <c r="I314" s="239" t="str">
        <f>IF(ISBLANK(input!I353),"",input!I353)</f>
        <v/>
      </c>
      <c r="N314" s="262" t="s">
        <v>4249</v>
      </c>
    </row>
    <row r="315" spans="1:25" ht="12.75" customHeight="1" x14ac:dyDescent="0.2">
      <c r="A315" s="567"/>
      <c r="B315" s="567" t="s">
        <v>858</v>
      </c>
      <c r="C315" s="567"/>
      <c r="D315" s="567"/>
      <c r="E315" s="567"/>
      <c r="F315" s="578"/>
      <c r="G315" s="782" t="s">
        <v>859</v>
      </c>
      <c r="H315" s="568" t="s">
        <v>287</v>
      </c>
      <c r="I315" s="239" t="str">
        <f>IF(ISBLANK(input!I354),"",input!I354)</f>
        <v/>
      </c>
      <c r="N315" s="262" t="s">
        <v>4249</v>
      </c>
    </row>
    <row r="316" spans="1:25" ht="12.75" customHeight="1" x14ac:dyDescent="0.2">
      <c r="A316" s="567"/>
      <c r="B316" s="567"/>
      <c r="C316" s="567"/>
      <c r="D316" s="567"/>
      <c r="E316" s="567"/>
      <c r="F316" s="578"/>
      <c r="G316" s="782"/>
      <c r="H316" s="568"/>
      <c r="I316" s="239" t="str">
        <f>IF(ISBLANK(input!I355),"",input!I355)</f>
        <v/>
      </c>
      <c r="N316" s="262" t="s">
        <v>4249</v>
      </c>
    </row>
    <row r="317" spans="1:25" ht="12.75" customHeight="1" x14ac:dyDescent="0.2">
      <c r="A317" s="587" t="s">
        <v>861</v>
      </c>
      <c r="B317" s="567"/>
      <c r="C317" s="567"/>
      <c r="D317" s="567"/>
      <c r="E317" s="567"/>
      <c r="F317" s="578"/>
      <c r="G317" s="782"/>
      <c r="H317" s="568"/>
      <c r="I317" s="239" t="str">
        <f>IF(ISBLANK(input!I356),"",input!I356)</f>
        <v/>
      </c>
      <c r="N317" s="262" t="s">
        <v>4249</v>
      </c>
    </row>
    <row r="318" spans="1:25" ht="12.75" customHeight="1" x14ac:dyDescent="0.2">
      <c r="A318" s="567"/>
      <c r="B318" s="567"/>
      <c r="C318" s="567" t="s">
        <v>862</v>
      </c>
      <c r="D318" s="567"/>
      <c r="E318" s="567"/>
      <c r="F318" s="578"/>
      <c r="G318" s="567" t="s">
        <v>863</v>
      </c>
      <c r="H318" s="568" t="s">
        <v>864</v>
      </c>
      <c r="I318" s="239" t="str">
        <f>IF(ISBLANK(input!I357),"",input!I357)</f>
        <v/>
      </c>
      <c r="N318" s="262" t="s">
        <v>4249</v>
      </c>
    </row>
    <row r="319" spans="1:25" ht="12.75" customHeight="1" x14ac:dyDescent="0.2">
      <c r="A319" s="567"/>
      <c r="B319" s="567"/>
      <c r="C319" s="567" t="s">
        <v>865</v>
      </c>
      <c r="D319" s="567"/>
      <c r="E319" s="567"/>
      <c r="F319" s="578"/>
      <c r="G319" s="567" t="s">
        <v>866</v>
      </c>
      <c r="H319" s="568" t="s">
        <v>864</v>
      </c>
      <c r="I319" s="239" t="str">
        <f>IF(ISBLANK(input!I358),"",input!I358)</f>
        <v/>
      </c>
      <c r="N319" s="262" t="s">
        <v>4249</v>
      </c>
    </row>
    <row r="320" spans="1:25" ht="12.75" customHeight="1" x14ac:dyDescent="0.2">
      <c r="A320" s="567"/>
      <c r="B320" s="567"/>
      <c r="C320" s="567" t="s">
        <v>867</v>
      </c>
      <c r="D320" s="567"/>
      <c r="E320" s="567"/>
      <c r="F320" s="578"/>
      <c r="G320" s="567" t="s">
        <v>868</v>
      </c>
      <c r="H320" s="568" t="s">
        <v>864</v>
      </c>
      <c r="I320" s="239" t="str">
        <f>IF(ISBLANK(input!I359),"",input!I359)</f>
        <v/>
      </c>
      <c r="N320" s="262" t="s">
        <v>4249</v>
      </c>
    </row>
    <row r="321" spans="1:14" ht="12.75" customHeight="1" x14ac:dyDescent="0.2">
      <c r="A321" s="567"/>
      <c r="B321" s="567"/>
      <c r="C321" s="567" t="s">
        <v>869</v>
      </c>
      <c r="D321" s="567"/>
      <c r="E321" s="567"/>
      <c r="F321" s="578"/>
      <c r="G321" s="567" t="s">
        <v>870</v>
      </c>
      <c r="H321" s="568" t="s">
        <v>864</v>
      </c>
      <c r="I321" s="239" t="str">
        <f>IF(ISBLANK(input!I360),"",input!I360)</f>
        <v/>
      </c>
      <c r="N321" s="262" t="s">
        <v>4249</v>
      </c>
    </row>
    <row r="322" spans="1:14" ht="12.75" customHeight="1" x14ac:dyDescent="0.2">
      <c r="A322" s="567"/>
      <c r="B322" s="567"/>
      <c r="C322" s="567" t="s">
        <v>871</v>
      </c>
      <c r="D322" s="567"/>
      <c r="E322" s="567"/>
      <c r="F322" s="567"/>
      <c r="G322" s="567" t="s">
        <v>872</v>
      </c>
      <c r="H322" s="567" t="s">
        <v>873</v>
      </c>
      <c r="I322" s="239" t="str">
        <f>IF(ISBLANK(input!I361),"",input!I361)</f>
        <v/>
      </c>
      <c r="N322" s="262" t="s">
        <v>4249</v>
      </c>
    </row>
    <row r="323" spans="1:14" ht="12.75" customHeight="1" x14ac:dyDescent="0.2">
      <c r="A323" s="567"/>
      <c r="B323" s="567"/>
      <c r="C323" s="567" t="s">
        <v>874</v>
      </c>
      <c r="D323" s="567"/>
      <c r="E323" s="567"/>
      <c r="F323" s="578"/>
      <c r="G323" s="567" t="s">
        <v>875</v>
      </c>
      <c r="H323" s="568" t="s">
        <v>864</v>
      </c>
      <c r="I323" s="239" t="str">
        <f>IF(ISBLANK(input!I362),"",input!I362)</f>
        <v/>
      </c>
      <c r="N323" s="262" t="s">
        <v>4249</v>
      </c>
    </row>
    <row r="324" spans="1:14" ht="12.75" customHeight="1" x14ac:dyDescent="0.2">
      <c r="A324" s="567"/>
      <c r="B324" s="567"/>
      <c r="C324" s="567" t="s">
        <v>876</v>
      </c>
      <c r="D324" s="567"/>
      <c r="E324" s="567"/>
      <c r="F324" s="567"/>
      <c r="G324" s="567" t="s">
        <v>877</v>
      </c>
      <c r="H324" s="567" t="s">
        <v>873</v>
      </c>
      <c r="I324" s="239" t="str">
        <f>IF(ISBLANK(input!I363),"",input!I363)</f>
        <v/>
      </c>
      <c r="N324" s="262" t="s">
        <v>4249</v>
      </c>
    </row>
    <row r="325" spans="1:14" ht="12.75" customHeight="1" x14ac:dyDescent="0.2">
      <c r="A325" s="567"/>
      <c r="B325" s="567"/>
      <c r="C325" s="567" t="s">
        <v>878</v>
      </c>
      <c r="D325" s="567"/>
      <c r="E325" s="567"/>
      <c r="F325" s="578"/>
      <c r="G325" s="567" t="s">
        <v>879</v>
      </c>
      <c r="H325" s="568" t="s">
        <v>864</v>
      </c>
      <c r="I325" s="239" t="str">
        <f>IF(ISBLANK(input!I364),"",input!I364)</f>
        <v/>
      </c>
      <c r="N325" s="262" t="s">
        <v>4249</v>
      </c>
    </row>
    <row r="326" spans="1:14" ht="12.75" customHeight="1" x14ac:dyDescent="0.2">
      <c r="A326" s="578"/>
      <c r="B326" s="567"/>
      <c r="C326" s="567" t="s">
        <v>880</v>
      </c>
      <c r="D326" s="567"/>
      <c r="E326" s="567"/>
      <c r="F326" s="578"/>
      <c r="G326" s="567" t="s">
        <v>881</v>
      </c>
      <c r="H326" s="567" t="s">
        <v>873</v>
      </c>
      <c r="I326" s="239" t="str">
        <f>IF(ISBLANK(input!I365),"",input!I365)</f>
        <v/>
      </c>
      <c r="N326" s="262" t="s">
        <v>4249</v>
      </c>
    </row>
    <row r="327" spans="1:14" ht="12.75" customHeight="1" x14ac:dyDescent="0.2">
      <c r="A327" s="567"/>
      <c r="B327" s="567"/>
      <c r="C327" s="567" t="s">
        <v>882</v>
      </c>
      <c r="D327" s="567"/>
      <c r="E327" s="567"/>
      <c r="F327" s="578"/>
      <c r="G327" s="567" t="s">
        <v>883</v>
      </c>
      <c r="H327" s="568" t="s">
        <v>864</v>
      </c>
      <c r="I327" s="239" t="str">
        <f>IF(ISBLANK(input!I366),"",input!I366)</f>
        <v/>
      </c>
      <c r="N327" s="262" t="s">
        <v>4249</v>
      </c>
    </row>
    <row r="328" spans="1:14" ht="12.75" customHeight="1" x14ac:dyDescent="0.2">
      <c r="A328" s="578"/>
      <c r="B328" s="567"/>
      <c r="C328" s="567" t="s">
        <v>884</v>
      </c>
      <c r="D328" s="567"/>
      <c r="E328" s="567"/>
      <c r="F328" s="578"/>
      <c r="G328" s="567" t="s">
        <v>885</v>
      </c>
      <c r="H328" s="567" t="s">
        <v>873</v>
      </c>
      <c r="I328" s="239" t="str">
        <f>IF(ISBLANK(input!I367),"",input!I367)</f>
        <v/>
      </c>
      <c r="N328" s="262" t="s">
        <v>4249</v>
      </c>
    </row>
    <row r="329" spans="1:14" ht="12.75" customHeight="1" x14ac:dyDescent="0.2">
      <c r="A329" s="107"/>
      <c r="B329" s="108"/>
      <c r="C329" s="108"/>
      <c r="D329" s="108"/>
      <c r="E329" s="108"/>
      <c r="F329" s="108"/>
      <c r="G329" s="107"/>
      <c r="H329" s="107"/>
      <c r="I329" s="239" t="str">
        <f>IF(ISBLANK(input!I368),"",input!I368)</f>
        <v/>
      </c>
      <c r="N329" s="262" t="s">
        <v>4249</v>
      </c>
    </row>
    <row r="330" spans="1:14" ht="12.75" customHeight="1" x14ac:dyDescent="0.2">
      <c r="G330"/>
      <c r="H330"/>
      <c r="I330" s="239" t="str">
        <f>IF(ISBLANK(input!I369),"",input!I369)</f>
        <v/>
      </c>
      <c r="N330" s="262" t="s">
        <v>4249</v>
      </c>
    </row>
    <row r="331" spans="1:14" ht="12.75" customHeight="1" x14ac:dyDescent="0.2">
      <c r="A331" s="599"/>
      <c r="B331" s="599"/>
      <c r="C331" s="805"/>
      <c r="D331" s="805"/>
      <c r="E331" s="805"/>
      <c r="F331" s="805"/>
      <c r="G331" s="807"/>
      <c r="H331" s="808"/>
      <c r="I331" s="239" t="str">
        <f>IF(ISBLANK(input!I370),"",input!I370)</f>
        <v/>
      </c>
      <c r="N331" s="262" t="s">
        <v>4249</v>
      </c>
    </row>
    <row r="332" spans="1:14" ht="12.75" customHeight="1" x14ac:dyDescent="0.2">
      <c r="A332" s="567" t="s">
        <v>886</v>
      </c>
      <c r="B332" s="567"/>
      <c r="C332" s="585"/>
      <c r="D332" s="567"/>
      <c r="E332" s="567"/>
      <c r="F332" s="567"/>
      <c r="G332" s="782"/>
      <c r="H332" s="567"/>
      <c r="I332" s="239" t="str">
        <f>IF(ISBLANK(input!I371),"",input!I371)</f>
        <v/>
      </c>
      <c r="N332" s="262" t="s">
        <v>4249</v>
      </c>
    </row>
    <row r="333" spans="1:14" ht="12.75" customHeight="1" x14ac:dyDescent="0.2">
      <c r="A333" s="567"/>
      <c r="B333" s="567"/>
      <c r="C333" s="567" t="s">
        <v>887</v>
      </c>
      <c r="D333" s="567"/>
      <c r="E333" s="567"/>
      <c r="F333" s="567"/>
      <c r="G333" s="567" t="s">
        <v>888</v>
      </c>
      <c r="H333" s="567" t="s">
        <v>873</v>
      </c>
      <c r="I333" s="239" t="str">
        <f>IF(ISBLANK(input!I372),"",input!I372)</f>
        <v/>
      </c>
      <c r="N333" s="262" t="s">
        <v>4249</v>
      </c>
    </row>
    <row r="334" spans="1:14" ht="12.75" customHeight="1" x14ac:dyDescent="0.2">
      <c r="A334" s="567"/>
      <c r="B334" s="567"/>
      <c r="C334" s="567" t="s">
        <v>890</v>
      </c>
      <c r="D334" s="567"/>
      <c r="E334" s="567"/>
      <c r="F334" s="567"/>
      <c r="G334" s="567" t="s">
        <v>891</v>
      </c>
      <c r="H334" s="567" t="s">
        <v>864</v>
      </c>
      <c r="I334" s="239" t="str">
        <f>IF(ISBLANK(input!I373),"",input!I373)</f>
        <v/>
      </c>
      <c r="J334" s="228"/>
      <c r="N334" s="262" t="s">
        <v>4249</v>
      </c>
    </row>
    <row r="335" spans="1:14" ht="12.75" customHeight="1" x14ac:dyDescent="0.2">
      <c r="A335" s="567"/>
      <c r="B335" s="567"/>
      <c r="C335" s="567" t="s">
        <v>893</v>
      </c>
      <c r="D335" s="567"/>
      <c r="E335" s="567"/>
      <c r="F335" s="567"/>
      <c r="G335" s="567" t="s">
        <v>894</v>
      </c>
      <c r="H335" s="567" t="s">
        <v>895</v>
      </c>
      <c r="I335" s="239" t="str">
        <f>IF(ISBLANK(input!I374),"",input!I374)</f>
        <v/>
      </c>
      <c r="J335" s="411"/>
      <c r="N335" s="262" t="s">
        <v>4249</v>
      </c>
    </row>
    <row r="336" spans="1:14" ht="12.75" customHeight="1" x14ac:dyDescent="0.2">
      <c r="A336" s="567"/>
      <c r="B336" s="567"/>
      <c r="C336" s="567" t="s">
        <v>897</v>
      </c>
      <c r="D336" s="567"/>
      <c r="E336" s="567"/>
      <c r="F336" s="567"/>
      <c r="G336" s="567" t="s">
        <v>898</v>
      </c>
      <c r="H336" s="567" t="s">
        <v>873</v>
      </c>
      <c r="I336" s="239" t="str">
        <f>IF(ISBLANK(input!I375),"",input!I375)</f>
        <v/>
      </c>
      <c r="J336" s="228"/>
      <c r="N336" s="262" t="s">
        <v>4249</v>
      </c>
    </row>
    <row r="337" spans="1:14" ht="12.75" customHeight="1" x14ac:dyDescent="0.2">
      <c r="A337" s="567"/>
      <c r="B337" s="567"/>
      <c r="C337" s="567" t="s">
        <v>899</v>
      </c>
      <c r="D337" s="567"/>
      <c r="E337" s="567"/>
      <c r="F337" s="567"/>
      <c r="G337" s="567" t="s">
        <v>900</v>
      </c>
      <c r="H337" s="567" t="s">
        <v>296</v>
      </c>
      <c r="I337" s="239" t="str">
        <f>IF(ISBLANK(input!I376),"",input!I376)</f>
        <v/>
      </c>
      <c r="N337" s="262" t="s">
        <v>4249</v>
      </c>
    </row>
    <row r="338" spans="1:14" ht="12.75" customHeight="1" x14ac:dyDescent="0.2">
      <c r="A338" s="567"/>
      <c r="B338" s="567"/>
      <c r="C338" s="567" t="s">
        <v>901</v>
      </c>
      <c r="D338" s="567"/>
      <c r="E338" s="567"/>
      <c r="F338" s="567"/>
      <c r="G338" s="567" t="s">
        <v>902</v>
      </c>
      <c r="H338" s="567" t="s">
        <v>296</v>
      </c>
      <c r="I338" s="239" t="str">
        <f>IF(ISBLANK(input!I377),"",input!I377)</f>
        <v/>
      </c>
      <c r="N338" s="262" t="s">
        <v>4249</v>
      </c>
    </row>
    <row r="339" spans="1:14" ht="12.75" customHeight="1" x14ac:dyDescent="0.2">
      <c r="A339" s="587"/>
      <c r="B339" s="587" t="s">
        <v>904</v>
      </c>
      <c r="C339" s="587"/>
      <c r="D339" s="587"/>
      <c r="E339" s="587"/>
      <c r="F339" s="587"/>
      <c r="G339" s="587"/>
      <c r="H339" s="587"/>
      <c r="I339" s="239" t="str">
        <f>IF(ISBLANK(input!I378),"",input!I378)</f>
        <v/>
      </c>
      <c r="N339" s="262" t="s">
        <v>4249</v>
      </c>
    </row>
    <row r="340" spans="1:14" ht="12.75" customHeight="1" x14ac:dyDescent="0.2">
      <c r="A340" s="567"/>
      <c r="B340" s="567"/>
      <c r="C340" s="567" t="s">
        <v>905</v>
      </c>
      <c r="D340" s="567"/>
      <c r="E340" s="567"/>
      <c r="F340" s="567"/>
      <c r="G340" s="567" t="s">
        <v>906</v>
      </c>
      <c r="H340" s="567" t="s">
        <v>907</v>
      </c>
      <c r="I340" s="239" t="str">
        <f>IF(ISBLANK(input!I379),"",input!I379)</f>
        <v/>
      </c>
      <c r="N340" s="262" t="s">
        <v>4249</v>
      </c>
    </row>
    <row r="341" spans="1:14" ht="12.75" customHeight="1" x14ac:dyDescent="0.2">
      <c r="A341" s="567"/>
      <c r="B341" s="567"/>
      <c r="C341" s="567" t="s">
        <v>908</v>
      </c>
      <c r="D341" s="567"/>
      <c r="E341" s="567"/>
      <c r="F341" s="567"/>
      <c r="G341" s="567" t="s">
        <v>909</v>
      </c>
      <c r="H341" s="567" t="s">
        <v>907</v>
      </c>
      <c r="I341" s="239" t="str">
        <f>IF(ISBLANK(input!I380),"",input!I380)</f>
        <v/>
      </c>
      <c r="N341" s="262" t="s">
        <v>4249</v>
      </c>
    </row>
    <row r="342" spans="1:14" ht="12.75" customHeight="1" x14ac:dyDescent="0.2">
      <c r="A342" s="587"/>
      <c r="B342" s="587" t="s">
        <v>912</v>
      </c>
      <c r="C342" s="587"/>
      <c r="D342" s="587"/>
      <c r="E342" s="587"/>
      <c r="F342" s="587"/>
      <c r="G342" s="587"/>
      <c r="H342" s="587"/>
      <c r="I342" s="239" t="str">
        <f>IF(ISBLANK(input!I381),"",input!I381)</f>
        <v/>
      </c>
      <c r="N342" s="262" t="s">
        <v>4249</v>
      </c>
    </row>
    <row r="343" spans="1:14" ht="12.75" customHeight="1" x14ac:dyDescent="0.2">
      <c r="A343" s="567"/>
      <c r="B343" s="567"/>
      <c r="C343" s="567" t="s">
        <v>913</v>
      </c>
      <c r="D343" s="567"/>
      <c r="E343" s="567"/>
      <c r="F343" s="567"/>
      <c r="G343" s="567" t="s">
        <v>914</v>
      </c>
      <c r="H343" s="567" t="s">
        <v>907</v>
      </c>
      <c r="I343" s="239" t="str">
        <f>IF(ISBLANK(input!I382),"",input!I382)</f>
        <v/>
      </c>
      <c r="N343" s="262" t="s">
        <v>4249</v>
      </c>
    </row>
    <row r="344" spans="1:14" ht="12.75" customHeight="1" x14ac:dyDescent="0.2">
      <c r="A344" s="567"/>
      <c r="B344" s="567"/>
      <c r="C344" s="567" t="s">
        <v>916</v>
      </c>
      <c r="D344" s="567"/>
      <c r="E344" s="567"/>
      <c r="F344" s="567"/>
      <c r="G344" s="567" t="s">
        <v>917</v>
      </c>
      <c r="H344" s="567" t="s">
        <v>907</v>
      </c>
      <c r="I344" s="239" t="str">
        <f>IF(ISBLANK(input!I383),"",input!I383)</f>
        <v/>
      </c>
      <c r="N344" s="262" t="s">
        <v>4249</v>
      </c>
    </row>
    <row r="345" spans="1:14" ht="12.75" customHeight="1" x14ac:dyDescent="0.2">
      <c r="A345" s="587"/>
      <c r="B345" s="587" t="s">
        <v>919</v>
      </c>
      <c r="C345" s="587"/>
      <c r="D345" s="587"/>
      <c r="E345" s="587"/>
      <c r="F345" s="587"/>
      <c r="G345" s="587"/>
      <c r="H345" s="587"/>
      <c r="I345" s="239" t="str">
        <f>IF(ISBLANK(input!I384),"",input!I384)</f>
        <v/>
      </c>
      <c r="N345" s="262" t="s">
        <v>4249</v>
      </c>
    </row>
    <row r="346" spans="1:14" ht="12.75" customHeight="1" x14ac:dyDescent="0.2">
      <c r="A346" s="567"/>
      <c r="B346" s="567"/>
      <c r="C346" s="567" t="s">
        <v>920</v>
      </c>
      <c r="D346" s="567"/>
      <c r="E346" s="567"/>
      <c r="F346" s="567"/>
      <c r="G346" s="567" t="s">
        <v>921</v>
      </c>
      <c r="H346" s="567" t="s">
        <v>907</v>
      </c>
      <c r="I346" s="239" t="str">
        <f>IF(ISBLANK(input!I385),"",input!I385)</f>
        <v/>
      </c>
      <c r="N346" s="262" t="s">
        <v>4249</v>
      </c>
    </row>
    <row r="347" spans="1:14" ht="12.75" customHeight="1" x14ac:dyDescent="0.2">
      <c r="A347" s="567"/>
      <c r="B347" s="567"/>
      <c r="C347" s="567" t="s">
        <v>922</v>
      </c>
      <c r="D347" s="567"/>
      <c r="E347" s="567"/>
      <c r="F347" s="567"/>
      <c r="G347" s="567" t="s">
        <v>923</v>
      </c>
      <c r="H347" s="567" t="s">
        <v>907</v>
      </c>
      <c r="I347" s="239" t="str">
        <f>IF(ISBLANK(input!I386),"",input!I386)</f>
        <v/>
      </c>
      <c r="N347" s="262" t="s">
        <v>4249</v>
      </c>
    </row>
    <row r="348" spans="1:14" ht="12.75" customHeight="1" x14ac:dyDescent="0.2">
      <c r="A348" s="567"/>
      <c r="B348" s="567"/>
      <c r="C348" s="567" t="s">
        <v>924</v>
      </c>
      <c r="D348" s="567"/>
      <c r="E348" s="567"/>
      <c r="F348" s="567"/>
      <c r="G348" s="567" t="s">
        <v>925</v>
      </c>
      <c r="H348" s="567" t="s">
        <v>907</v>
      </c>
      <c r="I348" s="239" t="str">
        <f>IF(ISBLANK(input!I387),"",input!I387)</f>
        <v/>
      </c>
      <c r="N348" s="262" t="s">
        <v>4249</v>
      </c>
    </row>
    <row r="349" spans="1:14" ht="12.75" customHeight="1" x14ac:dyDescent="0.2">
      <c r="A349" s="567"/>
      <c r="B349" s="567"/>
      <c r="C349" s="567" t="s">
        <v>926</v>
      </c>
      <c r="D349" s="567"/>
      <c r="E349" s="567"/>
      <c r="F349" s="567"/>
      <c r="G349" s="567" t="s">
        <v>927</v>
      </c>
      <c r="H349" s="567" t="s">
        <v>907</v>
      </c>
      <c r="I349" s="239" t="str">
        <f>IF(ISBLANK(input!I388),"",input!I388)</f>
        <v/>
      </c>
      <c r="N349" s="262" t="s">
        <v>4249</v>
      </c>
    </row>
    <row r="350" spans="1:14" ht="12.75" customHeight="1" x14ac:dyDescent="0.2">
      <c r="A350" s="567"/>
      <c r="B350" s="567"/>
      <c r="C350" s="567" t="s">
        <v>928</v>
      </c>
      <c r="D350" s="567"/>
      <c r="E350" s="567"/>
      <c r="F350" s="567"/>
      <c r="G350" s="567" t="s">
        <v>929</v>
      </c>
      <c r="H350" s="567" t="s">
        <v>907</v>
      </c>
      <c r="I350" s="239" t="str">
        <f>IF(ISBLANK(input!I389),"",input!I389)</f>
        <v/>
      </c>
      <c r="N350" s="262" t="s">
        <v>4249</v>
      </c>
    </row>
    <row r="351" spans="1:14" ht="12.75" customHeight="1" x14ac:dyDescent="0.2">
      <c r="A351" s="567"/>
      <c r="B351" s="567"/>
      <c r="C351" s="567" t="s">
        <v>930</v>
      </c>
      <c r="D351" s="567"/>
      <c r="E351" s="567"/>
      <c r="F351" s="567"/>
      <c r="G351" s="567" t="s">
        <v>931</v>
      </c>
      <c r="H351" s="567" t="s">
        <v>907</v>
      </c>
      <c r="I351" s="239" t="str">
        <f>IF(ISBLANK(input!I390),"",input!I390)</f>
        <v/>
      </c>
      <c r="N351" s="262" t="s">
        <v>4249</v>
      </c>
    </row>
    <row r="352" spans="1:14" ht="12.75" customHeight="1" x14ac:dyDescent="0.2">
      <c r="A352" s="567"/>
      <c r="B352" s="567"/>
      <c r="C352" s="567"/>
      <c r="D352" s="567"/>
      <c r="E352" s="567"/>
      <c r="F352" s="567"/>
      <c r="G352" s="568"/>
      <c r="H352" s="568"/>
      <c r="I352" s="239" t="str">
        <f>IF(ISBLANK(input!I391),"",input!I391)</f>
        <v/>
      </c>
      <c r="N352" s="262" t="s">
        <v>4249</v>
      </c>
    </row>
    <row r="353" spans="1:14" ht="12.75" customHeight="1" x14ac:dyDescent="0.2">
      <c r="A353" s="583" t="s">
        <v>932</v>
      </c>
      <c r="B353" s="583"/>
      <c r="C353" s="583"/>
      <c r="D353" s="583"/>
      <c r="E353" s="583"/>
      <c r="F353" s="583"/>
      <c r="G353" s="583"/>
      <c r="H353" s="583"/>
      <c r="I353" s="239" t="str">
        <f>IF(ISBLANK(input!I392),"",input!I392)</f>
        <v/>
      </c>
      <c r="N353" s="262" t="s">
        <v>4249</v>
      </c>
    </row>
    <row r="354" spans="1:14" ht="12.75" customHeight="1" x14ac:dyDescent="0.2">
      <c r="A354" s="567"/>
      <c r="B354" s="567" t="s">
        <v>933</v>
      </c>
      <c r="C354" s="567"/>
      <c r="D354" s="567"/>
      <c r="E354" s="567"/>
      <c r="F354" s="567"/>
      <c r="G354" s="567" t="s">
        <v>934</v>
      </c>
      <c r="H354" s="567" t="s">
        <v>873</v>
      </c>
      <c r="I354" s="239" t="str">
        <f>IF(ISBLANK(input!I393),"",input!I393)</f>
        <v/>
      </c>
      <c r="N354" s="262" t="s">
        <v>4249</v>
      </c>
    </row>
    <row r="355" spans="1:14" ht="12.75" customHeight="1" x14ac:dyDescent="0.2">
      <c r="A355" s="567"/>
      <c r="B355" s="567"/>
      <c r="C355" s="567" t="s">
        <v>935</v>
      </c>
      <c r="D355" s="567"/>
      <c r="E355" s="567"/>
      <c r="F355" s="567"/>
      <c r="G355" s="567" t="s">
        <v>936</v>
      </c>
      <c r="H355" s="567" t="s">
        <v>820</v>
      </c>
      <c r="I355" s="239" t="str">
        <f>IF(ISBLANK(input!I394),"",input!I394)</f>
        <v/>
      </c>
      <c r="N355" s="262" t="s">
        <v>4249</v>
      </c>
    </row>
    <row r="356" spans="1:14" ht="12.75" customHeight="1" x14ac:dyDescent="0.2">
      <c r="A356" s="567"/>
      <c r="B356" s="567"/>
      <c r="C356" s="567" t="s">
        <v>937</v>
      </c>
      <c r="D356" s="567"/>
      <c r="E356" s="567"/>
      <c r="F356" s="567"/>
      <c r="G356" s="567" t="s">
        <v>938</v>
      </c>
      <c r="H356" s="567" t="s">
        <v>287</v>
      </c>
      <c r="I356" s="239" t="str">
        <f>IF(ISBLANK(input!I395),"",input!I395)</f>
        <v/>
      </c>
      <c r="N356" s="262" t="s">
        <v>4249</v>
      </c>
    </row>
    <row r="357" spans="1:14" ht="12.75" customHeight="1" x14ac:dyDescent="0.2">
      <c r="A357" s="567"/>
      <c r="B357" s="567" t="s">
        <v>939</v>
      </c>
      <c r="C357" s="567"/>
      <c r="D357" s="567"/>
      <c r="E357" s="567"/>
      <c r="F357" s="567"/>
      <c r="G357" s="567" t="s">
        <v>940</v>
      </c>
      <c r="H357" s="567" t="s">
        <v>873</v>
      </c>
      <c r="I357" s="239" t="str">
        <f>IF(ISBLANK(input!I396),"",input!I396)</f>
        <v/>
      </c>
      <c r="N357" s="262" t="s">
        <v>4249</v>
      </c>
    </row>
    <row r="358" spans="1:14" ht="12.75" customHeight="1" x14ac:dyDescent="0.2">
      <c r="A358" s="567"/>
      <c r="B358" s="567"/>
      <c r="C358" s="567" t="s">
        <v>941</v>
      </c>
      <c r="D358" s="567"/>
      <c r="E358" s="567"/>
      <c r="F358" s="567"/>
      <c r="G358" s="567" t="s">
        <v>942</v>
      </c>
      <c r="H358" s="567" t="s">
        <v>820</v>
      </c>
      <c r="I358" s="239" t="str">
        <f>IF(ISBLANK(input!I397),"",input!I397)</f>
        <v/>
      </c>
      <c r="N358" s="262" t="s">
        <v>4249</v>
      </c>
    </row>
    <row r="359" spans="1:14" ht="12.75" customHeight="1" x14ac:dyDescent="0.2">
      <c r="A359" s="567"/>
      <c r="B359" s="567"/>
      <c r="C359" s="567" t="s">
        <v>943</v>
      </c>
      <c r="D359" s="567"/>
      <c r="E359" s="567"/>
      <c r="F359" s="567"/>
      <c r="G359" s="567" t="s">
        <v>944</v>
      </c>
      <c r="H359" s="567" t="s">
        <v>287</v>
      </c>
      <c r="I359" s="239" t="str">
        <f>IF(ISBLANK(input!I398),"",input!I398)</f>
        <v/>
      </c>
      <c r="N359" s="262" t="s">
        <v>4249</v>
      </c>
    </row>
    <row r="360" spans="1:14" ht="12.75" customHeight="1" x14ac:dyDescent="0.2">
      <c r="A360" s="567"/>
      <c r="B360" s="567" t="s">
        <v>945</v>
      </c>
      <c r="C360" s="567"/>
      <c r="D360" s="567"/>
      <c r="E360" s="567"/>
      <c r="F360" s="567"/>
      <c r="G360" s="567" t="s">
        <v>946</v>
      </c>
      <c r="H360" s="567" t="s">
        <v>873</v>
      </c>
      <c r="I360" s="239" t="str">
        <f>IF(ISBLANK(input!I399),"",input!I399)</f>
        <v/>
      </c>
      <c r="N360" s="262" t="s">
        <v>4249</v>
      </c>
    </row>
    <row r="361" spans="1:14" ht="12.75" customHeight="1" x14ac:dyDescent="0.2">
      <c r="A361" s="567"/>
      <c r="B361" s="567"/>
      <c r="C361" s="567" t="s">
        <v>947</v>
      </c>
      <c r="D361" s="567"/>
      <c r="E361" s="567"/>
      <c r="F361" s="567"/>
      <c r="G361" s="568" t="s">
        <v>948</v>
      </c>
      <c r="H361" s="568" t="s">
        <v>296</v>
      </c>
      <c r="I361" s="239" t="str">
        <f>IF(ISBLANK(input!I400),"",input!I400)</f>
        <v/>
      </c>
      <c r="N361" s="262" t="s">
        <v>4249</v>
      </c>
    </row>
    <row r="362" spans="1:14" ht="12.75" customHeight="1" x14ac:dyDescent="0.2">
      <c r="A362" s="567"/>
      <c r="B362" s="567"/>
      <c r="C362" s="567" t="s">
        <v>949</v>
      </c>
      <c r="D362" s="567"/>
      <c r="E362" s="567"/>
      <c r="F362" s="567"/>
      <c r="G362" s="567" t="s">
        <v>950</v>
      </c>
      <c r="H362" s="567" t="s">
        <v>820</v>
      </c>
      <c r="I362" s="239" t="str">
        <f>IF(ISBLANK(input!I401),"",input!I401)</f>
        <v/>
      </c>
      <c r="N362" s="262" t="s">
        <v>4249</v>
      </c>
    </row>
    <row r="363" spans="1:14" ht="12.75" customHeight="1" x14ac:dyDescent="0.2">
      <c r="A363" s="567"/>
      <c r="B363" s="567"/>
      <c r="C363" s="567" t="s">
        <v>951</v>
      </c>
      <c r="D363" s="567"/>
      <c r="E363" s="567"/>
      <c r="F363" s="567"/>
      <c r="G363" s="567" t="s">
        <v>952</v>
      </c>
      <c r="H363" s="567" t="s">
        <v>287</v>
      </c>
      <c r="I363" s="239" t="str">
        <f>IF(ISBLANK(input!I402),"",input!I402)</f>
        <v/>
      </c>
      <c r="N363" s="262" t="s">
        <v>4249</v>
      </c>
    </row>
    <row r="364" spans="1:14" ht="12.75" customHeight="1" x14ac:dyDescent="0.2">
      <c r="A364" s="172"/>
      <c r="H364" s="789"/>
      <c r="I364" s="795"/>
    </row>
    <row r="365" spans="1:14" ht="12.75" customHeight="1" x14ac:dyDescent="0.2">
      <c r="A365" s="100" t="s">
        <v>953</v>
      </c>
      <c r="I365" s="795"/>
    </row>
    <row r="366" spans="1:14" ht="12.75" customHeight="1" x14ac:dyDescent="0.2">
      <c r="I366" s="795"/>
    </row>
    <row r="367" spans="1:14" ht="12.75" customHeight="1" x14ac:dyDescent="0.2">
      <c r="A367" s="413" t="s">
        <v>954</v>
      </c>
      <c r="B367" s="413"/>
      <c r="C367" s="413"/>
      <c r="D367" s="413"/>
      <c r="E367" s="413"/>
      <c r="F367" s="413"/>
      <c r="G367" s="631" t="s">
        <v>263</v>
      </c>
      <c r="H367" s="631" t="s">
        <v>279</v>
      </c>
      <c r="I367" s="795"/>
    </row>
    <row r="368" spans="1:14" ht="12.75" customHeight="1" x14ac:dyDescent="0.2">
      <c r="I368" s="795"/>
    </row>
    <row r="369" spans="1:14" ht="12.75" customHeight="1" x14ac:dyDescent="0.2">
      <c r="A369" s="216" t="s">
        <v>955</v>
      </c>
      <c r="B369" s="228"/>
      <c r="C369" s="228"/>
      <c r="D369" s="228"/>
      <c r="E369" s="228"/>
      <c r="F369" s="228"/>
      <c r="G369" s="216" t="s">
        <v>956</v>
      </c>
      <c r="H369" s="216" t="s">
        <v>957</v>
      </c>
      <c r="I369" s="239" t="str">
        <f>IF(ISBLANK(regional!I5),"",regional!I5)</f>
        <v/>
      </c>
      <c r="N369" s="262" t="s">
        <v>4249</v>
      </c>
    </row>
    <row r="370" spans="1:14" ht="12.75" customHeight="1" x14ac:dyDescent="0.2">
      <c r="A370" s="568" t="s">
        <v>960</v>
      </c>
      <c r="B370" s="567"/>
      <c r="C370" s="567"/>
      <c r="D370" s="567"/>
      <c r="E370" s="567"/>
      <c r="F370" s="567"/>
      <c r="G370" s="568" t="s">
        <v>961</v>
      </c>
      <c r="H370" s="568" t="s">
        <v>957</v>
      </c>
      <c r="I370" s="239" t="str">
        <f>IF(ISBLANK(regional!I6),"",regional!I6)</f>
        <v/>
      </c>
      <c r="N370" s="262" t="s">
        <v>4249</v>
      </c>
    </row>
    <row r="371" spans="1:14" ht="12.75" customHeight="1" x14ac:dyDescent="0.2">
      <c r="A371" s="216" t="s">
        <v>962</v>
      </c>
      <c r="B371" s="228"/>
      <c r="C371" s="228"/>
      <c r="D371" s="228"/>
      <c r="E371" s="228"/>
      <c r="F371" s="228"/>
      <c r="G371" s="216" t="s">
        <v>963</v>
      </c>
      <c r="H371" s="216" t="s">
        <v>957</v>
      </c>
      <c r="I371" s="239" t="str">
        <f>IF(ISBLANK(regional!I7),"",regional!I7)</f>
        <v/>
      </c>
      <c r="N371" s="262" t="s">
        <v>4249</v>
      </c>
    </row>
    <row r="372" spans="1:14" ht="12.75" customHeight="1" x14ac:dyDescent="0.2">
      <c r="A372" s="216" t="s">
        <v>964</v>
      </c>
      <c r="B372" s="228"/>
      <c r="C372" s="228"/>
      <c r="D372" s="228"/>
      <c r="E372" s="228"/>
      <c r="F372" s="228"/>
      <c r="G372" s="216" t="s">
        <v>965</v>
      </c>
      <c r="H372" s="216" t="s">
        <v>957</v>
      </c>
      <c r="I372" s="239" t="str">
        <f>IF(ISBLANK(regional!I8),"",regional!I8)</f>
        <v/>
      </c>
      <c r="N372" s="262" t="s">
        <v>4249</v>
      </c>
    </row>
    <row r="373" spans="1:14" ht="12.75" customHeight="1" x14ac:dyDescent="0.2">
      <c r="A373" s="216" t="s">
        <v>966</v>
      </c>
      <c r="B373" s="228"/>
      <c r="C373" s="228"/>
      <c r="D373" s="228"/>
      <c r="E373" s="228"/>
      <c r="F373" s="228"/>
      <c r="G373" s="216" t="s">
        <v>967</v>
      </c>
      <c r="H373" s="216" t="s">
        <v>957</v>
      </c>
      <c r="I373" s="239" t="str">
        <f>IF(ISBLANK(regional!I9),"",regional!I9)</f>
        <v/>
      </c>
      <c r="N373" s="262" t="s">
        <v>4249</v>
      </c>
    </row>
    <row r="374" spans="1:14" ht="12.75" customHeight="1" x14ac:dyDescent="0.2">
      <c r="A374" s="568" t="s">
        <v>968</v>
      </c>
      <c r="B374" s="567"/>
      <c r="C374" s="567"/>
      <c r="D374" s="567"/>
      <c r="E374" s="567"/>
      <c r="F374" s="567"/>
      <c r="G374" s="568" t="s">
        <v>969</v>
      </c>
      <c r="H374" s="568" t="s">
        <v>957</v>
      </c>
      <c r="I374" s="239" t="str">
        <f>IF(ISBLANK(regional!I10),"",regional!I10)</f>
        <v/>
      </c>
      <c r="N374" s="262" t="s">
        <v>4249</v>
      </c>
    </row>
    <row r="375" spans="1:14" ht="12.75" customHeight="1" x14ac:dyDescent="0.2">
      <c r="A375" s="216" t="s">
        <v>970</v>
      </c>
      <c r="B375" s="228"/>
      <c r="C375" s="228"/>
      <c r="D375" s="228"/>
      <c r="E375" s="228"/>
      <c r="F375" s="228"/>
      <c r="G375" s="216" t="s">
        <v>971</v>
      </c>
      <c r="H375" s="216" t="s">
        <v>957</v>
      </c>
      <c r="I375" s="239" t="str">
        <f>IF(ISBLANK(regional!I11),"",regional!I11)</f>
        <v/>
      </c>
      <c r="N375" s="262" t="s">
        <v>4249</v>
      </c>
    </row>
    <row r="376" spans="1:14" ht="12.75" customHeight="1" x14ac:dyDescent="0.2">
      <c r="A376" s="216" t="s">
        <v>972</v>
      </c>
      <c r="B376" s="228"/>
      <c r="C376" s="228"/>
      <c r="D376" s="228"/>
      <c r="E376" s="228"/>
      <c r="F376" s="228"/>
      <c r="G376" s="216" t="s">
        <v>973</v>
      </c>
      <c r="H376" s="216" t="s">
        <v>957</v>
      </c>
      <c r="I376" s="239" t="str">
        <f>IF(ISBLANK(regional!I12),"",regional!I12)</f>
        <v/>
      </c>
      <c r="N376" s="262" t="s">
        <v>4249</v>
      </c>
    </row>
    <row r="377" spans="1:14" ht="12.75" customHeight="1" x14ac:dyDescent="0.2">
      <c r="A377" s="216" t="s">
        <v>974</v>
      </c>
      <c r="B377" s="228"/>
      <c r="C377" s="228"/>
      <c r="D377" s="228"/>
      <c r="E377" s="228"/>
      <c r="F377" s="228"/>
      <c r="G377" s="216" t="s">
        <v>975</v>
      </c>
      <c r="H377" s="216" t="s">
        <v>957</v>
      </c>
      <c r="I377" s="239" t="str">
        <f>IF(ISBLANK(regional!I13),"",regional!I13)</f>
        <v/>
      </c>
      <c r="N377" s="262" t="s">
        <v>4249</v>
      </c>
    </row>
    <row r="378" spans="1:14" ht="12.75" customHeight="1" x14ac:dyDescent="0.2">
      <c r="A378" s="216" t="s">
        <v>976</v>
      </c>
      <c r="B378" s="228"/>
      <c r="C378" s="228"/>
      <c r="D378" s="228"/>
      <c r="E378" s="228"/>
      <c r="F378" s="228"/>
      <c r="G378" s="216" t="s">
        <v>977</v>
      </c>
      <c r="H378" s="216" t="s">
        <v>957</v>
      </c>
      <c r="I378" s="239" t="str">
        <f>IF(ISBLANK(regional!I14),"",regional!I14)</f>
        <v/>
      </c>
      <c r="N378" s="262" t="s">
        <v>4249</v>
      </c>
    </row>
    <row r="379" spans="1:14" ht="12.75" customHeight="1" x14ac:dyDescent="0.2">
      <c r="A379" s="216" t="s">
        <v>978</v>
      </c>
      <c r="B379" s="228"/>
      <c r="C379" s="228"/>
      <c r="D379" s="228"/>
      <c r="E379" s="228"/>
      <c r="F379" s="228"/>
      <c r="G379" s="216" t="s">
        <v>979</v>
      </c>
      <c r="H379" s="216" t="s">
        <v>957</v>
      </c>
      <c r="I379" s="239" t="str">
        <f>IF(ISBLANK(regional!I15),"",regional!I15)</f>
        <v/>
      </c>
      <c r="N379" s="262" t="s">
        <v>4249</v>
      </c>
    </row>
    <row r="380" spans="1:14" ht="12.75" customHeight="1" x14ac:dyDescent="0.2">
      <c r="A380" s="216"/>
      <c r="B380" s="216" t="s">
        <v>980</v>
      </c>
      <c r="C380" s="228"/>
      <c r="D380" s="228"/>
      <c r="E380" s="228"/>
      <c r="F380" s="228"/>
      <c r="G380" s="216" t="s">
        <v>981</v>
      </c>
      <c r="H380" s="216" t="s">
        <v>679</v>
      </c>
      <c r="I380" s="239" t="str">
        <f>IF(ISBLANK(regional!I16),"",regional!I16)</f>
        <v/>
      </c>
      <c r="N380" s="262" t="s">
        <v>4249</v>
      </c>
    </row>
    <row r="381" spans="1:14" ht="12.75" customHeight="1" x14ac:dyDescent="0.2">
      <c r="A381" s="216"/>
      <c r="B381" s="216" t="s">
        <v>982</v>
      </c>
      <c r="C381" s="228"/>
      <c r="D381" s="228"/>
      <c r="E381" s="228"/>
      <c r="F381" s="228"/>
      <c r="G381" s="579" t="s">
        <v>983</v>
      </c>
      <c r="H381" s="216" t="s">
        <v>296</v>
      </c>
      <c r="I381" s="239" t="str">
        <f>IF(ISBLANK(regional!I17),"",regional!I17)</f>
        <v/>
      </c>
      <c r="N381" s="262" t="s">
        <v>4249</v>
      </c>
    </row>
    <row r="382" spans="1:14" ht="12.75" customHeight="1" x14ac:dyDescent="0.2">
      <c r="A382" s="216"/>
      <c r="B382" s="216" t="s">
        <v>984</v>
      </c>
      <c r="C382" s="228"/>
      <c r="D382" s="228"/>
      <c r="E382" s="228"/>
      <c r="F382" s="228"/>
      <c r="G382" s="579" t="s">
        <v>985</v>
      </c>
      <c r="H382" s="216" t="s">
        <v>296</v>
      </c>
      <c r="I382" s="239" t="str">
        <f>IF(ISBLANK(regional!I18),"",regional!I18)</f>
        <v/>
      </c>
      <c r="N382" s="262" t="s">
        <v>4249</v>
      </c>
    </row>
    <row r="383" spans="1:14" ht="12.75" customHeight="1" x14ac:dyDescent="0.2">
      <c r="A383" s="216"/>
      <c r="B383" s="216" t="s">
        <v>986</v>
      </c>
      <c r="C383" s="228"/>
      <c r="D383" s="228"/>
      <c r="E383" s="228"/>
      <c r="F383" s="228"/>
      <c r="G383" s="579" t="s">
        <v>987</v>
      </c>
      <c r="H383" s="216" t="s">
        <v>296</v>
      </c>
      <c r="I383" s="239" t="str">
        <f>IF(ISBLANK(regional!I19),"",regional!I19)</f>
        <v/>
      </c>
      <c r="K383" s="262" t="s">
        <v>4249</v>
      </c>
      <c r="N383" s="262" t="s">
        <v>4249</v>
      </c>
    </row>
    <row r="384" spans="1:14" ht="12.75" customHeight="1" x14ac:dyDescent="0.2">
      <c r="A384" s="216"/>
      <c r="B384" s="216" t="s">
        <v>988</v>
      </c>
      <c r="C384" s="228"/>
      <c r="D384" s="228"/>
      <c r="E384" s="228"/>
      <c r="F384" s="228"/>
      <c r="G384" s="579" t="s">
        <v>989</v>
      </c>
      <c r="H384" s="216" t="s">
        <v>296</v>
      </c>
      <c r="I384" s="239" t="str">
        <f>IF(ISBLANK(regional!I20),"",regional!I20)</f>
        <v/>
      </c>
      <c r="K384" s="262" t="s">
        <v>4249</v>
      </c>
      <c r="N384" s="262" t="s">
        <v>4249</v>
      </c>
    </row>
    <row r="385" spans="1:14" ht="12.75" customHeight="1" x14ac:dyDescent="0.2">
      <c r="A385" s="216"/>
      <c r="B385" s="216" t="s">
        <v>990</v>
      </c>
      <c r="C385" s="228"/>
      <c r="D385" s="228"/>
      <c r="E385" s="228"/>
      <c r="F385" s="228"/>
      <c r="G385" s="579" t="s">
        <v>991</v>
      </c>
      <c r="H385" s="216" t="s">
        <v>296</v>
      </c>
      <c r="I385" s="239" t="str">
        <f>IF(ISBLANK(regional!I21),"",regional!I21)</f>
        <v/>
      </c>
      <c r="K385" s="262" t="s">
        <v>4249</v>
      </c>
      <c r="N385" s="262" t="s">
        <v>4249</v>
      </c>
    </row>
    <row r="386" spans="1:14" ht="12.75" customHeight="1" x14ac:dyDescent="0.2">
      <c r="A386" s="216"/>
      <c r="B386" s="216" t="s">
        <v>992</v>
      </c>
      <c r="C386" s="228"/>
      <c r="D386" s="228"/>
      <c r="E386" s="228"/>
      <c r="F386" s="228"/>
      <c r="G386" s="579" t="s">
        <v>993</v>
      </c>
      <c r="H386" s="216" t="s">
        <v>296</v>
      </c>
      <c r="I386" s="239" t="str">
        <f>IF(ISBLANK(regional!I22),"",regional!I22)</f>
        <v/>
      </c>
      <c r="K386" s="262" t="s">
        <v>4249</v>
      </c>
      <c r="N386" s="262" t="s">
        <v>4249</v>
      </c>
    </row>
    <row r="387" spans="1:14" ht="12.75" customHeight="1" x14ac:dyDescent="0.2">
      <c r="A387" s="216"/>
      <c r="B387" s="228"/>
      <c r="C387" s="216" t="s">
        <v>994</v>
      </c>
      <c r="D387" s="579"/>
      <c r="E387" s="579"/>
      <c r="F387" s="228"/>
      <c r="G387" s="579" t="s">
        <v>995</v>
      </c>
      <c r="H387" s="216" t="s">
        <v>820</v>
      </c>
      <c r="I387" s="239" t="str">
        <f>IF(ISBLANK(regional!I23),"",regional!I23)</f>
        <v/>
      </c>
      <c r="K387" s="262" t="s">
        <v>4249</v>
      </c>
      <c r="N387" s="262" t="s">
        <v>4249</v>
      </c>
    </row>
    <row r="388" spans="1:14" ht="12.75" customHeight="1" x14ac:dyDescent="0.2">
      <c r="A388" s="216"/>
      <c r="B388" s="228"/>
      <c r="C388" s="216" t="s">
        <v>996</v>
      </c>
      <c r="D388" s="579"/>
      <c r="E388" s="579"/>
      <c r="F388" s="228"/>
      <c r="G388" s="579" t="s">
        <v>997</v>
      </c>
      <c r="H388" s="216" t="s">
        <v>820</v>
      </c>
      <c r="I388" s="239" t="str">
        <f>IF(ISBLANK(regional!I24),"",regional!I24)</f>
        <v/>
      </c>
      <c r="K388" s="262" t="s">
        <v>4249</v>
      </c>
      <c r="N388" s="262" t="s">
        <v>4249</v>
      </c>
    </row>
    <row r="389" spans="1:14" ht="12.75" customHeight="1" x14ac:dyDescent="0.2">
      <c r="A389" s="216"/>
      <c r="B389" s="228"/>
      <c r="C389" s="216" t="s">
        <v>998</v>
      </c>
      <c r="D389" s="579"/>
      <c r="E389" s="579"/>
      <c r="F389" s="228"/>
      <c r="G389" s="579" t="s">
        <v>999</v>
      </c>
      <c r="H389" s="216" t="s">
        <v>820</v>
      </c>
      <c r="I389" s="239" t="str">
        <f>IF(ISBLANK(regional!I25),"",regional!I25)</f>
        <v/>
      </c>
      <c r="K389" s="262" t="s">
        <v>4249</v>
      </c>
      <c r="N389" s="262" t="s">
        <v>4249</v>
      </c>
    </row>
    <row r="390" spans="1:14" ht="12.75" customHeight="1" x14ac:dyDescent="0.2">
      <c r="A390" s="216"/>
      <c r="B390" s="228"/>
      <c r="C390" s="216" t="s">
        <v>1000</v>
      </c>
      <c r="D390" s="579"/>
      <c r="E390" s="579"/>
      <c r="F390" s="228"/>
      <c r="G390" s="579" t="s">
        <v>1001</v>
      </c>
      <c r="H390" s="216" t="s">
        <v>820</v>
      </c>
      <c r="I390" s="239" t="str">
        <f>IF(ISBLANK(regional!I26),"",regional!I26)</f>
        <v/>
      </c>
      <c r="K390" s="262" t="s">
        <v>4249</v>
      </c>
      <c r="N390" s="262" t="s">
        <v>4249</v>
      </c>
    </row>
    <row r="391" spans="1:14" ht="12.75" customHeight="1" x14ac:dyDescent="0.2">
      <c r="A391" s="568"/>
      <c r="B391" s="567"/>
      <c r="C391" s="568" t="s">
        <v>1002</v>
      </c>
      <c r="D391" s="680"/>
      <c r="E391" s="680"/>
      <c r="F391" s="567"/>
      <c r="G391" s="680" t="s">
        <v>1003</v>
      </c>
      <c r="H391" s="568" t="s">
        <v>1004</v>
      </c>
      <c r="I391" s="239" t="str">
        <f>IF(ISBLANK(regional!I27),"",regional!I27)</f>
        <v/>
      </c>
      <c r="K391" s="262" t="s">
        <v>4249</v>
      </c>
      <c r="N391" s="262" t="s">
        <v>4249</v>
      </c>
    </row>
    <row r="392" spans="1:14" ht="12.75" customHeight="1" x14ac:dyDescent="0.2">
      <c r="A392" s="216"/>
      <c r="B392" s="228"/>
      <c r="C392" s="216" t="s">
        <v>1005</v>
      </c>
      <c r="D392" s="579"/>
      <c r="E392" s="579"/>
      <c r="F392" s="228"/>
      <c r="G392" s="579" t="s">
        <v>1006</v>
      </c>
      <c r="H392" s="216" t="s">
        <v>1004</v>
      </c>
      <c r="I392" s="239" t="str">
        <f>IF(ISBLANK(regional!I28),"",regional!I28)</f>
        <v/>
      </c>
      <c r="K392" s="262" t="s">
        <v>4249</v>
      </c>
      <c r="L392" s="262">
        <v>4</v>
      </c>
      <c r="M392" s="262">
        <v>4</v>
      </c>
      <c r="N392" s="262" t="s">
        <v>4249</v>
      </c>
    </row>
    <row r="393" spans="1:14" ht="12.75" customHeight="1" x14ac:dyDescent="0.2">
      <c r="A393" s="216"/>
      <c r="B393" s="228"/>
      <c r="C393" s="216" t="s">
        <v>1007</v>
      </c>
      <c r="D393" s="579"/>
      <c r="E393" s="579"/>
      <c r="F393" s="228"/>
      <c r="G393" s="579" t="s">
        <v>1008</v>
      </c>
      <c r="H393" s="216" t="s">
        <v>1004</v>
      </c>
      <c r="I393" s="239" t="str">
        <f>IF(ISBLANK(regional!I29),"",regional!I29)</f>
        <v/>
      </c>
      <c r="K393" s="262" t="s">
        <v>4249</v>
      </c>
      <c r="L393" s="262" t="s">
        <v>4249</v>
      </c>
      <c r="M393" s="262" t="s">
        <v>4249</v>
      </c>
      <c r="N393" s="262" t="s">
        <v>4249</v>
      </c>
    </row>
    <row r="394" spans="1:14" ht="12.75" customHeight="1" x14ac:dyDescent="0.2">
      <c r="A394" s="216"/>
      <c r="B394" s="228"/>
      <c r="C394" s="216" t="s">
        <v>1009</v>
      </c>
      <c r="D394" s="579"/>
      <c r="E394" s="579"/>
      <c r="F394" s="228"/>
      <c r="G394" s="579" t="s">
        <v>1010</v>
      </c>
      <c r="H394" s="216" t="s">
        <v>820</v>
      </c>
      <c r="I394" s="239" t="str">
        <f>IF(ISBLANK(regional!I30),"",regional!I30)</f>
        <v/>
      </c>
      <c r="K394" s="262" t="s">
        <v>4249</v>
      </c>
      <c r="L394" s="262" t="s">
        <v>4249</v>
      </c>
      <c r="M394" s="262" t="s">
        <v>4249</v>
      </c>
      <c r="N394" s="262" t="s">
        <v>4249</v>
      </c>
    </row>
    <row r="395" spans="1:14" ht="12.75" customHeight="1" x14ac:dyDescent="0.2">
      <c r="A395" s="216"/>
      <c r="B395" s="228"/>
      <c r="C395" s="216" t="s">
        <v>1011</v>
      </c>
      <c r="D395" s="579"/>
      <c r="E395" s="579"/>
      <c r="F395" s="228"/>
      <c r="G395" s="579" t="s">
        <v>1012</v>
      </c>
      <c r="H395" s="216" t="s">
        <v>820</v>
      </c>
      <c r="I395" s="239" t="str">
        <f>IF(ISBLANK(regional!I31),"",regional!I31)</f>
        <v/>
      </c>
      <c r="K395" s="262" t="s">
        <v>4249</v>
      </c>
      <c r="L395" s="262" t="s">
        <v>4249</v>
      </c>
      <c r="M395" s="262" t="s">
        <v>4249</v>
      </c>
      <c r="N395" s="262" t="s">
        <v>4249</v>
      </c>
    </row>
    <row r="396" spans="1:14" ht="12.75" customHeight="1" x14ac:dyDescent="0.2">
      <c r="A396" s="216"/>
      <c r="B396" s="228"/>
      <c r="C396" s="216" t="s">
        <v>1013</v>
      </c>
      <c r="D396" s="579"/>
      <c r="E396" s="579"/>
      <c r="F396" s="228"/>
      <c r="G396" s="579" t="s">
        <v>1014</v>
      </c>
      <c r="H396" s="216" t="s">
        <v>820</v>
      </c>
      <c r="I396" s="239" t="str">
        <f>IF(ISBLANK(regional!I32),"",regional!I32)</f>
        <v/>
      </c>
      <c r="K396" s="262" t="s">
        <v>4249</v>
      </c>
      <c r="L396" s="262" t="s">
        <v>4249</v>
      </c>
      <c r="M396" s="262" t="s">
        <v>4249</v>
      </c>
      <c r="N396" s="262" t="s">
        <v>4249</v>
      </c>
    </row>
    <row r="397" spans="1:14" ht="12.75" customHeight="1" x14ac:dyDescent="0.2">
      <c r="A397" s="567"/>
      <c r="B397" s="567"/>
      <c r="C397" s="567" t="s">
        <v>1015</v>
      </c>
      <c r="D397" s="567"/>
      <c r="E397" s="567"/>
      <c r="F397" s="567"/>
      <c r="G397" s="568" t="s">
        <v>1016</v>
      </c>
      <c r="H397" s="568" t="s">
        <v>1017</v>
      </c>
      <c r="I397" s="239" t="str">
        <f>IF(ISBLANK(regional!I33),"",regional!I33)</f>
        <v/>
      </c>
      <c r="K397" s="262" t="s">
        <v>4249</v>
      </c>
      <c r="L397" s="262" t="s">
        <v>4249</v>
      </c>
      <c r="M397" s="262" t="s">
        <v>4249</v>
      </c>
      <c r="N397" s="262" t="s">
        <v>4249</v>
      </c>
    </row>
    <row r="398" spans="1:14" ht="12.75" customHeight="1" x14ac:dyDescent="0.2">
      <c r="A398" s="228"/>
      <c r="B398" s="228"/>
      <c r="C398" s="228" t="s">
        <v>1019</v>
      </c>
      <c r="D398" s="228"/>
      <c r="E398" s="228"/>
      <c r="F398" s="228"/>
      <c r="G398" s="216" t="s">
        <v>1020</v>
      </c>
      <c r="H398" s="216" t="s">
        <v>1017</v>
      </c>
      <c r="I398" s="239" t="str">
        <f>IF(ISBLANK(regional!I34),"",regional!I34)</f>
        <v/>
      </c>
      <c r="K398" s="262" t="s">
        <v>4249</v>
      </c>
      <c r="L398" s="262" t="s">
        <v>4249</v>
      </c>
      <c r="M398" s="262" t="s">
        <v>4249</v>
      </c>
      <c r="N398" s="262" t="s">
        <v>4249</v>
      </c>
    </row>
    <row r="399" spans="1:14" ht="12.75" customHeight="1" x14ac:dyDescent="0.2">
      <c r="A399" s="228"/>
      <c r="B399" s="228"/>
      <c r="C399" s="228" t="s">
        <v>1022</v>
      </c>
      <c r="D399" s="228"/>
      <c r="E399" s="228"/>
      <c r="F399" s="228"/>
      <c r="G399" s="216" t="s">
        <v>1023</v>
      </c>
      <c r="H399" s="216" t="s">
        <v>1017</v>
      </c>
      <c r="I399" s="239" t="str">
        <f>IF(ISBLANK(regional!I35),"",regional!I35)</f>
        <v/>
      </c>
      <c r="K399" s="262" t="s">
        <v>4249</v>
      </c>
      <c r="L399" s="262" t="s">
        <v>4249</v>
      </c>
      <c r="M399" s="262" t="s">
        <v>4249</v>
      </c>
      <c r="N399" s="262" t="s">
        <v>4249</v>
      </c>
    </row>
    <row r="400" spans="1:14" ht="12.75" customHeight="1" x14ac:dyDescent="0.2">
      <c r="A400" s="216"/>
      <c r="B400" s="228"/>
      <c r="C400" s="216" t="s">
        <v>1024</v>
      </c>
      <c r="D400" s="579"/>
      <c r="E400" s="579"/>
      <c r="F400" s="228"/>
      <c r="G400" s="579" t="s">
        <v>1025</v>
      </c>
      <c r="H400" s="216" t="s">
        <v>1017</v>
      </c>
      <c r="I400" s="239" t="str">
        <f>IF(ISBLANK(regional!I36),"",regional!I36)</f>
        <v/>
      </c>
      <c r="K400" s="262" t="s">
        <v>4249</v>
      </c>
      <c r="L400" s="262" t="s">
        <v>4249</v>
      </c>
      <c r="M400" s="262" t="s">
        <v>4249</v>
      </c>
      <c r="N400" s="262" t="s">
        <v>4249</v>
      </c>
    </row>
    <row r="401" spans="1:14" ht="12.75" customHeight="1" x14ac:dyDescent="0.2">
      <c r="A401" s="216"/>
      <c r="B401" s="228"/>
      <c r="C401" s="216" t="s">
        <v>1026</v>
      </c>
      <c r="D401" s="579"/>
      <c r="E401" s="579"/>
      <c r="F401" s="228"/>
      <c r="G401" s="579" t="s">
        <v>1027</v>
      </c>
      <c r="H401" s="216" t="s">
        <v>1017</v>
      </c>
      <c r="I401" s="239" t="str">
        <f>IF(ISBLANK(regional!I37),"",regional!I37)</f>
        <v/>
      </c>
      <c r="K401" s="262" t="s">
        <v>4249</v>
      </c>
      <c r="L401" s="262" t="s">
        <v>4249</v>
      </c>
      <c r="M401" s="262" t="s">
        <v>4249</v>
      </c>
      <c r="N401" s="262" t="s">
        <v>4249</v>
      </c>
    </row>
    <row r="402" spans="1:14" ht="12.75" customHeight="1" x14ac:dyDescent="0.2">
      <c r="A402" s="216"/>
      <c r="B402" s="228"/>
      <c r="C402" s="216" t="s">
        <v>1028</v>
      </c>
      <c r="D402" s="579"/>
      <c r="E402" s="579"/>
      <c r="F402" s="228"/>
      <c r="G402" s="579" t="s">
        <v>1029</v>
      </c>
      <c r="H402" s="216" t="s">
        <v>1017</v>
      </c>
      <c r="I402" s="239" t="str">
        <f>IF(ISBLANK(regional!I38),"",regional!I38)</f>
        <v/>
      </c>
      <c r="K402" s="262" t="s">
        <v>4249</v>
      </c>
      <c r="L402" s="262" t="s">
        <v>4249</v>
      </c>
      <c r="M402" s="262" t="s">
        <v>4249</v>
      </c>
      <c r="N402" s="262" t="s">
        <v>4249</v>
      </c>
    </row>
    <row r="403" spans="1:14" ht="12.75" customHeight="1" x14ac:dyDescent="0.2">
      <c r="A403" s="216"/>
      <c r="B403" s="228"/>
      <c r="C403" s="216" t="s">
        <v>1030</v>
      </c>
      <c r="D403" s="579"/>
      <c r="E403" s="579"/>
      <c r="F403" s="228"/>
      <c r="G403" s="579" t="s">
        <v>1031</v>
      </c>
      <c r="H403" s="216" t="s">
        <v>1017</v>
      </c>
      <c r="I403" s="239" t="str">
        <f>IF(ISBLANK(regional!I39),"",regional!I39)</f>
        <v/>
      </c>
      <c r="K403" s="262" t="s">
        <v>4249</v>
      </c>
      <c r="L403" s="262" t="s">
        <v>4249</v>
      </c>
      <c r="M403" s="262" t="s">
        <v>4249</v>
      </c>
      <c r="N403" s="262" t="s">
        <v>4249</v>
      </c>
    </row>
    <row r="404" spans="1:14" ht="12.75" customHeight="1" x14ac:dyDescent="0.2">
      <c r="A404" s="216"/>
      <c r="B404" s="228"/>
      <c r="C404" s="216" t="s">
        <v>1032</v>
      </c>
      <c r="D404" s="579"/>
      <c r="E404" s="579"/>
      <c r="F404" s="228"/>
      <c r="G404" s="579" t="s">
        <v>1033</v>
      </c>
      <c r="H404" s="216" t="s">
        <v>1017</v>
      </c>
      <c r="I404" s="239" t="str">
        <f>IF(ISBLANK(regional!I40),"",regional!I40)</f>
        <v/>
      </c>
      <c r="K404" s="262" t="s">
        <v>4249</v>
      </c>
      <c r="L404" s="262" t="s">
        <v>4249</v>
      </c>
      <c r="M404" s="262" t="s">
        <v>4249</v>
      </c>
      <c r="N404" s="262" t="s">
        <v>4249</v>
      </c>
    </row>
    <row r="405" spans="1:14" ht="12.75" customHeight="1" x14ac:dyDescent="0.2">
      <c r="A405" s="216"/>
      <c r="B405" s="228"/>
      <c r="C405" s="216" t="s">
        <v>1034</v>
      </c>
      <c r="D405" s="579"/>
      <c r="E405" s="579"/>
      <c r="F405" s="228"/>
      <c r="G405" s="579" t="s">
        <v>1035</v>
      </c>
      <c r="H405" s="216" t="s">
        <v>1017</v>
      </c>
      <c r="I405" s="239" t="str">
        <f>IF(ISBLANK(regional!I41),"",regional!I41)</f>
        <v/>
      </c>
      <c r="K405" s="262" t="s">
        <v>4249</v>
      </c>
      <c r="L405" s="262" t="s">
        <v>4249</v>
      </c>
      <c r="M405" s="262" t="s">
        <v>4249</v>
      </c>
      <c r="N405" s="262" t="s">
        <v>4249</v>
      </c>
    </row>
    <row r="406" spans="1:14" ht="12.75" customHeight="1" x14ac:dyDescent="0.2">
      <c r="A406" s="216"/>
      <c r="B406" s="228"/>
      <c r="C406" s="216" t="s">
        <v>1036</v>
      </c>
      <c r="D406" s="579"/>
      <c r="E406" s="579"/>
      <c r="F406" s="228"/>
      <c r="G406" s="579" t="s">
        <v>1037</v>
      </c>
      <c r="H406" s="216" t="s">
        <v>1017</v>
      </c>
      <c r="I406" s="239" t="str">
        <f>IF(ISBLANK(regional!I42),"",regional!I42)</f>
        <v/>
      </c>
      <c r="K406" s="262" t="s">
        <v>4249</v>
      </c>
      <c r="L406" s="262" t="s">
        <v>4249</v>
      </c>
      <c r="M406" s="262" t="s">
        <v>4249</v>
      </c>
      <c r="N406" s="262" t="s">
        <v>4249</v>
      </c>
    </row>
    <row r="407" spans="1:14" ht="12.75" customHeight="1" x14ac:dyDescent="0.2">
      <c r="A407" s="216"/>
      <c r="B407" s="228"/>
      <c r="C407" s="216" t="s">
        <v>1038</v>
      </c>
      <c r="D407" s="579"/>
      <c r="E407" s="579"/>
      <c r="F407" s="228"/>
      <c r="G407" s="579" t="s">
        <v>1039</v>
      </c>
      <c r="H407" s="216" t="s">
        <v>1017</v>
      </c>
      <c r="I407" s="239" t="str">
        <f>IF(ISBLANK(regional!I43),"",regional!I43)</f>
        <v/>
      </c>
      <c r="K407" s="262" t="s">
        <v>4249</v>
      </c>
      <c r="L407" s="262" t="s">
        <v>4249</v>
      </c>
      <c r="M407" s="262" t="s">
        <v>4249</v>
      </c>
      <c r="N407" s="262" t="s">
        <v>4249</v>
      </c>
    </row>
    <row r="408" spans="1:14" ht="12.75" customHeight="1" x14ac:dyDescent="0.2">
      <c r="A408" s="216"/>
      <c r="B408" s="228"/>
      <c r="C408" s="216" t="s">
        <v>1040</v>
      </c>
      <c r="D408" s="579"/>
      <c r="E408" s="579"/>
      <c r="F408" s="228"/>
      <c r="G408" s="579" t="s">
        <v>1041</v>
      </c>
      <c r="H408" s="216" t="s">
        <v>1017</v>
      </c>
      <c r="I408" s="239" t="str">
        <f>IF(ISBLANK(regional!I44),"",regional!I44)</f>
        <v/>
      </c>
      <c r="K408" s="262" t="s">
        <v>4249</v>
      </c>
      <c r="L408" s="262" t="s">
        <v>4249</v>
      </c>
      <c r="M408" s="262" t="s">
        <v>4249</v>
      </c>
      <c r="N408" s="262" t="s">
        <v>4249</v>
      </c>
    </row>
    <row r="409" spans="1:14" ht="12.75" customHeight="1" x14ac:dyDescent="0.2">
      <c r="A409" s="216"/>
      <c r="B409" s="228"/>
      <c r="C409" s="216" t="s">
        <v>1042</v>
      </c>
      <c r="D409" s="579"/>
      <c r="E409" s="579"/>
      <c r="F409" s="228"/>
      <c r="G409" s="579" t="s">
        <v>1043</v>
      </c>
      <c r="H409" s="216" t="s">
        <v>1017</v>
      </c>
      <c r="I409" s="239" t="str">
        <f>IF(ISBLANK(regional!I45),"",regional!I45)</f>
        <v/>
      </c>
      <c r="J409" s="826"/>
      <c r="K409" s="262" t="s">
        <v>4249</v>
      </c>
      <c r="L409" s="262">
        <v>0.5</v>
      </c>
      <c r="M409" s="262">
        <v>0.5</v>
      </c>
      <c r="N409" s="262" t="s">
        <v>4249</v>
      </c>
    </row>
    <row r="410" spans="1:14" ht="12.75" customHeight="1" x14ac:dyDescent="0.2">
      <c r="A410" s="216"/>
      <c r="B410" s="228"/>
      <c r="C410" s="216" t="s">
        <v>1044</v>
      </c>
      <c r="D410" s="579"/>
      <c r="E410" s="579"/>
      <c r="F410" s="228"/>
      <c r="G410" s="579" t="s">
        <v>1045</v>
      </c>
      <c r="H410" s="216" t="s">
        <v>1017</v>
      </c>
      <c r="I410" s="239" t="str">
        <f>IF(ISBLANK(regional!I46),"",regional!I46)</f>
        <v/>
      </c>
      <c r="K410" s="262" t="s">
        <v>4249</v>
      </c>
      <c r="N410" s="262" t="s">
        <v>4249</v>
      </c>
    </row>
    <row r="411" spans="1:14" ht="12.75" customHeight="1" x14ac:dyDescent="0.2">
      <c r="A411" s="216"/>
      <c r="B411" s="228"/>
      <c r="C411" s="228"/>
      <c r="D411" s="228"/>
      <c r="E411" s="228"/>
      <c r="F411" s="228"/>
      <c r="G411" s="579"/>
      <c r="H411" s="216"/>
      <c r="I411" s="239" t="str">
        <f>IF(ISBLANK(regional!I47),"",regional!I47)</f>
        <v/>
      </c>
      <c r="K411" s="262" t="s">
        <v>4249</v>
      </c>
      <c r="N411" s="262" t="s">
        <v>4249</v>
      </c>
    </row>
    <row r="412" spans="1:14" ht="12.75" customHeight="1" x14ac:dyDescent="0.2">
      <c r="A412" s="216" t="s">
        <v>1046</v>
      </c>
      <c r="B412" s="228"/>
      <c r="C412" s="228"/>
      <c r="D412" s="228"/>
      <c r="E412" s="228"/>
      <c r="F412" s="228"/>
      <c r="G412" s="216" t="s">
        <v>1047</v>
      </c>
      <c r="H412" s="216" t="s">
        <v>624</v>
      </c>
      <c r="I412" s="239" t="str">
        <f>IF(ISBLANK(regional!I48),"",regional!I48)</f>
        <v/>
      </c>
      <c r="K412" s="262" t="s">
        <v>4249</v>
      </c>
      <c r="N412" s="262" t="s">
        <v>4249</v>
      </c>
    </row>
    <row r="413" spans="1:14" ht="12.75" customHeight="1" x14ac:dyDescent="0.2">
      <c r="A413" s="216"/>
      <c r="B413" s="216"/>
      <c r="C413" s="216" t="s">
        <v>1049</v>
      </c>
      <c r="D413" s="579"/>
      <c r="E413" s="228"/>
      <c r="F413" s="228"/>
      <c r="G413" s="216" t="s">
        <v>1050</v>
      </c>
      <c r="H413" s="216" t="s">
        <v>1051</v>
      </c>
      <c r="I413" s="239" t="str">
        <f>IF(ISBLANK(regional!I49),"",regional!I49)</f>
        <v/>
      </c>
      <c r="K413" s="262" t="s">
        <v>4249</v>
      </c>
      <c r="N413" s="262" t="s">
        <v>4249</v>
      </c>
    </row>
    <row r="414" spans="1:14" ht="12.75" customHeight="1" x14ac:dyDescent="0.2">
      <c r="A414" s="216"/>
      <c r="B414" s="228"/>
      <c r="C414" s="228"/>
      <c r="D414" s="228"/>
      <c r="E414" s="228"/>
      <c r="F414" s="228"/>
      <c r="G414" s="579"/>
      <c r="H414" s="216"/>
      <c r="I414" s="239" t="str">
        <f>IF(ISBLANK(regional!I50),"",regional!I50)</f>
        <v/>
      </c>
      <c r="K414" s="262" t="s">
        <v>4249</v>
      </c>
      <c r="N414" s="262" t="s">
        <v>4249</v>
      </c>
    </row>
    <row r="415" spans="1:14" ht="12.75" customHeight="1" x14ac:dyDescent="0.2">
      <c r="A415" s="216" t="s">
        <v>1053</v>
      </c>
      <c r="B415" s="228"/>
      <c r="C415" s="228"/>
      <c r="D415" s="228"/>
      <c r="E415" s="228"/>
      <c r="F415" s="228"/>
      <c r="G415" s="216" t="s">
        <v>1054</v>
      </c>
      <c r="H415" s="216" t="s">
        <v>624</v>
      </c>
      <c r="I415" s="239" t="str">
        <f>IF(ISBLANK(regional!I51),"",regional!I51)</f>
        <v/>
      </c>
      <c r="K415" s="262" t="s">
        <v>4249</v>
      </c>
      <c r="N415" s="262" t="s">
        <v>4249</v>
      </c>
    </row>
    <row r="416" spans="1:14" ht="12.75" customHeight="1" x14ac:dyDescent="0.2">
      <c r="A416" s="216" t="s">
        <v>1055</v>
      </c>
      <c r="B416" s="228"/>
      <c r="C416" s="228"/>
      <c r="D416" s="228"/>
      <c r="E416" s="228"/>
      <c r="F416" s="228"/>
      <c r="G416" s="216" t="s">
        <v>1056</v>
      </c>
      <c r="H416" s="216" t="s">
        <v>624</v>
      </c>
      <c r="I416" s="239" t="str">
        <f>IF(ISBLANK(regional!I52),"",regional!I52)</f>
        <v/>
      </c>
      <c r="K416" s="262" t="s">
        <v>4249</v>
      </c>
      <c r="N416" s="262" t="s">
        <v>4249</v>
      </c>
    </row>
    <row r="417" spans="1:14" ht="12.75" customHeight="1" x14ac:dyDescent="0.2">
      <c r="A417" s="216" t="s">
        <v>1057</v>
      </c>
      <c r="B417" s="228"/>
      <c r="C417" s="228"/>
      <c r="D417" s="228"/>
      <c r="E417" s="228"/>
      <c r="F417" s="228"/>
      <c r="G417" s="216" t="s">
        <v>1058</v>
      </c>
      <c r="H417" s="216" t="s">
        <v>624</v>
      </c>
      <c r="I417" s="239" t="str">
        <f>IF(ISBLANK(regional!I53),"",regional!I53)</f>
        <v/>
      </c>
      <c r="K417" s="262" t="s">
        <v>4249</v>
      </c>
      <c r="N417" s="262" t="s">
        <v>4249</v>
      </c>
    </row>
    <row r="418" spans="1:14" ht="12.75" customHeight="1" x14ac:dyDescent="0.2">
      <c r="A418" s="216" t="s">
        <v>1059</v>
      </c>
      <c r="B418" s="228"/>
      <c r="C418" s="228"/>
      <c r="D418" s="228"/>
      <c r="E418" s="228"/>
      <c r="F418" s="228"/>
      <c r="G418" s="216" t="s">
        <v>1060</v>
      </c>
      <c r="H418" s="216" t="s">
        <v>624</v>
      </c>
      <c r="I418" s="239" t="str">
        <f>IF(ISBLANK(regional!I54),"",regional!I54)</f>
        <v/>
      </c>
      <c r="K418" s="262" t="s">
        <v>4249</v>
      </c>
      <c r="N418" s="262" t="s">
        <v>4249</v>
      </c>
    </row>
    <row r="419" spans="1:14" ht="12.75" customHeight="1" x14ac:dyDescent="0.2">
      <c r="A419" s="216" t="s">
        <v>1061</v>
      </c>
      <c r="B419" s="228"/>
      <c r="C419" s="228"/>
      <c r="D419" s="228"/>
      <c r="E419" s="228"/>
      <c r="F419" s="228"/>
      <c r="G419" s="216" t="s">
        <v>1062</v>
      </c>
      <c r="H419" s="216" t="s">
        <v>624</v>
      </c>
      <c r="I419" s="239" t="str">
        <f>IF(ISBLANK(regional!I55),"",regional!I55)</f>
        <v/>
      </c>
      <c r="K419" s="262" t="s">
        <v>4249</v>
      </c>
      <c r="N419" s="262" t="s">
        <v>4249</v>
      </c>
    </row>
    <row r="420" spans="1:14" ht="12.75" customHeight="1" x14ac:dyDescent="0.2">
      <c r="A420" s="216"/>
      <c r="B420" s="216" t="s">
        <v>1063</v>
      </c>
      <c r="C420" s="228"/>
      <c r="D420" s="228"/>
      <c r="E420" s="579"/>
      <c r="F420" s="579"/>
      <c r="G420" s="579" t="s">
        <v>1064</v>
      </c>
      <c r="H420" s="216" t="s">
        <v>1065</v>
      </c>
      <c r="I420" s="239" t="str">
        <f>IF(ISBLANK(regional!I56),"",regional!I56)</f>
        <v/>
      </c>
      <c r="K420" s="262" t="s">
        <v>4249</v>
      </c>
      <c r="N420" s="262" t="s">
        <v>4249</v>
      </c>
    </row>
    <row r="421" spans="1:14" ht="12.75" customHeight="1" x14ac:dyDescent="0.2">
      <c r="A421" s="216"/>
      <c r="B421" s="216" t="s">
        <v>1067</v>
      </c>
      <c r="C421" s="228"/>
      <c r="D421" s="228"/>
      <c r="E421" s="579"/>
      <c r="F421" s="579"/>
      <c r="G421" s="579" t="s">
        <v>1068</v>
      </c>
      <c r="H421" s="216" t="s">
        <v>1065</v>
      </c>
      <c r="I421" s="239" t="str">
        <f>IF(ISBLANK(regional!I57),"",regional!I57)</f>
        <v/>
      </c>
      <c r="K421" s="262" t="s">
        <v>4249</v>
      </c>
      <c r="N421" s="262" t="s">
        <v>4249</v>
      </c>
    </row>
    <row r="422" spans="1:14" ht="12.75" customHeight="1" x14ac:dyDescent="0.2">
      <c r="A422" s="216"/>
      <c r="B422" s="216" t="s">
        <v>1069</v>
      </c>
      <c r="C422" s="228"/>
      <c r="D422" s="228"/>
      <c r="E422" s="579"/>
      <c r="F422" s="579"/>
      <c r="G422" s="579" t="s">
        <v>1070</v>
      </c>
      <c r="H422" s="216" t="s">
        <v>1065</v>
      </c>
      <c r="I422" s="239" t="str">
        <f>IF(ISBLANK(regional!I58),"",regional!I58)</f>
        <v/>
      </c>
      <c r="K422" s="262" t="s">
        <v>4249</v>
      </c>
      <c r="N422" s="262" t="s">
        <v>4249</v>
      </c>
    </row>
    <row r="423" spans="1:14" ht="12.75" customHeight="1" x14ac:dyDescent="0.2">
      <c r="A423" s="216"/>
      <c r="B423" s="216" t="s">
        <v>1071</v>
      </c>
      <c r="C423" s="228"/>
      <c r="D423" s="228"/>
      <c r="E423" s="579"/>
      <c r="F423" s="579"/>
      <c r="G423" s="579" t="s">
        <v>1072</v>
      </c>
      <c r="H423" s="216" t="s">
        <v>1065</v>
      </c>
      <c r="I423" s="239" t="str">
        <f>IF(ISBLANK(regional!I59),"",regional!I59)</f>
        <v/>
      </c>
      <c r="K423" s="262" t="s">
        <v>4249</v>
      </c>
      <c r="L423" s="262">
        <v>74.451027688627093</v>
      </c>
      <c r="M423" s="262">
        <v>13.076273510050701</v>
      </c>
      <c r="N423" s="262" t="s">
        <v>4249</v>
      </c>
    </row>
    <row r="424" spans="1:14" ht="12.75" customHeight="1" x14ac:dyDescent="0.2">
      <c r="A424" s="216"/>
      <c r="B424" s="216" t="s">
        <v>1073</v>
      </c>
      <c r="C424" s="216"/>
      <c r="D424" s="228"/>
      <c r="E424" s="579"/>
      <c r="F424" s="579"/>
      <c r="G424" s="579" t="s">
        <v>1074</v>
      </c>
      <c r="H424" s="216" t="s">
        <v>1065</v>
      </c>
      <c r="I424" s="239" t="str">
        <f>IF(ISBLANK(regional!I60),"",regional!I60)</f>
        <v/>
      </c>
      <c r="K424" s="262" t="s">
        <v>4249</v>
      </c>
      <c r="N424" s="262" t="s">
        <v>4249</v>
      </c>
    </row>
    <row r="425" spans="1:14" ht="12.75" customHeight="1" x14ac:dyDescent="0.2">
      <c r="I425" s="239" t="str">
        <f>IF(ISBLANK(regional!I61),"",regional!I61)</f>
        <v/>
      </c>
      <c r="K425" s="262" t="s">
        <v>4249</v>
      </c>
      <c r="N425" s="262" t="s">
        <v>4249</v>
      </c>
    </row>
    <row r="426" spans="1:14" ht="12.75" customHeight="1" x14ac:dyDescent="0.2">
      <c r="A426" s="631" t="s">
        <v>1075</v>
      </c>
      <c r="B426" s="413"/>
      <c r="C426" s="413"/>
      <c r="D426" s="413"/>
      <c r="E426" s="413"/>
      <c r="F426" s="413"/>
      <c r="G426" s="631" t="s">
        <v>263</v>
      </c>
      <c r="H426" s="631" t="s">
        <v>279</v>
      </c>
      <c r="I426" s="239" t="str">
        <f>IF(ISBLANK(regional!I62),"",regional!I62)</f>
        <v>User input</v>
      </c>
      <c r="K426" s="262" t="s">
        <v>264</v>
      </c>
      <c r="N426" s="262" t="s">
        <v>264</v>
      </c>
    </row>
    <row r="427" spans="1:14" ht="12.75" customHeight="1" x14ac:dyDescent="0.2">
      <c r="A427" s="172"/>
      <c r="B427" s="172"/>
      <c r="C427" s="172"/>
      <c r="D427" s="172"/>
      <c r="E427" s="172"/>
      <c r="F427" s="172"/>
      <c r="I427" s="239" t="str">
        <f>IF(ISBLANK(regional!I63),"",regional!I63)</f>
        <v/>
      </c>
      <c r="K427" s="262" t="s">
        <v>4249</v>
      </c>
      <c r="N427" s="262" t="s">
        <v>4249</v>
      </c>
    </row>
    <row r="428" spans="1:14" ht="12.75" customHeight="1" x14ac:dyDescent="0.2">
      <c r="A428" s="228"/>
      <c r="B428" s="228" t="s">
        <v>1076</v>
      </c>
      <c r="C428" s="228"/>
      <c r="D428" s="228"/>
      <c r="E428" s="228"/>
      <c r="F428" s="228"/>
      <c r="G428" s="228" t="s">
        <v>1077</v>
      </c>
      <c r="H428" s="228" t="s">
        <v>296</v>
      </c>
      <c r="I428" s="239" t="str">
        <f>IF(ISBLANK(regional!I64),"",regional!I64)</f>
        <v/>
      </c>
      <c r="K428" s="262" t="s">
        <v>4249</v>
      </c>
      <c r="N428" s="262" t="s">
        <v>4249</v>
      </c>
    </row>
    <row r="429" spans="1:14" ht="12.75" customHeight="1" x14ac:dyDescent="0.2">
      <c r="A429" s="228"/>
      <c r="B429" s="228" t="s">
        <v>1078</v>
      </c>
      <c r="C429" s="228"/>
      <c r="D429" s="228"/>
      <c r="E429" s="228"/>
      <c r="F429" s="228"/>
      <c r="G429" s="228" t="s">
        <v>1079</v>
      </c>
      <c r="H429" s="228" t="s">
        <v>296</v>
      </c>
      <c r="I429" s="239" t="str">
        <f>IF(ISBLANK(regional!I65),"",regional!I65)</f>
        <v/>
      </c>
      <c r="K429" s="262" t="s">
        <v>4249</v>
      </c>
      <c r="N429" s="262" t="s">
        <v>4249</v>
      </c>
    </row>
    <row r="430" spans="1:14" ht="12.75" customHeight="1" x14ac:dyDescent="0.2">
      <c r="A430" s="228"/>
      <c r="B430" s="228" t="s">
        <v>1081</v>
      </c>
      <c r="C430" s="228"/>
      <c r="D430" s="228"/>
      <c r="E430" s="228"/>
      <c r="F430" s="228"/>
      <c r="G430" s="228" t="s">
        <v>1082</v>
      </c>
      <c r="H430" s="228" t="s">
        <v>296</v>
      </c>
      <c r="I430" s="239" t="str">
        <f>IF(ISBLANK(regional!I66),"",regional!I66)</f>
        <v/>
      </c>
      <c r="K430" s="262" t="s">
        <v>4249</v>
      </c>
      <c r="N430" s="262" t="s">
        <v>4249</v>
      </c>
    </row>
    <row r="431" spans="1:14" ht="12.75" customHeight="1" x14ac:dyDescent="0.25">
      <c r="A431" s="228"/>
      <c r="B431" s="228"/>
      <c r="C431" s="228" t="s">
        <v>1083</v>
      </c>
      <c r="D431" s="228"/>
      <c r="E431" s="228"/>
      <c r="F431" s="228"/>
      <c r="G431" s="228" t="s">
        <v>1084</v>
      </c>
      <c r="H431" s="228" t="s">
        <v>1085</v>
      </c>
      <c r="I431" s="239" t="str">
        <f>IF(ISBLANK(regional!I67),"",regional!I67)</f>
        <v/>
      </c>
      <c r="K431" s="262" t="s">
        <v>4249</v>
      </c>
      <c r="N431" s="262" t="s">
        <v>4249</v>
      </c>
    </row>
    <row r="432" spans="1:14" ht="12.75" customHeight="1" x14ac:dyDescent="0.25">
      <c r="A432" s="228"/>
      <c r="B432" s="228"/>
      <c r="C432" s="228" t="s">
        <v>1086</v>
      </c>
      <c r="D432" s="228"/>
      <c r="E432" s="228"/>
      <c r="F432" s="228"/>
      <c r="G432" s="228" t="s">
        <v>1087</v>
      </c>
      <c r="H432" s="228" t="s">
        <v>1088</v>
      </c>
      <c r="I432" s="239" t="str">
        <f>IF(ISBLANK(regional!I68),"",regional!I68)</f>
        <v/>
      </c>
      <c r="K432" s="262" t="s">
        <v>4249</v>
      </c>
      <c r="N432" s="262" t="s">
        <v>4249</v>
      </c>
    </row>
    <row r="433" spans="1:14" ht="12.75" customHeight="1" x14ac:dyDescent="0.25">
      <c r="A433" s="228"/>
      <c r="B433" s="228"/>
      <c r="C433" s="228" t="s">
        <v>1089</v>
      </c>
      <c r="D433" s="228"/>
      <c r="E433" s="228"/>
      <c r="F433" s="228"/>
      <c r="G433" s="228" t="s">
        <v>1090</v>
      </c>
      <c r="H433" s="228" t="s">
        <v>1091</v>
      </c>
      <c r="I433" s="239" t="str">
        <f>IF(ISBLANK(regional!I69),"",regional!I69)</f>
        <v/>
      </c>
      <c r="J433" s="826"/>
      <c r="K433" s="262" t="s">
        <v>4249</v>
      </c>
      <c r="N433" s="262" t="s">
        <v>4249</v>
      </c>
    </row>
    <row r="434" spans="1:14" ht="12.75" customHeight="1" x14ac:dyDescent="0.2">
      <c r="A434" s="216"/>
      <c r="B434" s="216" t="s">
        <v>1093</v>
      </c>
      <c r="C434" s="579"/>
      <c r="D434" s="228"/>
      <c r="E434" s="228"/>
      <c r="F434" s="228"/>
      <c r="G434" s="579" t="s">
        <v>1094</v>
      </c>
      <c r="H434" s="216" t="s">
        <v>296</v>
      </c>
      <c r="I434" s="239" t="str">
        <f>IF(ISBLANK(regional!I70),"",regional!I70)</f>
        <v/>
      </c>
      <c r="K434" s="262" t="s">
        <v>4249</v>
      </c>
      <c r="N434" s="262" t="s">
        <v>4249</v>
      </c>
    </row>
    <row r="435" spans="1:14" ht="12.75" customHeight="1" x14ac:dyDescent="0.2">
      <c r="A435" s="216"/>
      <c r="B435" s="228"/>
      <c r="C435" s="216" t="s">
        <v>1095</v>
      </c>
      <c r="D435" s="228"/>
      <c r="E435" s="228"/>
      <c r="F435" s="228"/>
      <c r="G435" s="579" t="s">
        <v>1096</v>
      </c>
      <c r="H435" s="216" t="s">
        <v>1097</v>
      </c>
      <c r="I435" s="239" t="str">
        <f>IF(ISBLANK(regional!I71),"",regional!I71)</f>
        <v/>
      </c>
      <c r="K435" s="262" t="s">
        <v>4249</v>
      </c>
      <c r="N435" s="262" t="s">
        <v>4249</v>
      </c>
    </row>
    <row r="436" spans="1:14" ht="12.75" customHeight="1" x14ac:dyDescent="0.2">
      <c r="A436" s="216"/>
      <c r="B436" s="228"/>
      <c r="C436" s="216" t="s">
        <v>1099</v>
      </c>
      <c r="D436" s="228"/>
      <c r="E436" s="228"/>
      <c r="F436" s="228"/>
      <c r="G436" s="579" t="s">
        <v>1100</v>
      </c>
      <c r="H436" s="216" t="s">
        <v>296</v>
      </c>
      <c r="I436" s="239" t="str">
        <f>IF(ISBLANK(regional!I72),"",regional!I72)</f>
        <v/>
      </c>
      <c r="K436" s="262" t="s">
        <v>4249</v>
      </c>
      <c r="N436" s="262" t="s">
        <v>4249</v>
      </c>
    </row>
    <row r="437" spans="1:14" ht="12.75" customHeight="1" x14ac:dyDescent="0.2">
      <c r="A437" s="216"/>
      <c r="B437" s="228"/>
      <c r="C437" s="216" t="s">
        <v>727</v>
      </c>
      <c r="D437" s="228"/>
      <c r="E437" s="228"/>
      <c r="F437" s="228"/>
      <c r="G437" s="579" t="s">
        <v>728</v>
      </c>
      <c r="H437" s="216" t="s">
        <v>586</v>
      </c>
      <c r="I437" s="239" t="str">
        <f>IF(ISBLANK(input!I281),"",input!I281)</f>
        <v/>
      </c>
      <c r="K437" s="262" t="s">
        <v>4249</v>
      </c>
      <c r="N437" s="262" t="s">
        <v>4249</v>
      </c>
    </row>
    <row r="438" spans="1:14" ht="12.75" customHeight="1" x14ac:dyDescent="0.2">
      <c r="A438" s="216"/>
      <c r="B438" s="228"/>
      <c r="C438" s="216" t="s">
        <v>1101</v>
      </c>
      <c r="D438" s="228"/>
      <c r="E438" s="228"/>
      <c r="F438" s="228"/>
      <c r="G438" s="579" t="s">
        <v>1102</v>
      </c>
      <c r="H438" s="216" t="s">
        <v>1103</v>
      </c>
      <c r="I438" s="239" t="str">
        <f>IF(ISBLANK(regional!I73),"",regional!I73)</f>
        <v/>
      </c>
      <c r="K438" s="262" t="s">
        <v>4249</v>
      </c>
      <c r="N438" s="262" t="s">
        <v>4249</v>
      </c>
    </row>
    <row r="439" spans="1:14" ht="12.75" customHeight="1" x14ac:dyDescent="0.2">
      <c r="A439" s="216"/>
      <c r="B439" s="228"/>
      <c r="C439" s="216" t="s">
        <v>721</v>
      </c>
      <c r="D439" s="228"/>
      <c r="E439" s="228"/>
      <c r="F439" s="228"/>
      <c r="G439" s="579" t="s">
        <v>722</v>
      </c>
      <c r="H439" s="216" t="s">
        <v>723</v>
      </c>
      <c r="I439" s="239" t="str">
        <f>IF(ISBLANK(input!I278),"",input!I278)</f>
        <v/>
      </c>
      <c r="K439" s="262" t="s">
        <v>4249</v>
      </c>
      <c r="N439" s="262" t="s">
        <v>4249</v>
      </c>
    </row>
    <row r="440" spans="1:14" ht="12.75" customHeight="1" x14ac:dyDescent="0.2">
      <c r="A440" s="216"/>
      <c r="B440" s="216" t="s">
        <v>1104</v>
      </c>
      <c r="C440" s="579"/>
      <c r="D440" s="228"/>
      <c r="E440" s="228"/>
      <c r="F440" s="228"/>
      <c r="G440" s="579" t="s">
        <v>1105</v>
      </c>
      <c r="H440" s="216" t="s">
        <v>296</v>
      </c>
      <c r="I440" s="239" t="str">
        <f>IF(ISBLANK(regional!I74),"",regional!I74)</f>
        <v/>
      </c>
      <c r="K440" s="262" t="s">
        <v>4249</v>
      </c>
      <c r="N440" s="262" t="s">
        <v>4249</v>
      </c>
    </row>
    <row r="441" spans="1:14" ht="12.75" customHeight="1" x14ac:dyDescent="0.2">
      <c r="A441" s="216"/>
      <c r="B441" s="228"/>
      <c r="C441" s="216" t="s">
        <v>1095</v>
      </c>
      <c r="D441" s="228"/>
      <c r="E441" s="228"/>
      <c r="F441" s="228"/>
      <c r="G441" s="579" t="s">
        <v>1106</v>
      </c>
      <c r="H441" s="216" t="s">
        <v>1097</v>
      </c>
      <c r="I441" s="239" t="str">
        <f>IF(ISBLANK(regional!I75),"",regional!I75)</f>
        <v/>
      </c>
      <c r="K441" s="262" t="s">
        <v>4249</v>
      </c>
      <c r="N441" s="262" t="s">
        <v>4249</v>
      </c>
    </row>
    <row r="442" spans="1:14" ht="12.75" customHeight="1" x14ac:dyDescent="0.2">
      <c r="A442" s="216"/>
      <c r="B442" s="228"/>
      <c r="C442" s="216" t="s">
        <v>1099</v>
      </c>
      <c r="D442" s="228"/>
      <c r="E442" s="228"/>
      <c r="F442" s="228"/>
      <c r="G442" s="579" t="s">
        <v>1107</v>
      </c>
      <c r="H442" s="216" t="s">
        <v>296</v>
      </c>
      <c r="I442" s="239" t="str">
        <f>IF(ISBLANK(regional!I76),"",regional!I76)</f>
        <v/>
      </c>
      <c r="K442" s="262" t="s">
        <v>4249</v>
      </c>
      <c r="N442" s="262" t="s">
        <v>4249</v>
      </c>
    </row>
    <row r="443" spans="1:14" ht="12.75" customHeight="1" x14ac:dyDescent="0.2">
      <c r="A443" s="216"/>
      <c r="B443" s="228"/>
      <c r="C443" s="216" t="s">
        <v>730</v>
      </c>
      <c r="D443" s="228"/>
      <c r="E443" s="228"/>
      <c r="F443" s="228"/>
      <c r="G443" s="579" t="s">
        <v>731</v>
      </c>
      <c r="H443" s="216" t="s">
        <v>586</v>
      </c>
      <c r="I443" s="239" t="str">
        <f>IF(ISBLANK(input!I282),"",input!I282)</f>
        <v/>
      </c>
      <c r="K443" s="262" t="s">
        <v>4249</v>
      </c>
      <c r="N443" s="262" t="s">
        <v>4249</v>
      </c>
    </row>
    <row r="444" spans="1:14" ht="12.75" customHeight="1" x14ac:dyDescent="0.2">
      <c r="A444" s="216"/>
      <c r="B444" s="228"/>
      <c r="C444" s="216" t="s">
        <v>1101</v>
      </c>
      <c r="D444" s="228"/>
      <c r="E444" s="228"/>
      <c r="F444" s="228"/>
      <c r="G444" s="579" t="s">
        <v>1108</v>
      </c>
      <c r="H444" s="216" t="s">
        <v>1103</v>
      </c>
      <c r="I444" s="239" t="str">
        <f>IF(ISBLANK(regional!I77),"",regional!I77)</f>
        <v/>
      </c>
      <c r="K444" s="262" t="s">
        <v>4249</v>
      </c>
      <c r="N444" s="262" t="s">
        <v>4249</v>
      </c>
    </row>
    <row r="445" spans="1:14" ht="12.75" customHeight="1" x14ac:dyDescent="0.2">
      <c r="A445" s="216"/>
      <c r="B445" s="228"/>
      <c r="C445" s="216" t="s">
        <v>721</v>
      </c>
      <c r="D445" s="228"/>
      <c r="E445" s="228"/>
      <c r="F445" s="228"/>
      <c r="G445" s="579" t="s">
        <v>725</v>
      </c>
      <c r="H445" s="216" t="s">
        <v>723</v>
      </c>
      <c r="I445" s="239" t="str">
        <f>IF(ISBLANK(input!I279),"",input!I279)</f>
        <v/>
      </c>
      <c r="K445" s="262" t="s">
        <v>4249</v>
      </c>
      <c r="N445" s="262" t="s">
        <v>4249</v>
      </c>
    </row>
    <row r="446" spans="1:14" ht="12.75" customHeight="1" x14ac:dyDescent="0.2">
      <c r="A446" s="216"/>
      <c r="B446" s="216" t="s">
        <v>1109</v>
      </c>
      <c r="C446" s="579"/>
      <c r="D446" s="228"/>
      <c r="E446" s="228"/>
      <c r="F446" s="228"/>
      <c r="G446" s="579" t="s">
        <v>1110</v>
      </c>
      <c r="H446" s="216" t="s">
        <v>296</v>
      </c>
      <c r="I446" s="239" t="str">
        <f>IF(ISBLANK(regional!I78),"",regional!I78)</f>
        <v/>
      </c>
      <c r="K446" s="262" t="s">
        <v>4249</v>
      </c>
      <c r="N446" s="262" t="s">
        <v>4249</v>
      </c>
    </row>
    <row r="447" spans="1:14" ht="12.75" customHeight="1" x14ac:dyDescent="0.2">
      <c r="A447" s="216"/>
      <c r="B447" s="228"/>
      <c r="C447" s="216" t="s">
        <v>1095</v>
      </c>
      <c r="D447" s="228"/>
      <c r="E447" s="228"/>
      <c r="F447" s="228"/>
      <c r="G447" s="579" t="s">
        <v>1111</v>
      </c>
      <c r="H447" s="216" t="s">
        <v>1097</v>
      </c>
      <c r="I447" s="239" t="str">
        <f>IF(ISBLANK(regional!I79),"",regional!I79)</f>
        <v/>
      </c>
      <c r="K447" s="262" t="s">
        <v>4249</v>
      </c>
      <c r="N447" s="262" t="s">
        <v>4249</v>
      </c>
    </row>
    <row r="448" spans="1:14" ht="12.75" customHeight="1" x14ac:dyDescent="0.2">
      <c r="A448" s="216"/>
      <c r="B448" s="228"/>
      <c r="C448" s="216" t="s">
        <v>1099</v>
      </c>
      <c r="D448" s="228"/>
      <c r="E448" s="228"/>
      <c r="F448" s="228"/>
      <c r="G448" s="579" t="s">
        <v>1112</v>
      </c>
      <c r="H448" s="216" t="s">
        <v>296</v>
      </c>
      <c r="I448" s="239" t="str">
        <f>IF(ISBLANK(regional!I80),"",regional!I80)</f>
        <v/>
      </c>
      <c r="K448" s="262" t="s">
        <v>4249</v>
      </c>
      <c r="N448" s="262" t="s">
        <v>4249</v>
      </c>
    </row>
    <row r="449" spans="1:14" ht="12.75" customHeight="1" x14ac:dyDescent="0.2">
      <c r="A449" s="216"/>
      <c r="B449" s="228"/>
      <c r="C449" s="216" t="s">
        <v>732</v>
      </c>
      <c r="D449" s="228"/>
      <c r="E449" s="228"/>
      <c r="F449" s="228"/>
      <c r="G449" s="579" t="s">
        <v>733</v>
      </c>
      <c r="H449" s="216" t="s">
        <v>586</v>
      </c>
      <c r="I449" s="239" t="str">
        <f>IF(ISBLANK(input!I283),"",input!I283)</f>
        <v/>
      </c>
      <c r="K449" s="262" t="s">
        <v>4249</v>
      </c>
      <c r="N449" s="262" t="s">
        <v>4249</v>
      </c>
    </row>
    <row r="450" spans="1:14" ht="12.75" customHeight="1" x14ac:dyDescent="0.2">
      <c r="A450" s="216"/>
      <c r="B450" s="228"/>
      <c r="C450" s="216" t="s">
        <v>1101</v>
      </c>
      <c r="D450" s="228"/>
      <c r="E450" s="228"/>
      <c r="F450" s="228"/>
      <c r="G450" s="579" t="s">
        <v>1113</v>
      </c>
      <c r="H450" s="216" t="s">
        <v>1103</v>
      </c>
      <c r="I450" s="239" t="str">
        <f>IF(ISBLANK(regional!I81),"",regional!I81)</f>
        <v/>
      </c>
      <c r="K450" s="262" t="s">
        <v>4249</v>
      </c>
      <c r="N450" s="262" t="s">
        <v>4249</v>
      </c>
    </row>
    <row r="451" spans="1:14" ht="12.75" customHeight="1" x14ac:dyDescent="0.2">
      <c r="A451" s="216"/>
      <c r="B451" s="228"/>
      <c r="C451" s="216" t="s">
        <v>721</v>
      </c>
      <c r="D451" s="228"/>
      <c r="E451" s="228"/>
      <c r="F451" s="228"/>
      <c r="G451" s="579" t="s">
        <v>726</v>
      </c>
      <c r="H451" s="216" t="s">
        <v>723</v>
      </c>
      <c r="I451" s="239" t="str">
        <f>IF(ISBLANK(input!I280),"",input!I280)</f>
        <v/>
      </c>
      <c r="K451" s="262" t="s">
        <v>4249</v>
      </c>
      <c r="N451" s="262" t="s">
        <v>4249</v>
      </c>
    </row>
    <row r="452" spans="1:14" ht="12.75" customHeight="1" x14ac:dyDescent="0.2">
      <c r="A452" s="568"/>
      <c r="B452" s="567"/>
      <c r="C452" s="568" t="s">
        <v>1114</v>
      </c>
      <c r="D452" s="680"/>
      <c r="E452" s="567"/>
      <c r="F452" s="567"/>
      <c r="G452" s="680" t="s">
        <v>1115</v>
      </c>
      <c r="H452" s="568" t="s">
        <v>296</v>
      </c>
      <c r="I452" s="239" t="str">
        <f>IF(ISBLANK(regional!I82),"",regional!I82)</f>
        <v/>
      </c>
      <c r="K452" s="262" t="s">
        <v>4249</v>
      </c>
      <c r="N452" s="262" t="s">
        <v>4249</v>
      </c>
    </row>
    <row r="453" spans="1:14" ht="12.75" customHeight="1" x14ac:dyDescent="0.2">
      <c r="A453" s="568"/>
      <c r="B453" s="567"/>
      <c r="C453" s="567"/>
      <c r="D453" s="568" t="s">
        <v>1116</v>
      </c>
      <c r="E453" s="567"/>
      <c r="F453" s="567"/>
      <c r="G453" s="680" t="s">
        <v>1117</v>
      </c>
      <c r="H453" s="568" t="s">
        <v>1097</v>
      </c>
      <c r="I453" s="239" t="str">
        <f>IF(ISBLANK(regional!I83),"",regional!I83)</f>
        <v/>
      </c>
      <c r="K453" s="262" t="s">
        <v>4249</v>
      </c>
      <c r="N453" s="262" t="s">
        <v>4249</v>
      </c>
    </row>
    <row r="454" spans="1:14" ht="12.75" customHeight="1" x14ac:dyDescent="0.2">
      <c r="A454" s="568"/>
      <c r="B454" s="567"/>
      <c r="C454" s="568" t="s">
        <v>1118</v>
      </c>
      <c r="D454" s="567"/>
      <c r="E454" s="567"/>
      <c r="F454" s="567"/>
      <c r="G454" s="680" t="s">
        <v>1119</v>
      </c>
      <c r="H454" s="568" t="s">
        <v>296</v>
      </c>
      <c r="I454" s="239" t="str">
        <f>IF(ISBLANK(regional!I84),"",regional!I84)</f>
        <v/>
      </c>
      <c r="K454" s="262" t="s">
        <v>4249</v>
      </c>
      <c r="N454" s="262" t="s">
        <v>4249</v>
      </c>
    </row>
    <row r="455" spans="1:14" ht="12.75" customHeight="1" x14ac:dyDescent="0.2">
      <c r="A455" s="216"/>
      <c r="B455" s="216"/>
      <c r="C455" s="216" t="s">
        <v>1120</v>
      </c>
      <c r="D455" s="579"/>
      <c r="E455" s="228"/>
      <c r="F455" s="228"/>
      <c r="G455" s="579" t="s">
        <v>1121</v>
      </c>
      <c r="H455" s="216" t="s">
        <v>296</v>
      </c>
      <c r="I455" s="239" t="str">
        <f>IF(ISBLANK(regional!I85),"",regional!I85)</f>
        <v/>
      </c>
      <c r="K455" s="262" t="s">
        <v>4249</v>
      </c>
      <c r="N455" s="262" t="s">
        <v>4249</v>
      </c>
    </row>
    <row r="456" spans="1:14" ht="12.75" customHeight="1" x14ac:dyDescent="0.2">
      <c r="A456" s="216"/>
      <c r="B456" s="228"/>
      <c r="C456" s="228"/>
      <c r="D456" s="216" t="s">
        <v>1122</v>
      </c>
      <c r="E456" s="228"/>
      <c r="F456" s="228"/>
      <c r="G456" s="579" t="s">
        <v>1123</v>
      </c>
      <c r="H456" s="216" t="s">
        <v>1097</v>
      </c>
      <c r="I456" s="239" t="str">
        <f>IF(ISBLANK(regional!I86),"",regional!I86)</f>
        <v/>
      </c>
      <c r="K456" s="262" t="s">
        <v>4249</v>
      </c>
      <c r="N456" s="262" t="s">
        <v>4249</v>
      </c>
    </row>
    <row r="457" spans="1:14" ht="12.75" customHeight="1" x14ac:dyDescent="0.2">
      <c r="A457" s="216"/>
      <c r="B457" s="228"/>
      <c r="C457" s="216" t="s">
        <v>1124</v>
      </c>
      <c r="D457" s="228"/>
      <c r="E457" s="228"/>
      <c r="F457" s="228"/>
      <c r="G457" s="579" t="s">
        <v>1125</v>
      </c>
      <c r="H457" s="216" t="s">
        <v>296</v>
      </c>
      <c r="I457" s="239" t="str">
        <f>IF(ISBLANK(regional!I87),"",regional!I87)</f>
        <v/>
      </c>
      <c r="K457" s="262" t="s">
        <v>4249</v>
      </c>
      <c r="N457" s="262" t="s">
        <v>4249</v>
      </c>
    </row>
    <row r="458" spans="1:14" ht="12.75" customHeight="1" x14ac:dyDescent="0.2">
      <c r="A458" s="216"/>
      <c r="B458" s="216"/>
      <c r="C458" s="216" t="s">
        <v>1126</v>
      </c>
      <c r="D458" s="579"/>
      <c r="E458" s="228"/>
      <c r="F458" s="228"/>
      <c r="G458" s="579" t="s">
        <v>1127</v>
      </c>
      <c r="H458" s="216" t="s">
        <v>296</v>
      </c>
      <c r="I458" s="239" t="str">
        <f>IF(ISBLANK(regional!I88),"",regional!I88)</f>
        <v/>
      </c>
      <c r="K458" s="262" t="s">
        <v>4249</v>
      </c>
      <c r="N458" s="262" t="s">
        <v>4249</v>
      </c>
    </row>
    <row r="459" spans="1:14" ht="12.75" customHeight="1" x14ac:dyDescent="0.2">
      <c r="A459" s="216"/>
      <c r="B459" s="216"/>
      <c r="C459" s="228"/>
      <c r="D459" s="216" t="s">
        <v>1128</v>
      </c>
      <c r="E459" s="228"/>
      <c r="F459" s="228"/>
      <c r="G459" s="579" t="s">
        <v>1129</v>
      </c>
      <c r="H459" s="216" t="s">
        <v>1097</v>
      </c>
      <c r="I459" s="239" t="str">
        <f>IF(ISBLANK(regional!I89),"",regional!I89)</f>
        <v/>
      </c>
      <c r="K459" s="262" t="s">
        <v>4249</v>
      </c>
      <c r="N459" s="262" t="s">
        <v>4249</v>
      </c>
    </row>
    <row r="460" spans="1:14" ht="12.75" customHeight="1" x14ac:dyDescent="0.2">
      <c r="A460" s="216"/>
      <c r="B460" s="228"/>
      <c r="C460" s="216" t="s">
        <v>1130</v>
      </c>
      <c r="D460" s="228"/>
      <c r="E460" s="228"/>
      <c r="F460" s="228"/>
      <c r="G460" s="579" t="s">
        <v>1131</v>
      </c>
      <c r="H460" s="216" t="s">
        <v>296</v>
      </c>
      <c r="I460" s="239" t="str">
        <f>IF(ISBLANK(regional!I90),"",regional!I90)</f>
        <v/>
      </c>
      <c r="K460" s="262" t="s">
        <v>4249</v>
      </c>
      <c r="N460" s="262" t="s">
        <v>4249</v>
      </c>
    </row>
    <row r="461" spans="1:14" ht="12.75" customHeight="1" x14ac:dyDescent="0.2">
      <c r="A461" s="216"/>
      <c r="B461" s="216"/>
      <c r="C461" s="216" t="s">
        <v>1132</v>
      </c>
      <c r="D461" s="579"/>
      <c r="E461" s="228"/>
      <c r="F461" s="228"/>
      <c r="G461" s="579" t="s">
        <v>1133</v>
      </c>
      <c r="H461" s="216" t="s">
        <v>296</v>
      </c>
      <c r="I461" s="239" t="str">
        <f>IF(ISBLANK(regional!I91),"",regional!I91)</f>
        <v/>
      </c>
      <c r="K461" s="262" t="s">
        <v>4249</v>
      </c>
      <c r="N461" s="262" t="s">
        <v>4249</v>
      </c>
    </row>
    <row r="462" spans="1:14" ht="12.75" customHeight="1" x14ac:dyDescent="0.2">
      <c r="A462" s="216"/>
      <c r="B462" s="216" t="s">
        <v>1134</v>
      </c>
      <c r="C462" s="579"/>
      <c r="D462" s="228"/>
      <c r="E462" s="228"/>
      <c r="F462" s="228"/>
      <c r="G462" s="579" t="s">
        <v>1135</v>
      </c>
      <c r="H462" s="216" t="s">
        <v>296</v>
      </c>
      <c r="I462" s="239" t="str">
        <f>IF(ISBLANK(regional!I92),"",regional!I92)</f>
        <v/>
      </c>
      <c r="K462" s="262" t="s">
        <v>4249</v>
      </c>
      <c r="N462" s="262" t="s">
        <v>4249</v>
      </c>
    </row>
    <row r="463" spans="1:14" ht="12.75" customHeight="1" x14ac:dyDescent="0.2">
      <c r="A463" s="216"/>
      <c r="B463" s="216" t="s">
        <v>1136</v>
      </c>
      <c r="C463" s="579"/>
      <c r="D463" s="228"/>
      <c r="E463" s="228"/>
      <c r="F463" s="228"/>
      <c r="G463" s="579" t="s">
        <v>1137</v>
      </c>
      <c r="H463" s="216" t="s">
        <v>296</v>
      </c>
      <c r="I463" s="239" t="str">
        <f>IF(ISBLANK(regional!I93),"",regional!I93)</f>
        <v/>
      </c>
      <c r="K463" s="262" t="s">
        <v>4249</v>
      </c>
      <c r="N463" s="262" t="s">
        <v>4249</v>
      </c>
    </row>
    <row r="464" spans="1:14" ht="12.75" customHeight="1" x14ac:dyDescent="0.2">
      <c r="A464" s="216"/>
      <c r="B464" s="228"/>
      <c r="C464" s="216" t="s">
        <v>1138</v>
      </c>
      <c r="D464" s="228"/>
      <c r="E464" s="228"/>
      <c r="F464" s="228"/>
      <c r="G464" s="579" t="s">
        <v>1139</v>
      </c>
      <c r="H464" s="216" t="s">
        <v>1097</v>
      </c>
      <c r="I464" s="239" t="str">
        <f>IF(ISBLANK(regional!I94),"",regional!I94)</f>
        <v/>
      </c>
      <c r="J464" s="228"/>
      <c r="K464" s="262" t="s">
        <v>4249</v>
      </c>
      <c r="N464" s="262" t="s">
        <v>4249</v>
      </c>
    </row>
    <row r="465" spans="1:14" ht="12.75" customHeight="1" x14ac:dyDescent="0.2">
      <c r="A465" s="216"/>
      <c r="B465" s="228"/>
      <c r="C465" s="216" t="s">
        <v>1140</v>
      </c>
      <c r="D465" s="228"/>
      <c r="E465" s="228"/>
      <c r="F465" s="228"/>
      <c r="G465" s="579" t="s">
        <v>1141</v>
      </c>
      <c r="H465" s="216" t="s">
        <v>296</v>
      </c>
      <c r="I465" s="239" t="str">
        <f>IF(ISBLANK(regional!I95),"",regional!I95)</f>
        <v/>
      </c>
      <c r="J465" s="411"/>
      <c r="K465" s="262" t="s">
        <v>4249</v>
      </c>
      <c r="N465" s="262" t="s">
        <v>4249</v>
      </c>
    </row>
    <row r="466" spans="1:14" ht="12.75" customHeight="1" x14ac:dyDescent="0.2">
      <c r="A466" s="216"/>
      <c r="B466" s="216"/>
      <c r="C466" s="216" t="s">
        <v>1142</v>
      </c>
      <c r="D466" s="579"/>
      <c r="E466" s="228"/>
      <c r="F466" s="228"/>
      <c r="G466" s="579" t="s">
        <v>1143</v>
      </c>
      <c r="H466" s="216" t="s">
        <v>296</v>
      </c>
      <c r="I466" s="239" t="str">
        <f>IF(ISBLANK(regional!I96),"",regional!I96)</f>
        <v/>
      </c>
      <c r="J466" s="228"/>
      <c r="K466" s="262" t="s">
        <v>4249</v>
      </c>
      <c r="N466" s="262" t="s">
        <v>4249</v>
      </c>
    </row>
    <row r="467" spans="1:14" ht="12.75" customHeight="1" x14ac:dyDescent="0.2">
      <c r="A467" s="216"/>
      <c r="B467" s="216" t="s">
        <v>1144</v>
      </c>
      <c r="C467" s="579"/>
      <c r="D467" s="228"/>
      <c r="E467" s="228"/>
      <c r="F467" s="228"/>
      <c r="G467" s="579" t="s">
        <v>1145</v>
      </c>
      <c r="H467" s="216" t="s">
        <v>296</v>
      </c>
      <c r="I467" s="239" t="str">
        <f>IF(ISBLANK(regional!I97),"",regional!I97)</f>
        <v/>
      </c>
      <c r="K467" s="262" t="s">
        <v>4249</v>
      </c>
      <c r="N467" s="262" t="s">
        <v>4249</v>
      </c>
    </row>
    <row r="468" spans="1:14" ht="12.75" customHeight="1" x14ac:dyDescent="0.2">
      <c r="A468" s="216"/>
      <c r="B468" s="216" t="s">
        <v>1146</v>
      </c>
      <c r="C468" s="579"/>
      <c r="D468" s="228"/>
      <c r="E468" s="228"/>
      <c r="F468" s="228"/>
      <c r="G468" s="579" t="s">
        <v>1147</v>
      </c>
      <c r="H468" s="216" t="s">
        <v>296</v>
      </c>
      <c r="I468" s="239" t="str">
        <f>IF(ISBLANK(regional!I98),"",regional!I98)</f>
        <v/>
      </c>
      <c r="K468" s="262" t="s">
        <v>4249</v>
      </c>
      <c r="N468" s="262" t="s">
        <v>4249</v>
      </c>
    </row>
    <row r="469" spans="1:14" ht="12.75" customHeight="1" x14ac:dyDescent="0.2">
      <c r="A469" s="216"/>
      <c r="B469" s="228"/>
      <c r="C469" s="216" t="s">
        <v>1148</v>
      </c>
      <c r="D469" s="228"/>
      <c r="E469" s="228"/>
      <c r="F469" s="228"/>
      <c r="G469" s="579" t="s">
        <v>1149</v>
      </c>
      <c r="H469" s="216" t="s">
        <v>1097</v>
      </c>
      <c r="I469" s="239" t="str">
        <f>IF(ISBLANK(regional!I99),"",regional!I99)</f>
        <v/>
      </c>
      <c r="K469" s="262" t="s">
        <v>4249</v>
      </c>
      <c r="N469" s="262" t="s">
        <v>4249</v>
      </c>
    </row>
    <row r="470" spans="1:14" ht="12.75" customHeight="1" x14ac:dyDescent="0.2">
      <c r="A470" s="216"/>
      <c r="B470" s="228"/>
      <c r="C470" s="216" t="s">
        <v>1150</v>
      </c>
      <c r="D470" s="228"/>
      <c r="E470" s="228"/>
      <c r="F470" s="228"/>
      <c r="G470" s="579" t="s">
        <v>1151</v>
      </c>
      <c r="H470" s="216" t="s">
        <v>296</v>
      </c>
      <c r="I470" s="239" t="str">
        <f>IF(ISBLANK(regional!I100),"",regional!I100)</f>
        <v/>
      </c>
      <c r="K470" s="262" t="s">
        <v>4249</v>
      </c>
      <c r="N470" s="262" t="s">
        <v>4249</v>
      </c>
    </row>
    <row r="471" spans="1:14" ht="12.75" customHeight="1" x14ac:dyDescent="0.2">
      <c r="A471" s="216"/>
      <c r="B471" s="216"/>
      <c r="C471" s="216" t="s">
        <v>1152</v>
      </c>
      <c r="D471" s="579"/>
      <c r="E471" s="228"/>
      <c r="F471" s="228"/>
      <c r="G471" s="579" t="s">
        <v>1153</v>
      </c>
      <c r="H471" s="216" t="s">
        <v>296</v>
      </c>
      <c r="I471" s="239" t="str">
        <f>IF(ISBLANK(regional!I101),"",regional!I101)</f>
        <v/>
      </c>
      <c r="K471" s="262" t="s">
        <v>4249</v>
      </c>
      <c r="N471" s="262" t="s">
        <v>4249</v>
      </c>
    </row>
    <row r="472" spans="1:14" ht="12.75" customHeight="1" x14ac:dyDescent="0.2">
      <c r="A472" s="216"/>
      <c r="B472" s="216" t="s">
        <v>1154</v>
      </c>
      <c r="C472" s="579"/>
      <c r="D472" s="228"/>
      <c r="E472" s="228"/>
      <c r="F472" s="228"/>
      <c r="G472" s="579" t="s">
        <v>1155</v>
      </c>
      <c r="H472" s="216" t="s">
        <v>296</v>
      </c>
      <c r="I472" s="239" t="str">
        <f>IF(ISBLANK(regional!I102),"",regional!I102)</f>
        <v/>
      </c>
      <c r="K472" s="262" t="s">
        <v>4249</v>
      </c>
      <c r="N472" s="262" t="s">
        <v>4249</v>
      </c>
    </row>
    <row r="473" spans="1:14" ht="12.75" customHeight="1" x14ac:dyDescent="0.2">
      <c r="A473" s="216"/>
      <c r="B473" s="216" t="s">
        <v>1156</v>
      </c>
      <c r="C473" s="579"/>
      <c r="D473" s="228"/>
      <c r="E473" s="228"/>
      <c r="F473" s="228"/>
      <c r="G473" s="579" t="s">
        <v>1157</v>
      </c>
      <c r="H473" s="216" t="s">
        <v>296</v>
      </c>
      <c r="I473" s="239" t="str">
        <f>IF(ISBLANK(regional!I103),"",regional!I103)</f>
        <v/>
      </c>
      <c r="K473" s="262" t="s">
        <v>4249</v>
      </c>
      <c r="N473" s="262" t="s">
        <v>4249</v>
      </c>
    </row>
    <row r="474" spans="1:14" ht="12.75" customHeight="1" x14ac:dyDescent="0.2">
      <c r="A474" s="216"/>
      <c r="B474" s="228"/>
      <c r="C474" s="216" t="s">
        <v>1158</v>
      </c>
      <c r="D474" s="228"/>
      <c r="E474" s="228"/>
      <c r="F474" s="228"/>
      <c r="G474" s="579" t="s">
        <v>1159</v>
      </c>
      <c r="H474" s="216" t="s">
        <v>1097</v>
      </c>
      <c r="I474" s="239" t="str">
        <f>IF(ISBLANK(regional!I104),"",regional!I104)</f>
        <v/>
      </c>
      <c r="K474" s="262" t="s">
        <v>4249</v>
      </c>
      <c r="N474" s="262" t="s">
        <v>4249</v>
      </c>
    </row>
    <row r="475" spans="1:14" ht="12.75" customHeight="1" x14ac:dyDescent="0.2">
      <c r="A475" s="216"/>
      <c r="B475" s="228"/>
      <c r="C475" s="216" t="s">
        <v>1160</v>
      </c>
      <c r="D475" s="228"/>
      <c r="E475" s="228"/>
      <c r="F475" s="228"/>
      <c r="G475" s="579" t="s">
        <v>1161</v>
      </c>
      <c r="H475" s="216" t="s">
        <v>296</v>
      </c>
      <c r="I475" s="239" t="str">
        <f>IF(ISBLANK(regional!I105),"",regional!I105)</f>
        <v/>
      </c>
      <c r="K475" s="262" t="s">
        <v>4249</v>
      </c>
      <c r="N475" s="262" t="s">
        <v>4249</v>
      </c>
    </row>
    <row r="476" spans="1:14" ht="12.75" customHeight="1" x14ac:dyDescent="0.2">
      <c r="A476" s="172"/>
      <c r="D476" s="172"/>
      <c r="G476" s="183"/>
      <c r="I476" s="239" t="str">
        <f>IF(ISBLANK(regional!I106),"",regional!I106)</f>
        <v/>
      </c>
      <c r="K476" s="262" t="s">
        <v>4249</v>
      </c>
      <c r="N476" s="262" t="s">
        <v>4249</v>
      </c>
    </row>
    <row r="477" spans="1:14" ht="12.75" customHeight="1" x14ac:dyDescent="0.2">
      <c r="A477" s="631" t="s">
        <v>1162</v>
      </c>
      <c r="B477" s="413"/>
      <c r="C477" s="413"/>
      <c r="D477" s="413"/>
      <c r="E477" s="413"/>
      <c r="F477" s="413"/>
      <c r="G477" s="631" t="s">
        <v>263</v>
      </c>
      <c r="H477" s="631" t="s">
        <v>279</v>
      </c>
      <c r="I477" s="239" t="str">
        <f>IF(ISBLANK(regional!I107),"",regional!I107)</f>
        <v>User input</v>
      </c>
      <c r="K477" s="262" t="s">
        <v>264</v>
      </c>
      <c r="N477" s="262" t="s">
        <v>264</v>
      </c>
    </row>
    <row r="478" spans="1:14" ht="12.75" customHeight="1" x14ac:dyDescent="0.2">
      <c r="I478" s="239" t="str">
        <f>IF(ISBLANK(regional!I108),"",regional!I108)</f>
        <v/>
      </c>
      <c r="K478" s="262" t="s">
        <v>4249</v>
      </c>
      <c r="N478" s="262" t="s">
        <v>4249</v>
      </c>
    </row>
    <row r="479" spans="1:14" ht="12.75" customHeight="1" x14ac:dyDescent="0.2">
      <c r="A479" s="216" t="s">
        <v>1163</v>
      </c>
      <c r="B479" s="228"/>
      <c r="C479" s="228"/>
      <c r="D479" s="228"/>
      <c r="E479" s="228"/>
      <c r="F479" s="228"/>
      <c r="G479" s="216" t="s">
        <v>1164</v>
      </c>
      <c r="H479" s="216" t="s">
        <v>624</v>
      </c>
      <c r="I479" s="239" t="str">
        <f>IF(ISBLANK(regional!I109),"",regional!I109)</f>
        <v/>
      </c>
      <c r="K479" s="262">
        <v>0</v>
      </c>
      <c r="N479" s="262" t="s">
        <v>4249</v>
      </c>
    </row>
    <row r="480" spans="1:14" ht="12.75" customHeight="1" x14ac:dyDescent="0.2">
      <c r="A480" s="216" t="s">
        <v>1165</v>
      </c>
      <c r="B480" s="228"/>
      <c r="C480" s="228"/>
      <c r="D480" s="228"/>
      <c r="E480" s="228"/>
      <c r="F480" s="228"/>
      <c r="G480" s="216" t="s">
        <v>1166</v>
      </c>
      <c r="H480" s="216" t="s">
        <v>624</v>
      </c>
      <c r="I480" s="239" t="str">
        <f>IF(ISBLANK(regional!I110),"",regional!I110)</f>
        <v/>
      </c>
      <c r="K480" s="262" t="s">
        <v>4249</v>
      </c>
      <c r="N480" s="262" t="s">
        <v>4249</v>
      </c>
    </row>
    <row r="481" spans="1:14" ht="12.75" customHeight="1" x14ac:dyDescent="0.2">
      <c r="A481" s="216" t="s">
        <v>1167</v>
      </c>
      <c r="B481" s="228"/>
      <c r="C481" s="228"/>
      <c r="D481" s="228"/>
      <c r="E481" s="228"/>
      <c r="F481" s="228"/>
      <c r="G481" s="216" t="s">
        <v>1168</v>
      </c>
      <c r="H481" s="216" t="s">
        <v>624</v>
      </c>
      <c r="I481" s="239" t="str">
        <f>IF(ISBLANK(regional!I111),"",regional!I111)</f>
        <v/>
      </c>
      <c r="K481" s="262">
        <v>0</v>
      </c>
      <c r="N481" s="262" t="s">
        <v>4249</v>
      </c>
    </row>
    <row r="482" spans="1:14" ht="12.75" customHeight="1" x14ac:dyDescent="0.2">
      <c r="A482" s="216" t="s">
        <v>1169</v>
      </c>
      <c r="B482" s="228"/>
      <c r="C482" s="228"/>
      <c r="D482" s="228"/>
      <c r="E482" s="228"/>
      <c r="F482" s="228"/>
      <c r="G482" s="216" t="s">
        <v>1170</v>
      </c>
      <c r="H482" s="216" t="s">
        <v>624</v>
      </c>
      <c r="I482" s="239" t="str">
        <f>IF(ISBLANK(regional!I112),"",regional!I112)</f>
        <v/>
      </c>
      <c r="K482" s="262" t="s">
        <v>4249</v>
      </c>
      <c r="N482" s="262" t="s">
        <v>4249</v>
      </c>
    </row>
    <row r="483" spans="1:14" ht="12.75" customHeight="1" x14ac:dyDescent="0.2">
      <c r="A483" s="216" t="s">
        <v>1171</v>
      </c>
      <c r="B483" s="228"/>
      <c r="C483" s="228"/>
      <c r="D483" s="228"/>
      <c r="E483" s="228"/>
      <c r="F483" s="228"/>
      <c r="G483" s="216" t="s">
        <v>1172</v>
      </c>
      <c r="H483" s="216" t="s">
        <v>624</v>
      </c>
      <c r="I483" s="239" t="str">
        <f>IF(ISBLANK(regional!I113),"",regional!I113)</f>
        <v/>
      </c>
      <c r="K483" s="262">
        <v>0</v>
      </c>
      <c r="N483" s="262" t="s">
        <v>4249</v>
      </c>
    </row>
    <row r="484" spans="1:14" ht="12.75" customHeight="1" x14ac:dyDescent="0.2">
      <c r="A484" s="216" t="s">
        <v>1173</v>
      </c>
      <c r="B484" s="228"/>
      <c r="C484" s="228"/>
      <c r="D484" s="228"/>
      <c r="E484" s="228"/>
      <c r="F484" s="228"/>
      <c r="G484" s="216" t="s">
        <v>1174</v>
      </c>
      <c r="H484" s="216" t="s">
        <v>624</v>
      </c>
      <c r="I484" s="239" t="str">
        <f>IF(ISBLANK(regional!I114),"",regional!I114)</f>
        <v/>
      </c>
      <c r="K484" s="262">
        <v>0</v>
      </c>
      <c r="N484" s="262" t="s">
        <v>4249</v>
      </c>
    </row>
    <row r="485" spans="1:14" ht="12.75" customHeight="1" x14ac:dyDescent="0.2">
      <c r="A485" s="216" t="s">
        <v>1175</v>
      </c>
      <c r="B485" s="228"/>
      <c r="C485" s="228"/>
      <c r="D485" s="228"/>
      <c r="E485" s="228"/>
      <c r="F485" s="228"/>
      <c r="G485" s="216" t="s">
        <v>1176</v>
      </c>
      <c r="H485" s="216" t="s">
        <v>624</v>
      </c>
      <c r="I485" s="239" t="str">
        <f>IF(ISBLANK(regional!I115),"",regional!I115)</f>
        <v/>
      </c>
      <c r="K485" s="262" t="s">
        <v>4249</v>
      </c>
      <c r="N485" s="262" t="s">
        <v>4249</v>
      </c>
    </row>
    <row r="486" spans="1:14" ht="12.75" customHeight="1" x14ac:dyDescent="0.2">
      <c r="A486" s="216" t="s">
        <v>1177</v>
      </c>
      <c r="B486" s="228"/>
      <c r="C486" s="228"/>
      <c r="D486" s="228"/>
      <c r="E486" s="228"/>
      <c r="F486" s="228"/>
      <c r="G486" s="216" t="s">
        <v>1178</v>
      </c>
      <c r="H486" s="216" t="s">
        <v>624</v>
      </c>
      <c r="I486" s="239" t="str">
        <f>IF(ISBLANK(regional!I116),"",regional!I116)</f>
        <v/>
      </c>
      <c r="K486" s="262" t="s">
        <v>4249</v>
      </c>
      <c r="N486" s="262" t="s">
        <v>4249</v>
      </c>
    </row>
    <row r="487" spans="1:14" ht="12.75" customHeight="1" x14ac:dyDescent="0.2">
      <c r="A487" s="216" t="s">
        <v>1179</v>
      </c>
      <c r="B487" s="228"/>
      <c r="C487" s="228"/>
      <c r="D487" s="228"/>
      <c r="E487" s="228"/>
      <c r="F487" s="228"/>
      <c r="G487" s="216" t="s">
        <v>1180</v>
      </c>
      <c r="H487" s="216" t="s">
        <v>624</v>
      </c>
      <c r="I487" s="239" t="str">
        <f>IF(ISBLANK(regional!I117),"",regional!I117)</f>
        <v/>
      </c>
      <c r="K487" s="262" t="s">
        <v>4249</v>
      </c>
      <c r="N487" s="262" t="s">
        <v>4249</v>
      </c>
    </row>
    <row r="488" spans="1:14" ht="12.75" customHeight="1" x14ac:dyDescent="0.2">
      <c r="A488" s="216" t="s">
        <v>1181</v>
      </c>
      <c r="B488" s="228"/>
      <c r="C488" s="228"/>
      <c r="D488" s="228"/>
      <c r="E488" s="228"/>
      <c r="F488" s="228"/>
      <c r="G488" s="216" t="s">
        <v>1182</v>
      </c>
      <c r="H488" s="216" t="s">
        <v>624</v>
      </c>
      <c r="I488" s="239" t="str">
        <f>IF(ISBLANK(regional!I118),"",regional!I118)</f>
        <v/>
      </c>
      <c r="K488" s="262" t="s">
        <v>4249</v>
      </c>
      <c r="N488" s="262" t="s">
        <v>4249</v>
      </c>
    </row>
    <row r="489" spans="1:14" ht="12.75" customHeight="1" x14ac:dyDescent="0.2">
      <c r="A489" s="216" t="s">
        <v>1183</v>
      </c>
      <c r="B489" s="228"/>
      <c r="C489" s="228"/>
      <c r="D489" s="228"/>
      <c r="E489" s="228"/>
      <c r="F489" s="228"/>
      <c r="G489" s="216" t="s">
        <v>1184</v>
      </c>
      <c r="H489" s="216" t="s">
        <v>624</v>
      </c>
      <c r="I489" s="239" t="str">
        <f>IF(ISBLANK(regional!I119),"",regional!I119)</f>
        <v/>
      </c>
      <c r="K489" s="262" t="s">
        <v>4249</v>
      </c>
      <c r="N489" s="262" t="s">
        <v>4249</v>
      </c>
    </row>
    <row r="490" spans="1:14" ht="12.75" customHeight="1" x14ac:dyDescent="0.2">
      <c r="A490" s="216" t="s">
        <v>1185</v>
      </c>
      <c r="B490" s="228"/>
      <c r="C490" s="228"/>
      <c r="D490" s="228"/>
      <c r="E490" s="228"/>
      <c r="F490" s="228"/>
      <c r="G490" s="216" t="s">
        <v>1186</v>
      </c>
      <c r="H490" s="216" t="s">
        <v>624</v>
      </c>
      <c r="I490" s="239" t="str">
        <f>IF(ISBLANK(regional!I120),"",regional!I120)</f>
        <v/>
      </c>
      <c r="K490" s="262" t="s">
        <v>4249</v>
      </c>
      <c r="N490" s="262" t="s">
        <v>4249</v>
      </c>
    </row>
    <row r="491" spans="1:14" ht="12.75" customHeight="1" x14ac:dyDescent="0.2">
      <c r="A491" s="216"/>
      <c r="B491" s="216" t="s">
        <v>1187</v>
      </c>
      <c r="C491" s="228"/>
      <c r="D491" s="228"/>
      <c r="E491" s="228"/>
      <c r="F491" s="228"/>
      <c r="G491" s="642" t="s">
        <v>1188</v>
      </c>
      <c r="H491" s="216" t="s">
        <v>624</v>
      </c>
      <c r="I491" s="239" t="str">
        <f>IF(ISBLANK(regional!I121),"",regional!I121)</f>
        <v/>
      </c>
      <c r="K491" s="262" t="s">
        <v>4249</v>
      </c>
      <c r="N491" s="262" t="s">
        <v>4249</v>
      </c>
    </row>
    <row r="492" spans="1:14" ht="12.75" customHeight="1" x14ac:dyDescent="0.2">
      <c r="A492" s="216"/>
      <c r="B492" s="216"/>
      <c r="C492" s="228" t="s">
        <v>1189</v>
      </c>
      <c r="D492" s="228"/>
      <c r="E492" s="228"/>
      <c r="F492" s="228"/>
      <c r="G492" s="642" t="s">
        <v>1190</v>
      </c>
      <c r="H492" s="216" t="s">
        <v>624</v>
      </c>
      <c r="I492" s="239" t="str">
        <f>IF(ISBLANK(regional!I122),"",regional!I122)</f>
        <v/>
      </c>
      <c r="K492" s="262" t="s">
        <v>4249</v>
      </c>
      <c r="N492" s="262" t="s">
        <v>4249</v>
      </c>
    </row>
    <row r="493" spans="1:14" ht="12.75" customHeight="1" x14ac:dyDescent="0.2">
      <c r="A493" s="216"/>
      <c r="B493" s="216"/>
      <c r="C493" s="216"/>
      <c r="D493" s="216" t="s">
        <v>1191</v>
      </c>
      <c r="E493" s="228"/>
      <c r="F493" s="228"/>
      <c r="G493" s="216" t="s">
        <v>1192</v>
      </c>
      <c r="H493" s="216" t="s">
        <v>624</v>
      </c>
      <c r="I493" s="239" t="str">
        <f>IF(ISBLANK(regional!I123),"",regional!I123)</f>
        <v/>
      </c>
      <c r="K493" s="262" t="s">
        <v>4249</v>
      </c>
      <c r="N493" s="262" t="s">
        <v>4249</v>
      </c>
    </row>
    <row r="494" spans="1:14" ht="12.75" customHeight="1" x14ac:dyDescent="0.2">
      <c r="A494" s="216"/>
      <c r="B494" s="216"/>
      <c r="C494" s="216"/>
      <c r="D494" s="216" t="s">
        <v>1193</v>
      </c>
      <c r="E494" s="228"/>
      <c r="F494" s="228"/>
      <c r="G494" s="216" t="s">
        <v>1194</v>
      </c>
      <c r="H494" s="216" t="s">
        <v>624</v>
      </c>
      <c r="I494" s="239" t="str">
        <f>IF(ISBLANK(regional!I124),"",regional!I124)</f>
        <v/>
      </c>
      <c r="K494" s="262" t="s">
        <v>4249</v>
      </c>
      <c r="N494" s="262" t="s">
        <v>4249</v>
      </c>
    </row>
    <row r="495" spans="1:14" ht="12.75" customHeight="1" x14ac:dyDescent="0.2">
      <c r="A495" s="216"/>
      <c r="B495" s="216"/>
      <c r="C495" s="228"/>
      <c r="D495" s="228" t="s">
        <v>1195</v>
      </c>
      <c r="E495" s="228"/>
      <c r="F495" s="228"/>
      <c r="G495" s="228" t="s">
        <v>1196</v>
      </c>
      <c r="H495" s="228" t="s">
        <v>1197</v>
      </c>
      <c r="I495" s="239" t="str">
        <f>IF(ISBLANK(regional!I125),"",regional!I125)</f>
        <v/>
      </c>
      <c r="K495" s="262" t="s">
        <v>4249</v>
      </c>
      <c r="N495" s="262" t="s">
        <v>4249</v>
      </c>
    </row>
    <row r="496" spans="1:14" ht="12.75" customHeight="1" x14ac:dyDescent="0.2">
      <c r="A496" s="216"/>
      <c r="B496" s="216"/>
      <c r="C496" s="228"/>
      <c r="D496" s="228" t="s">
        <v>1198</v>
      </c>
      <c r="E496" s="228"/>
      <c r="F496" s="228"/>
      <c r="G496" s="228" t="s">
        <v>1199</v>
      </c>
      <c r="H496" s="228" t="s">
        <v>1197</v>
      </c>
      <c r="I496" s="239" t="str">
        <f>IF(ISBLANK(regional!I126),"",regional!I126)</f>
        <v/>
      </c>
      <c r="K496" s="262" t="s">
        <v>4249</v>
      </c>
      <c r="N496" s="262" t="s">
        <v>4249</v>
      </c>
    </row>
    <row r="497" spans="1:14" ht="12.75" customHeight="1" x14ac:dyDescent="0.2">
      <c r="A497" s="216"/>
      <c r="B497" s="216"/>
      <c r="C497" s="216" t="s">
        <v>1200</v>
      </c>
      <c r="D497" s="228"/>
      <c r="E497" s="228"/>
      <c r="F497" s="228"/>
      <c r="G497" s="579" t="s">
        <v>1201</v>
      </c>
      <c r="H497" s="579" t="s">
        <v>1202</v>
      </c>
      <c r="I497" s="239" t="str">
        <f>IF(ISBLANK(regional!I127),"",regional!I127)</f>
        <v/>
      </c>
      <c r="K497" s="262" t="s">
        <v>4249</v>
      </c>
      <c r="N497" s="262" t="s">
        <v>4249</v>
      </c>
    </row>
    <row r="498" spans="1:14" ht="12.75" customHeight="1" x14ac:dyDescent="0.2">
      <c r="A498" s="216"/>
      <c r="B498" s="216"/>
      <c r="C498" s="216" t="s">
        <v>1203</v>
      </c>
      <c r="D498" s="228"/>
      <c r="E498" s="228"/>
      <c r="F498" s="228"/>
      <c r="G498" s="216" t="s">
        <v>1204</v>
      </c>
      <c r="H498" s="579" t="s">
        <v>1202</v>
      </c>
      <c r="I498" s="239" t="str">
        <f>IF(ISBLANK(regional!I128),"",regional!I128)</f>
        <v/>
      </c>
      <c r="K498" s="262" t="s">
        <v>4249</v>
      </c>
      <c r="N498" s="262" t="s">
        <v>4249</v>
      </c>
    </row>
    <row r="499" spans="1:14" ht="12.75" customHeight="1" x14ac:dyDescent="0.2">
      <c r="A499" s="216"/>
      <c r="B499" s="216"/>
      <c r="C499" s="216" t="s">
        <v>4350</v>
      </c>
      <c r="D499" s="228"/>
      <c r="E499" s="228"/>
      <c r="F499" s="228"/>
      <c r="G499" s="216" t="s">
        <v>4351</v>
      </c>
      <c r="H499" s="579" t="s">
        <v>1202</v>
      </c>
      <c r="I499" s="239" t="str">
        <f>IF(ISBLANK(regional!I129),"",regional!I129)</f>
        <v/>
      </c>
      <c r="K499" s="262" t="s">
        <v>4249</v>
      </c>
      <c r="N499" s="262" t="s">
        <v>4249</v>
      </c>
    </row>
    <row r="500" spans="1:14" ht="12.75" customHeight="1" x14ac:dyDescent="0.2">
      <c r="A500" s="216"/>
      <c r="B500" s="216"/>
      <c r="C500" s="228"/>
      <c r="D500" s="579" t="s">
        <v>1207</v>
      </c>
      <c r="E500" s="579"/>
      <c r="F500" s="579"/>
      <c r="G500" s="579" t="s">
        <v>1208</v>
      </c>
      <c r="H500" s="579" t="s">
        <v>1202</v>
      </c>
      <c r="I500" s="239" t="str">
        <f>IF(ISBLANK(regional!I130),"",regional!I130)</f>
        <v/>
      </c>
      <c r="K500" s="262" t="s">
        <v>4249</v>
      </c>
      <c r="N500" s="262" t="s">
        <v>4249</v>
      </c>
    </row>
    <row r="501" spans="1:14" ht="12.75" customHeight="1" x14ac:dyDescent="0.2">
      <c r="A501" s="216"/>
      <c r="B501" s="216"/>
      <c r="C501" s="228"/>
      <c r="D501" s="216" t="s">
        <v>1209</v>
      </c>
      <c r="E501" s="228"/>
      <c r="F501" s="228"/>
      <c r="G501" s="579" t="s">
        <v>1210</v>
      </c>
      <c r="H501" s="216" t="s">
        <v>296</v>
      </c>
      <c r="I501" s="239" t="str">
        <f>IF(ISBLANK(regional!I131),"",regional!I131)</f>
        <v/>
      </c>
      <c r="K501" s="262" t="s">
        <v>4249</v>
      </c>
      <c r="N501" s="262" t="s">
        <v>4249</v>
      </c>
    </row>
    <row r="502" spans="1:14" ht="12.75" customHeight="1" x14ac:dyDescent="0.2">
      <c r="A502" s="216"/>
      <c r="B502" s="216"/>
      <c r="C502" s="216" t="s">
        <v>1211</v>
      </c>
      <c r="D502" s="216"/>
      <c r="E502" s="228"/>
      <c r="F502" s="228"/>
      <c r="G502" s="642" t="s">
        <v>1212</v>
      </c>
      <c r="H502" s="216" t="s">
        <v>1202</v>
      </c>
      <c r="I502" s="239" t="str">
        <f>IF(ISBLANK(regional!I132),"",regional!I132)</f>
        <v/>
      </c>
      <c r="K502" s="262" t="s">
        <v>4249</v>
      </c>
      <c r="N502" s="262" t="s">
        <v>4249</v>
      </c>
    </row>
    <row r="503" spans="1:14" ht="12.75" customHeight="1" x14ac:dyDescent="0.2">
      <c r="A503" s="216"/>
      <c r="B503" s="216"/>
      <c r="C503" s="216" t="s">
        <v>1213</v>
      </c>
      <c r="D503" s="216"/>
      <c r="E503" s="228"/>
      <c r="F503" s="228"/>
      <c r="G503" s="642" t="s">
        <v>1214</v>
      </c>
      <c r="H503" s="216" t="s">
        <v>1202</v>
      </c>
      <c r="I503" s="239" t="str">
        <f>IF(ISBLANK(regional!I133),"",regional!I133)</f>
        <v/>
      </c>
      <c r="J503" s="545"/>
      <c r="K503" s="262" t="s">
        <v>4249</v>
      </c>
      <c r="N503" s="262" t="s">
        <v>4249</v>
      </c>
    </row>
    <row r="504" spans="1:14" ht="12.75" customHeight="1" x14ac:dyDescent="0.2">
      <c r="A504" s="216"/>
      <c r="B504" s="216"/>
      <c r="C504" s="216" t="s">
        <v>1215</v>
      </c>
      <c r="D504" s="216"/>
      <c r="E504" s="228"/>
      <c r="F504" s="228"/>
      <c r="G504" s="642" t="s">
        <v>1216</v>
      </c>
      <c r="H504" s="216" t="s">
        <v>1202</v>
      </c>
      <c r="I504" s="239" t="str">
        <f>IF(ISBLANK(regional!I134),"",regional!I134)</f>
        <v/>
      </c>
      <c r="J504" s="228"/>
      <c r="K504" s="262" t="s">
        <v>4249</v>
      </c>
      <c r="N504" s="262" t="s">
        <v>4249</v>
      </c>
    </row>
    <row r="505" spans="1:14" ht="12.75" customHeight="1" x14ac:dyDescent="0.2">
      <c r="A505" s="216"/>
      <c r="B505" s="216"/>
      <c r="C505" s="216" t="s">
        <v>1218</v>
      </c>
      <c r="D505" s="216"/>
      <c r="E505" s="228"/>
      <c r="F505" s="228"/>
      <c r="G505" s="642" t="s">
        <v>1219</v>
      </c>
      <c r="H505" s="216" t="s">
        <v>1202</v>
      </c>
      <c r="I505" s="239" t="str">
        <f>IF(ISBLANK(regional!I135),"",regional!I135)</f>
        <v/>
      </c>
      <c r="J505" s="228"/>
      <c r="K505" s="262" t="s">
        <v>4249</v>
      </c>
      <c r="N505" s="262" t="s">
        <v>4249</v>
      </c>
    </row>
    <row r="506" spans="1:14" ht="12.75" customHeight="1" x14ac:dyDescent="0.2">
      <c r="A506" s="216"/>
      <c r="B506" s="216"/>
      <c r="C506" s="216" t="s">
        <v>1220</v>
      </c>
      <c r="D506" s="216"/>
      <c r="E506" s="228"/>
      <c r="F506" s="228"/>
      <c r="G506" s="642" t="s">
        <v>1221</v>
      </c>
      <c r="H506" s="216" t="s">
        <v>1202</v>
      </c>
      <c r="I506" s="239" t="str">
        <f>IF(ISBLANK(regional!I136),"",regional!I136)</f>
        <v/>
      </c>
      <c r="J506" s="228"/>
      <c r="K506" s="262" t="s">
        <v>4249</v>
      </c>
      <c r="N506" s="262" t="s">
        <v>4249</v>
      </c>
    </row>
    <row r="507" spans="1:14" ht="12.75" customHeight="1" x14ac:dyDescent="0.2">
      <c r="A507" s="216"/>
      <c r="B507" s="216"/>
      <c r="C507" s="228"/>
      <c r="D507" s="228" t="s">
        <v>1222</v>
      </c>
      <c r="E507" s="579"/>
      <c r="F507" s="579"/>
      <c r="G507" s="228" t="s">
        <v>1223</v>
      </c>
      <c r="H507" s="579" t="s">
        <v>1202</v>
      </c>
      <c r="I507" s="239" t="str">
        <f>IF(ISBLANK(regional!I137),"",regional!I137)</f>
        <v/>
      </c>
      <c r="J507" s="411"/>
      <c r="K507" s="262" t="s">
        <v>4249</v>
      </c>
      <c r="N507" s="262" t="s">
        <v>4249</v>
      </c>
    </row>
    <row r="508" spans="1:14" ht="12.75" customHeight="1" x14ac:dyDescent="0.2">
      <c r="A508" s="216"/>
      <c r="B508" s="216"/>
      <c r="C508" s="228"/>
      <c r="D508" s="228" t="s">
        <v>1224</v>
      </c>
      <c r="E508" s="579"/>
      <c r="F508" s="579"/>
      <c r="G508" s="228" t="s">
        <v>1225</v>
      </c>
      <c r="H508" s="579" t="s">
        <v>1202</v>
      </c>
      <c r="I508" s="239" t="str">
        <f>IF(ISBLANK(regional!I138),"",regional!I138)</f>
        <v/>
      </c>
      <c r="J508" s="228"/>
      <c r="K508" s="262" t="s">
        <v>4249</v>
      </c>
      <c r="N508" s="262" t="s">
        <v>4249</v>
      </c>
    </row>
    <row r="509" spans="1:14" ht="12.75" customHeight="1" x14ac:dyDescent="0.2">
      <c r="A509" s="216"/>
      <c r="B509" s="216" t="s">
        <v>1226</v>
      </c>
      <c r="C509" s="228"/>
      <c r="D509" s="228"/>
      <c r="E509" s="579"/>
      <c r="F509" s="579"/>
      <c r="G509" s="642" t="s">
        <v>1227</v>
      </c>
      <c r="H509" s="216" t="s">
        <v>1202</v>
      </c>
      <c r="I509" s="239" t="str">
        <f>IF(ISBLANK(regional!I139),"",regional!I139)</f>
        <v/>
      </c>
      <c r="K509" s="262" t="s">
        <v>4249</v>
      </c>
      <c r="N509" s="262" t="s">
        <v>4249</v>
      </c>
    </row>
    <row r="510" spans="1:14" ht="12.75" customHeight="1" x14ac:dyDescent="0.2">
      <c r="A510" s="216"/>
      <c r="B510" s="216" t="s">
        <v>1228</v>
      </c>
      <c r="C510" s="228"/>
      <c r="D510" s="228"/>
      <c r="E510" s="579"/>
      <c r="F510" s="579"/>
      <c r="G510" s="642" t="s">
        <v>1229</v>
      </c>
      <c r="H510" s="216" t="s">
        <v>1202</v>
      </c>
      <c r="I510" s="239" t="str">
        <f>IF(ISBLANK(regional!I140),"",regional!I140)</f>
        <v/>
      </c>
      <c r="K510" s="262" t="s">
        <v>4249</v>
      </c>
      <c r="N510" s="262" t="s">
        <v>4249</v>
      </c>
    </row>
    <row r="511" spans="1:14" ht="12.75" customHeight="1" x14ac:dyDescent="0.2">
      <c r="A511" s="216"/>
      <c r="B511" s="216" t="s">
        <v>1230</v>
      </c>
      <c r="C511" s="228"/>
      <c r="D511" s="228"/>
      <c r="E511" s="579"/>
      <c r="F511" s="579"/>
      <c r="G511" s="642" t="s">
        <v>1231</v>
      </c>
      <c r="H511" s="216" t="s">
        <v>1202</v>
      </c>
      <c r="I511" s="239" t="str">
        <f>IF(ISBLANK(regional!I141),"",regional!I141)</f>
        <v/>
      </c>
      <c r="K511" s="262" t="s">
        <v>4249</v>
      </c>
      <c r="N511" s="262" t="s">
        <v>4249</v>
      </c>
    </row>
    <row r="512" spans="1:14" ht="12.75" customHeight="1" x14ac:dyDescent="0.2">
      <c r="A512" s="216"/>
      <c r="B512" s="216"/>
      <c r="C512" s="228" t="s">
        <v>1232</v>
      </c>
      <c r="D512" s="228"/>
      <c r="E512" s="228"/>
      <c r="F512" s="579"/>
      <c r="G512" s="228" t="s">
        <v>1233</v>
      </c>
      <c r="H512" s="579" t="s">
        <v>1202</v>
      </c>
      <c r="I512" s="239" t="str">
        <f>IF(ISBLANK(regional!I142),"",regional!I142)</f>
        <v/>
      </c>
      <c r="K512" s="262" t="s">
        <v>4249</v>
      </c>
      <c r="N512" s="262" t="s">
        <v>4249</v>
      </c>
    </row>
    <row r="513" spans="1:14" ht="12.75" customHeight="1" x14ac:dyDescent="0.2">
      <c r="A513" s="216"/>
      <c r="B513" s="216"/>
      <c r="C513" s="228" t="s">
        <v>1234</v>
      </c>
      <c r="D513" s="228"/>
      <c r="E513" s="579"/>
      <c r="F513" s="579"/>
      <c r="G513" s="228" t="s">
        <v>1235</v>
      </c>
      <c r="H513" s="579" t="s">
        <v>1202</v>
      </c>
      <c r="I513" s="239" t="str">
        <f>IF(ISBLANK(regional!I143),"",regional!I143)</f>
        <v/>
      </c>
      <c r="K513" s="262" t="s">
        <v>4249</v>
      </c>
      <c r="N513" s="262" t="s">
        <v>4249</v>
      </c>
    </row>
    <row r="514" spans="1:14" ht="12.75" customHeight="1" x14ac:dyDescent="0.2">
      <c r="A514" s="216"/>
      <c r="B514" s="216"/>
      <c r="C514" s="228" t="s">
        <v>1236</v>
      </c>
      <c r="D514" s="228"/>
      <c r="E514" s="579"/>
      <c r="F514" s="579"/>
      <c r="G514" s="216" t="s">
        <v>1237</v>
      </c>
      <c r="H514" s="228" t="s">
        <v>296</v>
      </c>
      <c r="I514" s="239" t="str">
        <f>IF(ISBLANK(regional!I144),"",regional!I144)</f>
        <v/>
      </c>
      <c r="K514" s="262" t="s">
        <v>4249</v>
      </c>
      <c r="N514" s="262" t="s">
        <v>4249</v>
      </c>
    </row>
    <row r="515" spans="1:14" ht="12.75" customHeight="1" x14ac:dyDescent="0.2">
      <c r="A515" s="216"/>
      <c r="B515" s="216"/>
      <c r="C515" s="228" t="s">
        <v>1236</v>
      </c>
      <c r="D515" s="228"/>
      <c r="E515" s="579"/>
      <c r="F515" s="579"/>
      <c r="G515" s="216" t="s">
        <v>1239</v>
      </c>
      <c r="H515" s="228" t="s">
        <v>296</v>
      </c>
      <c r="I515" s="239" t="str">
        <f>IF(ISBLANK(regional!I145),"",regional!I145)</f>
        <v/>
      </c>
      <c r="K515" s="262" t="s">
        <v>4249</v>
      </c>
      <c r="N515" s="262" t="s">
        <v>4249</v>
      </c>
    </row>
    <row r="516" spans="1:14" ht="12.75" customHeight="1" x14ac:dyDescent="0.2">
      <c r="A516" s="216"/>
      <c r="B516" s="216"/>
      <c r="C516" s="228" t="s">
        <v>1236</v>
      </c>
      <c r="D516" s="228"/>
      <c r="E516" s="579"/>
      <c r="F516" s="579"/>
      <c r="G516" s="216" t="s">
        <v>1240</v>
      </c>
      <c r="H516" s="228" t="s">
        <v>296</v>
      </c>
      <c r="I516" s="239" t="str">
        <f>IF(ISBLANK(regional!I146),"",regional!I146)</f>
        <v/>
      </c>
      <c r="K516" s="262" t="s">
        <v>4249</v>
      </c>
      <c r="N516" s="262" t="s">
        <v>4249</v>
      </c>
    </row>
    <row r="517" spans="1:14" ht="12.75" customHeight="1" x14ac:dyDescent="0.2">
      <c r="I517" s="239" t="str">
        <f>IF(ISBLANK(regional!I147),"",regional!I147)</f>
        <v/>
      </c>
      <c r="K517" s="262" t="s">
        <v>4249</v>
      </c>
      <c r="N517" s="262" t="s">
        <v>4249</v>
      </c>
    </row>
    <row r="518" spans="1:14" ht="12.75" customHeight="1" x14ac:dyDescent="0.2">
      <c r="A518" s="568" t="s">
        <v>1241</v>
      </c>
      <c r="B518" s="567"/>
      <c r="C518" s="567"/>
      <c r="D518" s="567"/>
      <c r="E518" s="567"/>
      <c r="F518" s="567"/>
      <c r="G518" s="568" t="s">
        <v>1242</v>
      </c>
      <c r="H518" s="568" t="s">
        <v>624</v>
      </c>
      <c r="I518" s="239" t="str">
        <f>IF(ISBLANK(regional!I148),"",regional!I148)</f>
        <v/>
      </c>
      <c r="K518" s="262" t="s">
        <v>4249</v>
      </c>
      <c r="N518" s="262" t="s">
        <v>4249</v>
      </c>
    </row>
    <row r="519" spans="1:14" ht="12.75" customHeight="1" x14ac:dyDescent="0.2">
      <c r="A519" s="216" t="s">
        <v>1244</v>
      </c>
      <c r="B519" s="228"/>
      <c r="C519" s="228"/>
      <c r="D519" s="228"/>
      <c r="E519" s="228"/>
      <c r="F519" s="228"/>
      <c r="G519" s="216" t="s">
        <v>1245</v>
      </c>
      <c r="H519" s="216" t="s">
        <v>624</v>
      </c>
      <c r="I519" s="239" t="str">
        <f>IF(ISBLANK(regional!I149),"",regional!I149)</f>
        <v/>
      </c>
      <c r="K519" s="262" t="s">
        <v>4249</v>
      </c>
      <c r="N519" s="262" t="s">
        <v>4249</v>
      </c>
    </row>
    <row r="520" spans="1:14" ht="12.75" customHeight="1" x14ac:dyDescent="0.2">
      <c r="A520" s="216" t="s">
        <v>1246</v>
      </c>
      <c r="B520" s="228"/>
      <c r="C520" s="228"/>
      <c r="D520" s="228"/>
      <c r="E520" s="228"/>
      <c r="F520" s="228"/>
      <c r="G520" s="216" t="s">
        <v>1247</v>
      </c>
      <c r="H520" s="216" t="s">
        <v>624</v>
      </c>
      <c r="I520" s="239" t="str">
        <f>IF(ISBLANK(regional!I150),"",regional!I150)</f>
        <v/>
      </c>
      <c r="K520" s="262" t="s">
        <v>4249</v>
      </c>
      <c r="N520" s="262" t="s">
        <v>4249</v>
      </c>
    </row>
    <row r="521" spans="1:14" ht="12.75" customHeight="1" x14ac:dyDescent="0.2">
      <c r="A521" s="568" t="s">
        <v>1248</v>
      </c>
      <c r="B521" s="567"/>
      <c r="C521" s="567"/>
      <c r="D521" s="567"/>
      <c r="E521" s="567"/>
      <c r="F521" s="567"/>
      <c r="G521" s="568" t="s">
        <v>1249</v>
      </c>
      <c r="H521" s="568" t="s">
        <v>624</v>
      </c>
      <c r="I521" s="239" t="str">
        <f>IF(ISBLANK(regional!I151),"",regional!I151)</f>
        <v/>
      </c>
      <c r="K521" s="262" t="s">
        <v>4249</v>
      </c>
      <c r="N521" s="262" t="s">
        <v>4249</v>
      </c>
    </row>
    <row r="522" spans="1:14" ht="12.75" customHeight="1" x14ac:dyDescent="0.2">
      <c r="A522" s="216" t="s">
        <v>1251</v>
      </c>
      <c r="B522" s="228"/>
      <c r="C522" s="228"/>
      <c r="D522" s="228"/>
      <c r="E522" s="228"/>
      <c r="F522" s="228"/>
      <c r="G522" s="216" t="s">
        <v>1252</v>
      </c>
      <c r="H522" s="216" t="s">
        <v>624</v>
      </c>
      <c r="I522" s="239" t="str">
        <f>IF(ISBLANK(regional!I152),"",regional!I152)</f>
        <v/>
      </c>
      <c r="K522" s="262" t="s">
        <v>4249</v>
      </c>
      <c r="N522" s="262" t="s">
        <v>4249</v>
      </c>
    </row>
    <row r="523" spans="1:14" ht="12.75" customHeight="1" x14ac:dyDescent="0.2">
      <c r="A523" s="216" t="s">
        <v>1253</v>
      </c>
      <c r="B523" s="228"/>
      <c r="C523" s="228"/>
      <c r="D523" s="228"/>
      <c r="E523" s="228"/>
      <c r="F523" s="228"/>
      <c r="G523" s="216" t="s">
        <v>1254</v>
      </c>
      <c r="H523" s="216" t="s">
        <v>624</v>
      </c>
      <c r="I523" s="239" t="str">
        <f>IF(ISBLANK(regional!I153),"",regional!I153)</f>
        <v/>
      </c>
      <c r="K523" s="262" t="s">
        <v>4249</v>
      </c>
      <c r="N523" s="262" t="s">
        <v>4249</v>
      </c>
    </row>
    <row r="524" spans="1:14" ht="12.75" customHeight="1" x14ac:dyDescent="0.2">
      <c r="A524" s="568"/>
      <c r="B524" s="568" t="s">
        <v>1255</v>
      </c>
      <c r="C524" s="567"/>
      <c r="D524" s="567"/>
      <c r="E524" s="567"/>
      <c r="F524" s="567"/>
      <c r="G524" s="568" t="s">
        <v>1256</v>
      </c>
      <c r="H524" s="680" t="s">
        <v>1202</v>
      </c>
      <c r="I524" s="239" t="str">
        <f>IF(ISBLANK(regional!I154),"",regional!I154)</f>
        <v/>
      </c>
      <c r="K524" s="262" t="s">
        <v>4249</v>
      </c>
      <c r="N524" s="262" t="s">
        <v>4249</v>
      </c>
    </row>
    <row r="525" spans="1:14" ht="12.75" customHeight="1" x14ac:dyDescent="0.2">
      <c r="A525" s="568"/>
      <c r="B525" s="568" t="s">
        <v>1258</v>
      </c>
      <c r="C525" s="567"/>
      <c r="D525" s="567"/>
      <c r="E525" s="567"/>
      <c r="F525" s="567"/>
      <c r="G525" s="568" t="s">
        <v>1259</v>
      </c>
      <c r="H525" s="680" t="s">
        <v>1202</v>
      </c>
      <c r="I525" s="239" t="str">
        <f>IF(ISBLANK(regional!I155),"",regional!I155)</f>
        <v/>
      </c>
      <c r="K525" s="262" t="s">
        <v>4249</v>
      </c>
      <c r="N525" s="262" t="s">
        <v>4249</v>
      </c>
    </row>
    <row r="526" spans="1:14" ht="12.75" customHeight="1" x14ac:dyDescent="0.2">
      <c r="A526" s="216"/>
      <c r="B526" s="216" t="s">
        <v>1255</v>
      </c>
      <c r="C526" s="228"/>
      <c r="D526" s="228"/>
      <c r="E526" s="228"/>
      <c r="F526" s="228"/>
      <c r="G526" s="642" t="s">
        <v>1260</v>
      </c>
      <c r="H526" s="579" t="s">
        <v>1202</v>
      </c>
      <c r="I526" s="239" t="str">
        <f>IF(ISBLANK(regional!I156),"",regional!I156)</f>
        <v/>
      </c>
      <c r="K526" s="262" t="s">
        <v>4249</v>
      </c>
      <c r="N526" s="262" t="s">
        <v>4249</v>
      </c>
    </row>
    <row r="527" spans="1:14" ht="12.75" customHeight="1" x14ac:dyDescent="0.2">
      <c r="A527" s="216"/>
      <c r="B527" s="216" t="s">
        <v>1258</v>
      </c>
      <c r="C527" s="228"/>
      <c r="D527" s="228"/>
      <c r="E527" s="228"/>
      <c r="F527" s="228"/>
      <c r="G527" s="642" t="s">
        <v>1261</v>
      </c>
      <c r="H527" s="579" t="s">
        <v>1202</v>
      </c>
      <c r="I527" s="239" t="str">
        <f>IF(ISBLANK(regional!I157),"",regional!I157)</f>
        <v/>
      </c>
      <c r="K527" s="262" t="s">
        <v>4249</v>
      </c>
      <c r="N527" s="262" t="s">
        <v>4249</v>
      </c>
    </row>
    <row r="528" spans="1:14" ht="12.75" customHeight="1" x14ac:dyDescent="0.2">
      <c r="A528" s="216"/>
      <c r="B528" s="216" t="s">
        <v>1262</v>
      </c>
      <c r="C528" s="228"/>
      <c r="D528" s="228"/>
      <c r="E528" s="228"/>
      <c r="F528" s="228"/>
      <c r="G528" s="642" t="s">
        <v>1263</v>
      </c>
      <c r="H528" s="579" t="s">
        <v>1202</v>
      </c>
      <c r="I528" s="239" t="str">
        <f>IF(ISBLANK(regional!I158),"",regional!I158)</f>
        <v/>
      </c>
      <c r="K528" s="262" t="s">
        <v>4249</v>
      </c>
      <c r="N528" s="262" t="s">
        <v>4249</v>
      </c>
    </row>
    <row r="529" spans="1:14" ht="12.75" customHeight="1" x14ac:dyDescent="0.2">
      <c r="A529" s="216"/>
      <c r="B529" s="216" t="s">
        <v>1264</v>
      </c>
      <c r="C529" s="228"/>
      <c r="D529" s="228"/>
      <c r="E529" s="228"/>
      <c r="F529" s="228"/>
      <c r="G529" s="642" t="s">
        <v>1265</v>
      </c>
      <c r="H529" s="579" t="s">
        <v>1202</v>
      </c>
      <c r="I529" s="239" t="str">
        <f>IF(ISBLANK(regional!I159),"",regional!I159)</f>
        <v/>
      </c>
      <c r="K529" s="262" t="s">
        <v>4249</v>
      </c>
      <c r="N529" s="262" t="s">
        <v>4249</v>
      </c>
    </row>
    <row r="530" spans="1:14" ht="12.75" customHeight="1" x14ac:dyDescent="0.2">
      <c r="A530" s="568"/>
      <c r="B530" s="568"/>
      <c r="C530" s="568" t="s">
        <v>1266</v>
      </c>
      <c r="D530" s="567"/>
      <c r="E530" s="567"/>
      <c r="F530" s="567"/>
      <c r="G530" s="680" t="s">
        <v>1267</v>
      </c>
      <c r="H530" s="680" t="s">
        <v>1202</v>
      </c>
      <c r="I530" s="239" t="str">
        <f>IF(ISBLANK(regional!I160),"",regional!I160)</f>
        <v/>
      </c>
      <c r="K530" s="262" t="s">
        <v>4249</v>
      </c>
      <c r="N530" s="262" t="s">
        <v>4249</v>
      </c>
    </row>
    <row r="531" spans="1:14" ht="12.75" customHeight="1" x14ac:dyDescent="0.2">
      <c r="A531" s="216"/>
      <c r="B531" s="216"/>
      <c r="C531" s="216" t="s">
        <v>1268</v>
      </c>
      <c r="D531" s="228"/>
      <c r="E531" s="228"/>
      <c r="F531" s="228"/>
      <c r="G531" s="579" t="s">
        <v>1269</v>
      </c>
      <c r="H531" s="579" t="s">
        <v>1202</v>
      </c>
      <c r="I531" s="239" t="str">
        <f>IF(ISBLANK(regional!I161),"",regional!I161)</f>
        <v/>
      </c>
      <c r="K531" s="262" t="s">
        <v>4249</v>
      </c>
      <c r="N531" s="262" t="s">
        <v>4249</v>
      </c>
    </row>
    <row r="532" spans="1:14" ht="12.75" customHeight="1" x14ac:dyDescent="0.2">
      <c r="A532" s="216"/>
      <c r="B532" s="216"/>
      <c r="C532" s="216" t="s">
        <v>1270</v>
      </c>
      <c r="D532" s="228"/>
      <c r="E532" s="579"/>
      <c r="F532" s="579"/>
      <c r="G532" s="579" t="s">
        <v>1271</v>
      </c>
      <c r="H532" s="579" t="s">
        <v>1202</v>
      </c>
      <c r="I532" s="239" t="str">
        <f>IF(ISBLANK(regional!I162),"",regional!I162)</f>
        <v/>
      </c>
      <c r="K532" s="262" t="s">
        <v>4249</v>
      </c>
      <c r="N532" s="262" t="s">
        <v>4249</v>
      </c>
    </row>
    <row r="533" spans="1:14" ht="12.75" customHeight="1" x14ac:dyDescent="0.2">
      <c r="A533" s="216"/>
      <c r="B533" s="216"/>
      <c r="C533" s="228"/>
      <c r="D533" s="216" t="s">
        <v>1272</v>
      </c>
      <c r="E533" s="579"/>
      <c r="F533" s="579"/>
      <c r="G533" s="579" t="s">
        <v>1273</v>
      </c>
      <c r="H533" s="579" t="s">
        <v>1202</v>
      </c>
      <c r="I533" s="239" t="str">
        <f>IF(ISBLANK(regional!I163),"",regional!I163)</f>
        <v/>
      </c>
      <c r="K533" s="262" t="s">
        <v>4249</v>
      </c>
      <c r="N533" s="262" t="s">
        <v>4249</v>
      </c>
    </row>
    <row r="534" spans="1:14" ht="12.75" customHeight="1" x14ac:dyDescent="0.2">
      <c r="A534" s="568"/>
      <c r="B534" s="568"/>
      <c r="C534" s="567"/>
      <c r="D534" s="568" t="s">
        <v>1275</v>
      </c>
      <c r="E534" s="680"/>
      <c r="F534" s="680"/>
      <c r="G534" s="680" t="s">
        <v>1276</v>
      </c>
      <c r="H534" s="680" t="s">
        <v>873</v>
      </c>
      <c r="I534" s="239" t="str">
        <f>IF(ISBLANK(regional!I164),"",regional!I164)</f>
        <v/>
      </c>
      <c r="K534" s="262" t="s">
        <v>4249</v>
      </c>
      <c r="N534" s="262" t="s">
        <v>4249</v>
      </c>
    </row>
    <row r="535" spans="1:14" ht="12.75" customHeight="1" x14ac:dyDescent="0.2">
      <c r="A535" s="216"/>
      <c r="B535" s="216"/>
      <c r="C535" s="228"/>
      <c r="D535" s="216" t="s">
        <v>1277</v>
      </c>
      <c r="E535" s="579"/>
      <c r="F535" s="216"/>
      <c r="G535" s="579" t="s">
        <v>1278</v>
      </c>
      <c r="H535" s="579" t="s">
        <v>1202</v>
      </c>
      <c r="I535" s="239" t="str">
        <f>IF(ISBLANK(regional!I165),"",regional!I165)</f>
        <v/>
      </c>
      <c r="K535" s="262" t="s">
        <v>4249</v>
      </c>
      <c r="N535" s="262" t="s">
        <v>4249</v>
      </c>
    </row>
    <row r="536" spans="1:14" ht="12.75" customHeight="1" x14ac:dyDescent="0.2">
      <c r="A536" s="216"/>
      <c r="B536" s="216"/>
      <c r="C536" s="228"/>
      <c r="D536" s="216" t="s">
        <v>1280</v>
      </c>
      <c r="E536" s="579"/>
      <c r="F536" s="216"/>
      <c r="G536" s="579" t="s">
        <v>1281</v>
      </c>
      <c r="H536" s="579" t="s">
        <v>1202</v>
      </c>
      <c r="I536" s="239" t="str">
        <f>IF(ISBLANK(regional!I166),"",regional!I166)</f>
        <v/>
      </c>
      <c r="K536" s="262" t="s">
        <v>4249</v>
      </c>
      <c r="N536" s="262" t="s">
        <v>4249</v>
      </c>
    </row>
    <row r="537" spans="1:14" ht="12.75" customHeight="1" x14ac:dyDescent="0.2">
      <c r="A537" s="216"/>
      <c r="B537" s="216"/>
      <c r="C537" s="228"/>
      <c r="D537" s="228"/>
      <c r="E537" s="216" t="s">
        <v>1282</v>
      </c>
      <c r="F537" s="579"/>
      <c r="G537" s="579" t="s">
        <v>1283</v>
      </c>
      <c r="H537" s="216" t="s">
        <v>1284</v>
      </c>
      <c r="I537" s="239" t="str">
        <f>IF(ISBLANK(regional!I167),"",regional!I167)</f>
        <v/>
      </c>
      <c r="K537" s="262" t="s">
        <v>4249</v>
      </c>
      <c r="N537" s="262" t="s">
        <v>4249</v>
      </c>
    </row>
    <row r="538" spans="1:14" ht="12.75" customHeight="1" x14ac:dyDescent="0.2">
      <c r="A538" s="216"/>
      <c r="B538" s="216"/>
      <c r="C538" s="228"/>
      <c r="D538" s="228"/>
      <c r="E538" s="216" t="s">
        <v>1286</v>
      </c>
      <c r="F538" s="228"/>
      <c r="G538" s="579" t="s">
        <v>1287</v>
      </c>
      <c r="H538" s="216" t="s">
        <v>1284</v>
      </c>
      <c r="I538" s="239" t="str">
        <f>IF(ISBLANK(regional!I168),"",regional!I168)</f>
        <v/>
      </c>
      <c r="K538" s="262" t="s">
        <v>4249</v>
      </c>
      <c r="N538" s="262" t="s">
        <v>4249</v>
      </c>
    </row>
    <row r="539" spans="1:14" ht="12.75" customHeight="1" x14ac:dyDescent="0.2">
      <c r="A539" s="228"/>
      <c r="B539" s="228" t="s">
        <v>1288</v>
      </c>
      <c r="C539" s="579"/>
      <c r="D539" s="579"/>
      <c r="E539" s="228"/>
      <c r="F539" s="228"/>
      <c r="G539" s="642" t="s">
        <v>1289</v>
      </c>
      <c r="H539" s="579" t="s">
        <v>1202</v>
      </c>
      <c r="I539" s="239" t="str">
        <f>IF(ISBLANK(regional!I169),"",regional!I169)</f>
        <v/>
      </c>
      <c r="K539" s="262" t="s">
        <v>4249</v>
      </c>
      <c r="N539" s="262" t="s">
        <v>4249</v>
      </c>
    </row>
    <row r="540" spans="1:14" ht="12.75" customHeight="1" x14ac:dyDescent="0.2">
      <c r="A540" s="228"/>
      <c r="B540" s="228" t="s">
        <v>1290</v>
      </c>
      <c r="C540" s="579"/>
      <c r="D540" s="579"/>
      <c r="E540" s="228"/>
      <c r="F540" s="228"/>
      <c r="G540" s="642" t="s">
        <v>1291</v>
      </c>
      <c r="H540" s="579" t="s">
        <v>1202</v>
      </c>
      <c r="I540" s="239" t="str">
        <f>IF(ISBLANK(regional!I170),"",regional!I170)</f>
        <v/>
      </c>
      <c r="K540" s="262" t="s">
        <v>4249</v>
      </c>
      <c r="N540" s="262" t="s">
        <v>4249</v>
      </c>
    </row>
    <row r="541" spans="1:14" ht="12.75" customHeight="1" x14ac:dyDescent="0.2">
      <c r="A541" s="228"/>
      <c r="B541" s="228" t="s">
        <v>1292</v>
      </c>
      <c r="C541" s="579"/>
      <c r="D541" s="579"/>
      <c r="E541" s="228"/>
      <c r="F541" s="579"/>
      <c r="G541" s="642" t="s">
        <v>1293</v>
      </c>
      <c r="H541" s="579" t="s">
        <v>1202</v>
      </c>
      <c r="I541" s="239" t="str">
        <f>IF(ISBLANK(regional!I171),"",regional!I171)</f>
        <v/>
      </c>
      <c r="K541" s="262" t="s">
        <v>4249</v>
      </c>
      <c r="N541" s="262" t="s">
        <v>4249</v>
      </c>
    </row>
    <row r="542" spans="1:14" ht="12.75" customHeight="1" x14ac:dyDescent="0.2">
      <c r="A542" s="228"/>
      <c r="B542" s="228" t="s">
        <v>1294</v>
      </c>
      <c r="C542" s="579"/>
      <c r="D542" s="579"/>
      <c r="E542" s="228"/>
      <c r="F542" s="579"/>
      <c r="G542" s="642" t="s">
        <v>1295</v>
      </c>
      <c r="H542" s="579" t="s">
        <v>1202</v>
      </c>
      <c r="I542" s="239" t="str">
        <f>IF(ISBLANK(regional!I172),"",regional!I172)</f>
        <v/>
      </c>
      <c r="K542" s="262" t="s">
        <v>4249</v>
      </c>
      <c r="N542" s="262" t="s">
        <v>4249</v>
      </c>
    </row>
    <row r="543" spans="1:14" ht="12.75" customHeight="1" x14ac:dyDescent="0.2">
      <c r="A543" s="216"/>
      <c r="B543" s="216"/>
      <c r="C543" s="228" t="s">
        <v>1296</v>
      </c>
      <c r="D543" s="228"/>
      <c r="E543" s="579"/>
      <c r="F543" s="579"/>
      <c r="G543" s="228" t="s">
        <v>1297</v>
      </c>
      <c r="H543" s="579" t="s">
        <v>1202</v>
      </c>
      <c r="I543" s="239" t="str">
        <f>IF(ISBLANK(regional!I173),"",regional!I173)</f>
        <v/>
      </c>
      <c r="K543" s="262" t="s">
        <v>4249</v>
      </c>
      <c r="N543" s="262" t="s">
        <v>4249</v>
      </c>
    </row>
    <row r="544" spans="1:14" ht="12.75" customHeight="1" x14ac:dyDescent="0.2">
      <c r="A544" s="216"/>
      <c r="B544" s="216"/>
      <c r="C544" s="228" t="s">
        <v>1298</v>
      </c>
      <c r="D544" s="228"/>
      <c r="E544" s="579"/>
      <c r="F544" s="228"/>
      <c r="G544" s="228" t="s">
        <v>1299</v>
      </c>
      <c r="H544" s="579" t="s">
        <v>1202</v>
      </c>
      <c r="I544" s="239" t="str">
        <f>IF(ISBLANK(regional!I174),"",regional!I174)</f>
        <v/>
      </c>
      <c r="K544" s="262" t="s">
        <v>4249</v>
      </c>
      <c r="N544" s="262" t="s">
        <v>4249</v>
      </c>
    </row>
    <row r="545" spans="1:14" ht="12.75" customHeight="1" x14ac:dyDescent="0.2">
      <c r="A545" s="216"/>
      <c r="B545" s="228"/>
      <c r="C545" s="228"/>
      <c r="D545" s="228"/>
      <c r="E545" s="228"/>
      <c r="F545" s="228"/>
      <c r="G545" s="579"/>
      <c r="H545" s="216"/>
      <c r="I545" s="239" t="str">
        <f>IF(ISBLANK(regional!I175),"",regional!I175)</f>
        <v/>
      </c>
      <c r="K545" s="262" t="s">
        <v>4249</v>
      </c>
      <c r="N545" s="262" t="s">
        <v>4249</v>
      </c>
    </row>
    <row r="546" spans="1:14" ht="12.75" customHeight="1" x14ac:dyDescent="0.2">
      <c r="A546" s="216" t="s">
        <v>1300</v>
      </c>
      <c r="B546" s="228"/>
      <c r="C546" s="228"/>
      <c r="D546" s="228"/>
      <c r="E546" s="228"/>
      <c r="F546" s="228"/>
      <c r="G546" s="216" t="s">
        <v>1301</v>
      </c>
      <c r="H546" s="216" t="s">
        <v>624</v>
      </c>
      <c r="I546" s="239" t="str">
        <f>IF(ISBLANK(regional!I176),"",regional!I176)</f>
        <v/>
      </c>
      <c r="K546" s="262" t="s">
        <v>4249</v>
      </c>
      <c r="N546" s="262" t="s">
        <v>4249</v>
      </c>
    </row>
    <row r="547" spans="1:14" ht="12.75" customHeight="1" x14ac:dyDescent="0.2">
      <c r="A547" s="216" t="s">
        <v>1302</v>
      </c>
      <c r="B547" s="228"/>
      <c r="C547" s="228"/>
      <c r="D547" s="228"/>
      <c r="E547" s="228"/>
      <c r="F547" s="228"/>
      <c r="G547" s="216" t="s">
        <v>1303</v>
      </c>
      <c r="H547" s="216" t="s">
        <v>624</v>
      </c>
      <c r="I547" s="239" t="str">
        <f>IF(ISBLANK(regional!I177),"",regional!I177)</f>
        <v/>
      </c>
      <c r="K547" s="262" t="s">
        <v>4249</v>
      </c>
      <c r="N547" s="262" t="s">
        <v>4249</v>
      </c>
    </row>
    <row r="548" spans="1:14" ht="12.75" customHeight="1" x14ac:dyDescent="0.2">
      <c r="A548" s="216" t="s">
        <v>1304</v>
      </c>
      <c r="B548" s="228"/>
      <c r="C548" s="228"/>
      <c r="D548" s="228"/>
      <c r="E548" s="228"/>
      <c r="F548" s="228"/>
      <c r="G548" s="216" t="s">
        <v>1305</v>
      </c>
      <c r="H548" s="216" t="s">
        <v>624</v>
      </c>
      <c r="I548" s="239" t="str">
        <f>IF(ISBLANK(regional!I178),"",regional!I178)</f>
        <v/>
      </c>
      <c r="J548" s="826"/>
      <c r="K548" s="262" t="s">
        <v>4249</v>
      </c>
      <c r="N548" s="262" t="s">
        <v>4249</v>
      </c>
    </row>
    <row r="549" spans="1:14" ht="12.75" customHeight="1" x14ac:dyDescent="0.2">
      <c r="A549" s="216"/>
      <c r="B549" s="216"/>
      <c r="C549" s="579" t="s">
        <v>1306</v>
      </c>
      <c r="D549" s="228"/>
      <c r="E549" s="579"/>
      <c r="F549" s="579"/>
      <c r="G549" s="579" t="s">
        <v>1307</v>
      </c>
      <c r="H549" s="216" t="s">
        <v>1202</v>
      </c>
      <c r="I549" s="239" t="str">
        <f>IF(ISBLANK(regional!I179),"",regional!I179)</f>
        <v/>
      </c>
      <c r="K549" s="262" t="s">
        <v>4249</v>
      </c>
      <c r="N549" s="262" t="s">
        <v>4249</v>
      </c>
    </row>
    <row r="550" spans="1:14" ht="12.75" customHeight="1" x14ac:dyDescent="0.2">
      <c r="A550" s="216"/>
      <c r="B550" s="216"/>
      <c r="C550" s="579" t="s">
        <v>1308</v>
      </c>
      <c r="D550" s="228"/>
      <c r="E550" s="579"/>
      <c r="F550" s="579"/>
      <c r="G550" s="579" t="s">
        <v>1309</v>
      </c>
      <c r="H550" s="216" t="s">
        <v>1202</v>
      </c>
      <c r="I550" s="239" t="str">
        <f>IF(ISBLANK(regional!I180),"",regional!I180)</f>
        <v/>
      </c>
      <c r="K550" s="262" t="s">
        <v>4249</v>
      </c>
      <c r="N550" s="262" t="s">
        <v>4249</v>
      </c>
    </row>
    <row r="551" spans="1:14" ht="12.75" customHeight="1" x14ac:dyDescent="0.2">
      <c r="A551" s="216"/>
      <c r="B551" s="216"/>
      <c r="C551" s="579" t="s">
        <v>1310</v>
      </c>
      <c r="D551" s="228"/>
      <c r="E551" s="579"/>
      <c r="F551" s="579"/>
      <c r="G551" s="579" t="s">
        <v>1311</v>
      </c>
      <c r="H551" s="216" t="s">
        <v>1202</v>
      </c>
      <c r="I551" s="239" t="str">
        <f>IF(ISBLANK(regional!I181),"",regional!I181)</f>
        <v/>
      </c>
      <c r="K551" s="262" t="s">
        <v>4249</v>
      </c>
      <c r="N551" s="262" t="s">
        <v>4249</v>
      </c>
    </row>
    <row r="552" spans="1:14" ht="12.75" customHeight="1" x14ac:dyDescent="0.2">
      <c r="A552" s="216"/>
      <c r="B552" s="216"/>
      <c r="C552" s="216" t="s">
        <v>1312</v>
      </c>
      <c r="D552" s="228"/>
      <c r="E552" s="579"/>
      <c r="F552" s="579"/>
      <c r="G552" s="579" t="s">
        <v>1313</v>
      </c>
      <c r="H552" s="216" t="s">
        <v>296</v>
      </c>
      <c r="I552" s="239" t="str">
        <f>IF(ISBLANK(regional!I182),"",regional!I182)</f>
        <v/>
      </c>
      <c r="K552" s="262" t="s">
        <v>4249</v>
      </c>
      <c r="N552" s="262" t="s">
        <v>4249</v>
      </c>
    </row>
    <row r="553" spans="1:14" ht="12.75" customHeight="1" x14ac:dyDescent="0.2">
      <c r="A553" s="216"/>
      <c r="B553" s="216"/>
      <c r="C553" s="216" t="s">
        <v>1314</v>
      </c>
      <c r="D553" s="228"/>
      <c r="E553" s="579"/>
      <c r="F553" s="579"/>
      <c r="G553" s="579" t="s">
        <v>1315</v>
      </c>
      <c r="H553" s="216" t="s">
        <v>296</v>
      </c>
      <c r="I553" s="239" t="str">
        <f>IF(ISBLANK(regional!I183),"",regional!I183)</f>
        <v/>
      </c>
      <c r="K553" s="262" t="s">
        <v>4249</v>
      </c>
      <c r="N553" s="262" t="s">
        <v>4249</v>
      </c>
    </row>
    <row r="554" spans="1:14" ht="12.75" customHeight="1" x14ac:dyDescent="0.2">
      <c r="A554" s="216"/>
      <c r="B554" s="216"/>
      <c r="C554" s="216" t="s">
        <v>1316</v>
      </c>
      <c r="D554" s="228"/>
      <c r="E554" s="579"/>
      <c r="F554" s="579"/>
      <c r="G554" s="579" t="s">
        <v>1317</v>
      </c>
      <c r="H554" s="216" t="s">
        <v>296</v>
      </c>
      <c r="I554" s="239" t="str">
        <f>IF(ISBLANK(regional!I184),"",regional!I184)</f>
        <v/>
      </c>
      <c r="J554" s="826"/>
      <c r="K554" s="262" t="s">
        <v>4249</v>
      </c>
      <c r="N554" s="262" t="s">
        <v>4249</v>
      </c>
    </row>
    <row r="555" spans="1:14" ht="12.75" customHeight="1" x14ac:dyDescent="0.2">
      <c r="A555" s="216"/>
      <c r="B555" s="216"/>
      <c r="C555" s="228" t="s">
        <v>1236</v>
      </c>
      <c r="D555" s="228"/>
      <c r="E555" s="579"/>
      <c r="F555" s="579"/>
      <c r="G555" s="216" t="s">
        <v>1318</v>
      </c>
      <c r="H555" s="228" t="s">
        <v>296</v>
      </c>
      <c r="I555" s="239" t="str">
        <f>IF(ISBLANK(regional!I185),"",regional!I185)</f>
        <v/>
      </c>
      <c r="K555" s="262" t="s">
        <v>4249</v>
      </c>
      <c r="N555" s="262" t="s">
        <v>4249</v>
      </c>
    </row>
    <row r="556" spans="1:14" ht="12.75" customHeight="1" x14ac:dyDescent="0.2">
      <c r="A556" s="216"/>
      <c r="B556" s="216"/>
      <c r="C556" s="228" t="s">
        <v>1236</v>
      </c>
      <c r="D556" s="228"/>
      <c r="E556" s="579"/>
      <c r="F556" s="579"/>
      <c r="G556" s="216" t="s">
        <v>1319</v>
      </c>
      <c r="H556" s="228" t="s">
        <v>296</v>
      </c>
      <c r="I556" s="239" t="str">
        <f>IF(ISBLANK(regional!I186),"",regional!I186)</f>
        <v/>
      </c>
      <c r="K556" s="262" t="s">
        <v>4249</v>
      </c>
      <c r="N556" s="262" t="s">
        <v>4249</v>
      </c>
    </row>
    <row r="557" spans="1:14" ht="12.75" customHeight="1" x14ac:dyDescent="0.2">
      <c r="A557" s="216"/>
      <c r="B557" s="216"/>
      <c r="C557" s="228" t="s">
        <v>1236</v>
      </c>
      <c r="D557" s="228"/>
      <c r="E557" s="579"/>
      <c r="F557" s="579"/>
      <c r="G557" s="216" t="s">
        <v>1320</v>
      </c>
      <c r="H557" s="228" t="s">
        <v>296</v>
      </c>
      <c r="I557" s="239" t="str">
        <f>IF(ISBLANK(regional!I187),"",regional!I187)</f>
        <v/>
      </c>
      <c r="K557" s="262" t="s">
        <v>4249</v>
      </c>
      <c r="N557" s="262" t="s">
        <v>4249</v>
      </c>
    </row>
    <row r="558" spans="1:14" ht="12.75" customHeight="1" x14ac:dyDescent="0.2">
      <c r="I558" s="239" t="str">
        <f>IF(ISBLANK(regional!I188),"",regional!I188)</f>
        <v/>
      </c>
      <c r="K558" s="262" t="s">
        <v>4249</v>
      </c>
      <c r="N558" s="262" t="s">
        <v>4249</v>
      </c>
    </row>
    <row r="559" spans="1:14" ht="12.75" customHeight="1" x14ac:dyDescent="0.2">
      <c r="A559" s="631" t="s">
        <v>1321</v>
      </c>
      <c r="B559" s="413"/>
      <c r="C559" s="413"/>
      <c r="D559" s="413"/>
      <c r="E559" s="413"/>
      <c r="F559" s="413"/>
      <c r="G559" s="631" t="s">
        <v>263</v>
      </c>
      <c r="H559" s="631" t="s">
        <v>279</v>
      </c>
      <c r="I559" s="239" t="str">
        <f>IF(ISBLANK(regional!I189),"",regional!I189)</f>
        <v>User input</v>
      </c>
      <c r="K559" s="262" t="s">
        <v>264</v>
      </c>
      <c r="N559" s="262" t="s">
        <v>264</v>
      </c>
    </row>
    <row r="560" spans="1:14" ht="12.75" customHeight="1" x14ac:dyDescent="0.2">
      <c r="A560" s="172"/>
      <c r="I560" s="239" t="str">
        <f>IF(ISBLANK(regional!I190),"",regional!I190)</f>
        <v/>
      </c>
      <c r="K560" s="262" t="s">
        <v>4249</v>
      </c>
      <c r="N560" s="262" t="s">
        <v>4249</v>
      </c>
    </row>
    <row r="561" spans="1:14" ht="12.75" customHeight="1" x14ac:dyDescent="0.2">
      <c r="A561" s="216" t="s">
        <v>1322</v>
      </c>
      <c r="B561" s="228"/>
      <c r="C561" s="228"/>
      <c r="D561" s="228"/>
      <c r="E561" s="228"/>
      <c r="F561" s="228"/>
      <c r="G561" s="216" t="s">
        <v>1323</v>
      </c>
      <c r="H561" s="216" t="s">
        <v>624</v>
      </c>
      <c r="I561" s="239" t="str">
        <f>IF(ISBLANK(regional!I191),"",regional!I191)</f>
        <v/>
      </c>
      <c r="K561" s="262" t="s">
        <v>4249</v>
      </c>
      <c r="N561" s="262" t="s">
        <v>4249</v>
      </c>
    </row>
    <row r="562" spans="1:14" ht="12.75" customHeight="1" x14ac:dyDescent="0.2">
      <c r="A562" s="216" t="s">
        <v>1324</v>
      </c>
      <c r="B562" s="228"/>
      <c r="C562" s="228"/>
      <c r="D562" s="228"/>
      <c r="E562" s="228"/>
      <c r="F562" s="228"/>
      <c r="G562" s="216" t="s">
        <v>1325</v>
      </c>
      <c r="H562" s="216" t="s">
        <v>624</v>
      </c>
      <c r="I562" s="239" t="str">
        <f>IF(ISBLANK(regional!I192),"",regional!I192)</f>
        <v/>
      </c>
      <c r="K562" s="262" t="s">
        <v>4249</v>
      </c>
      <c r="N562" s="262" t="s">
        <v>4249</v>
      </c>
    </row>
    <row r="563" spans="1:14" ht="12.75" customHeight="1" x14ac:dyDescent="0.2">
      <c r="A563" s="216" t="s">
        <v>1326</v>
      </c>
      <c r="B563" s="228"/>
      <c r="C563" s="228"/>
      <c r="D563" s="228"/>
      <c r="E563" s="228"/>
      <c r="F563" s="228"/>
      <c r="G563" s="216" t="s">
        <v>1327</v>
      </c>
      <c r="H563" s="216" t="s">
        <v>624</v>
      </c>
      <c r="I563" s="239" t="str">
        <f>IF(ISBLANK(regional!I193),"",regional!I193)</f>
        <v/>
      </c>
      <c r="K563" s="262" t="s">
        <v>4249</v>
      </c>
      <c r="N563" s="262" t="s">
        <v>4249</v>
      </c>
    </row>
    <row r="564" spans="1:14" ht="12.75" customHeight="1" x14ac:dyDescent="0.2">
      <c r="A564" s="216" t="s">
        <v>1328</v>
      </c>
      <c r="B564" s="228"/>
      <c r="C564" s="228"/>
      <c r="D564" s="228"/>
      <c r="E564" s="228"/>
      <c r="F564" s="228"/>
      <c r="G564" s="216" t="s">
        <v>1329</v>
      </c>
      <c r="H564" s="216" t="s">
        <v>624</v>
      </c>
      <c r="I564" s="239" t="str">
        <f>IF(ISBLANK(regional!I194),"",regional!I194)</f>
        <v/>
      </c>
      <c r="K564" s="262" t="s">
        <v>4249</v>
      </c>
      <c r="N564" s="262" t="s">
        <v>4249</v>
      </c>
    </row>
    <row r="565" spans="1:14" ht="12.75" customHeight="1" x14ac:dyDescent="0.2">
      <c r="A565" s="568" t="s">
        <v>1330</v>
      </c>
      <c r="B565" s="567"/>
      <c r="C565" s="567"/>
      <c r="D565" s="567"/>
      <c r="E565" s="567"/>
      <c r="F565" s="567"/>
      <c r="G565" s="568" t="s">
        <v>1331</v>
      </c>
      <c r="H565" s="568" t="s">
        <v>624</v>
      </c>
      <c r="I565" s="239" t="str">
        <f>IF(ISBLANK(regional!I195),"",regional!I195)</f>
        <v/>
      </c>
      <c r="K565" s="262" t="s">
        <v>4249</v>
      </c>
      <c r="N565" s="262" t="s">
        <v>4249</v>
      </c>
    </row>
    <row r="566" spans="1:14" ht="12.75" customHeight="1" x14ac:dyDescent="0.2">
      <c r="A566" s="216" t="s">
        <v>1332</v>
      </c>
      <c r="B566" s="228"/>
      <c r="C566" s="228"/>
      <c r="D566" s="228"/>
      <c r="E566" s="228"/>
      <c r="F566" s="228"/>
      <c r="G566" s="216" t="s">
        <v>1333</v>
      </c>
      <c r="H566" s="216" t="s">
        <v>624</v>
      </c>
      <c r="I566" s="239" t="str">
        <f>IF(ISBLANK(regional!I196),"",regional!I196)</f>
        <v/>
      </c>
      <c r="K566" s="262" t="s">
        <v>4249</v>
      </c>
      <c r="N566" s="262" t="s">
        <v>4249</v>
      </c>
    </row>
    <row r="567" spans="1:14" ht="12.75" customHeight="1" x14ac:dyDescent="0.2">
      <c r="A567" s="216" t="s">
        <v>1334</v>
      </c>
      <c r="B567" s="228"/>
      <c r="C567" s="228"/>
      <c r="D567" s="228"/>
      <c r="E567" s="228"/>
      <c r="F567" s="228"/>
      <c r="G567" s="216" t="s">
        <v>1335</v>
      </c>
      <c r="H567" s="216" t="s">
        <v>624</v>
      </c>
      <c r="I567" s="239" t="str">
        <f>IF(ISBLANK(regional!I197),"",regional!I197)</f>
        <v/>
      </c>
      <c r="K567" s="262" t="s">
        <v>4249</v>
      </c>
      <c r="N567" s="262" t="s">
        <v>4249</v>
      </c>
    </row>
    <row r="568" spans="1:14" ht="12.75" customHeight="1" x14ac:dyDescent="0.2">
      <c r="A568" s="216" t="s">
        <v>1336</v>
      </c>
      <c r="B568" s="228"/>
      <c r="C568" s="228"/>
      <c r="D568" s="228"/>
      <c r="E568" s="228"/>
      <c r="F568" s="228"/>
      <c r="G568" s="216" t="s">
        <v>1337</v>
      </c>
      <c r="H568" s="216" t="s">
        <v>624</v>
      </c>
      <c r="I568" s="239" t="str">
        <f>IF(ISBLANK(regional!I198),"",regional!I198)</f>
        <v/>
      </c>
      <c r="K568" s="262" t="s">
        <v>4249</v>
      </c>
      <c r="N568" s="262" t="s">
        <v>4249</v>
      </c>
    </row>
    <row r="569" spans="1:14" ht="12.75" customHeight="1" x14ac:dyDescent="0.2">
      <c r="A569" s="216" t="s">
        <v>1338</v>
      </c>
      <c r="B569" s="228"/>
      <c r="C569" s="228"/>
      <c r="D569" s="228"/>
      <c r="E569" s="228"/>
      <c r="F569" s="228"/>
      <c r="G569" s="216" t="s">
        <v>1339</v>
      </c>
      <c r="H569" s="216" t="s">
        <v>624</v>
      </c>
      <c r="I569" s="239" t="str">
        <f>IF(ISBLANK(regional!I199),"",regional!I199)</f>
        <v/>
      </c>
      <c r="K569" s="262" t="s">
        <v>4249</v>
      </c>
      <c r="N569" s="262" t="s">
        <v>4249</v>
      </c>
    </row>
    <row r="570" spans="1:14" ht="12.75" customHeight="1" x14ac:dyDescent="0.2">
      <c r="A570" s="216" t="s">
        <v>1340</v>
      </c>
      <c r="B570" s="228"/>
      <c r="C570" s="228"/>
      <c r="D570" s="228"/>
      <c r="E570" s="228"/>
      <c r="F570" s="228"/>
      <c r="G570" s="216" t="s">
        <v>1341</v>
      </c>
      <c r="H570" s="216" t="s">
        <v>624</v>
      </c>
      <c r="I570" s="239" t="str">
        <f>IF(ISBLANK(regional!I200),"",regional!I200)</f>
        <v/>
      </c>
      <c r="J570" s="228"/>
      <c r="K570" s="262" t="s">
        <v>4249</v>
      </c>
      <c r="N570" s="262" t="s">
        <v>4249</v>
      </c>
    </row>
    <row r="571" spans="1:14" ht="12.75" customHeight="1" x14ac:dyDescent="0.2">
      <c r="A571" s="216"/>
      <c r="B571" s="216" t="s">
        <v>1342</v>
      </c>
      <c r="C571" s="579"/>
      <c r="D571" s="228"/>
      <c r="E571" s="228"/>
      <c r="F571" s="228"/>
      <c r="G571" s="579" t="s">
        <v>1343</v>
      </c>
      <c r="H571" s="216" t="s">
        <v>624</v>
      </c>
      <c r="I571" s="239" t="str">
        <f>IF(ISBLANK(regional!I201),"",regional!I201)</f>
        <v/>
      </c>
      <c r="J571" s="411"/>
      <c r="K571" s="262" t="s">
        <v>4249</v>
      </c>
      <c r="N571" s="262" t="s">
        <v>4249</v>
      </c>
    </row>
    <row r="572" spans="1:14" ht="12.75" customHeight="1" x14ac:dyDescent="0.2">
      <c r="A572" s="216"/>
      <c r="B572" s="216" t="s">
        <v>1344</v>
      </c>
      <c r="C572" s="228"/>
      <c r="D572" s="228"/>
      <c r="E572" s="228"/>
      <c r="F572" s="228"/>
      <c r="G572" s="216" t="s">
        <v>1345</v>
      </c>
      <c r="H572" s="216" t="s">
        <v>624</v>
      </c>
      <c r="I572" s="239" t="str">
        <f>IF(ISBLANK(regional!I202),"",regional!I202)</f>
        <v/>
      </c>
      <c r="J572" s="830"/>
      <c r="K572" s="262" t="s">
        <v>4249</v>
      </c>
      <c r="N572" s="262" t="s">
        <v>4249</v>
      </c>
    </row>
    <row r="573" spans="1:14" ht="12.75" customHeight="1" x14ac:dyDescent="0.2">
      <c r="A573" s="579"/>
      <c r="B573" s="579"/>
      <c r="C573" s="216" t="s">
        <v>1346</v>
      </c>
      <c r="D573" s="228"/>
      <c r="E573" s="228"/>
      <c r="F573" s="228"/>
      <c r="G573" s="216" t="s">
        <v>1347</v>
      </c>
      <c r="H573" s="216" t="s">
        <v>627</v>
      </c>
      <c r="I573" s="239" t="str">
        <f>IF(ISBLANK(regional!I203),"",regional!I203)</f>
        <v/>
      </c>
      <c r="K573" s="262" t="s">
        <v>4249</v>
      </c>
      <c r="N573" s="262" t="s">
        <v>4249</v>
      </c>
    </row>
    <row r="574" spans="1:14" ht="12.75" customHeight="1" x14ac:dyDescent="0.2">
      <c r="A574" s="579"/>
      <c r="B574" s="579"/>
      <c r="C574" s="216" t="s">
        <v>1349</v>
      </c>
      <c r="D574" s="228"/>
      <c r="E574" s="228"/>
      <c r="F574" s="228"/>
      <c r="G574" s="216" t="s">
        <v>1350</v>
      </c>
      <c r="H574" s="216" t="s">
        <v>296</v>
      </c>
      <c r="I574" s="239" t="str">
        <f>IF(ISBLANK(regional!I204),"",regional!I204)</f>
        <v/>
      </c>
      <c r="K574" s="262" t="s">
        <v>4249</v>
      </c>
      <c r="N574" s="262" t="s">
        <v>4249</v>
      </c>
    </row>
    <row r="575" spans="1:14" ht="12.75" customHeight="1" x14ac:dyDescent="0.2">
      <c r="A575" s="216"/>
      <c r="B575" s="216" t="s">
        <v>1351</v>
      </c>
      <c r="C575" s="228"/>
      <c r="D575" s="228"/>
      <c r="E575" s="228"/>
      <c r="F575" s="228"/>
      <c r="G575" s="216" t="s">
        <v>1352</v>
      </c>
      <c r="H575" s="216" t="s">
        <v>624</v>
      </c>
      <c r="I575" s="239" t="str">
        <f>IF(ISBLANK(regional!I205),"",regional!I205)</f>
        <v/>
      </c>
      <c r="K575" s="262" t="s">
        <v>4249</v>
      </c>
      <c r="N575" s="262" t="s">
        <v>4249</v>
      </c>
    </row>
    <row r="576" spans="1:14" ht="12.75" customHeight="1" x14ac:dyDescent="0.2">
      <c r="A576" s="216"/>
      <c r="B576" s="216" t="s">
        <v>1353</v>
      </c>
      <c r="C576" s="228"/>
      <c r="D576" s="228"/>
      <c r="E576" s="228"/>
      <c r="F576" s="228"/>
      <c r="G576" s="216" t="s">
        <v>1354</v>
      </c>
      <c r="H576" s="216" t="s">
        <v>624</v>
      </c>
      <c r="I576" s="239" t="str">
        <f>IF(ISBLANK(regional!I206),"",regional!I206)</f>
        <v/>
      </c>
      <c r="K576" s="262" t="s">
        <v>4249</v>
      </c>
      <c r="N576" s="262" t="s">
        <v>4249</v>
      </c>
    </row>
    <row r="577" spans="1:14" ht="12.75" customHeight="1" x14ac:dyDescent="0.2">
      <c r="A577" s="216"/>
      <c r="B577" s="216" t="s">
        <v>1355</v>
      </c>
      <c r="C577" s="228"/>
      <c r="D577" s="228"/>
      <c r="E577" s="228"/>
      <c r="F577" s="228"/>
      <c r="G577" s="216" t="s">
        <v>1356</v>
      </c>
      <c r="H577" s="216" t="s">
        <v>624</v>
      </c>
      <c r="I577" s="239" t="str">
        <f>IF(ISBLANK(regional!I207),"",regional!I207)</f>
        <v/>
      </c>
      <c r="K577" s="262" t="s">
        <v>4249</v>
      </c>
      <c r="N577" s="262" t="s">
        <v>4249</v>
      </c>
    </row>
    <row r="578" spans="1:14" ht="12.75" customHeight="1" x14ac:dyDescent="0.2">
      <c r="A578" s="216"/>
      <c r="B578" s="216"/>
      <c r="C578" s="216" t="s">
        <v>1357</v>
      </c>
      <c r="D578" s="228"/>
      <c r="E578" s="228"/>
      <c r="F578" s="228"/>
      <c r="G578" s="579" t="s">
        <v>1358</v>
      </c>
      <c r="H578" s="216" t="s">
        <v>1359</v>
      </c>
      <c r="I578" s="239" t="str">
        <f>IF(ISBLANK(regional!I208),"",regional!I208)</f>
        <v/>
      </c>
      <c r="K578" s="262" t="s">
        <v>4249</v>
      </c>
      <c r="N578" s="262" t="s">
        <v>4249</v>
      </c>
    </row>
    <row r="579" spans="1:14" ht="12.75" customHeight="1" x14ac:dyDescent="0.2">
      <c r="A579" s="216"/>
      <c r="B579" s="216"/>
      <c r="C579" s="216" t="s">
        <v>1361</v>
      </c>
      <c r="D579" s="228"/>
      <c r="E579" s="228"/>
      <c r="F579" s="228"/>
      <c r="G579" s="579" t="s">
        <v>1362</v>
      </c>
      <c r="H579" s="216" t="s">
        <v>1359</v>
      </c>
      <c r="I579" s="239" t="str">
        <f>IF(ISBLANK(regional!I209),"",regional!I209)</f>
        <v/>
      </c>
      <c r="K579" s="262" t="s">
        <v>4249</v>
      </c>
      <c r="N579" s="262" t="s">
        <v>4249</v>
      </c>
    </row>
    <row r="580" spans="1:14" ht="12.75" customHeight="1" x14ac:dyDescent="0.2">
      <c r="A580" s="216"/>
      <c r="B580" s="216"/>
      <c r="C580" s="216" t="s">
        <v>1363</v>
      </c>
      <c r="D580" s="228"/>
      <c r="E580" s="228"/>
      <c r="F580" s="228"/>
      <c r="G580" s="579" t="s">
        <v>1364</v>
      </c>
      <c r="H580" s="216" t="s">
        <v>1359</v>
      </c>
      <c r="I580" s="239" t="str">
        <f>IF(ISBLANK(regional!I210),"",regional!I210)</f>
        <v/>
      </c>
      <c r="K580" s="262" t="s">
        <v>4249</v>
      </c>
      <c r="N580" s="262" t="s">
        <v>4249</v>
      </c>
    </row>
    <row r="581" spans="1:14" ht="12.75" customHeight="1" x14ac:dyDescent="0.2">
      <c r="A581" s="579"/>
      <c r="B581" s="579"/>
      <c r="C581" s="216" t="s">
        <v>1365</v>
      </c>
      <c r="D581" s="228"/>
      <c r="E581" s="228"/>
      <c r="F581" s="228"/>
      <c r="G581" s="216" t="s">
        <v>1366</v>
      </c>
      <c r="H581" s="216" t="s">
        <v>296</v>
      </c>
      <c r="I581" s="239" t="str">
        <f>IF(ISBLANK(regional!I211),"",regional!I211)</f>
        <v/>
      </c>
      <c r="K581" s="262" t="s">
        <v>4249</v>
      </c>
      <c r="N581" s="262" t="s">
        <v>4249</v>
      </c>
    </row>
    <row r="582" spans="1:14" ht="12.75" customHeight="1" x14ac:dyDescent="0.2">
      <c r="A582" s="568"/>
      <c r="B582" s="568" t="s">
        <v>1367</v>
      </c>
      <c r="C582" s="567"/>
      <c r="D582" s="567"/>
      <c r="E582" s="567"/>
      <c r="F582" s="567"/>
      <c r="G582" s="568" t="s">
        <v>1368</v>
      </c>
      <c r="H582" s="568" t="s">
        <v>624</v>
      </c>
      <c r="I582" s="239" t="str">
        <f>IF(ISBLANK(regional!I212),"",regional!I212)</f>
        <v/>
      </c>
      <c r="K582" s="262" t="s">
        <v>4249</v>
      </c>
      <c r="N582" s="262" t="s">
        <v>4249</v>
      </c>
    </row>
    <row r="583" spans="1:14" ht="12.75" customHeight="1" x14ac:dyDescent="0.2">
      <c r="A583" s="216"/>
      <c r="B583" s="216" t="s">
        <v>1369</v>
      </c>
      <c r="C583" s="228"/>
      <c r="D583" s="228"/>
      <c r="E583" s="228"/>
      <c r="F583" s="228"/>
      <c r="G583" s="216" t="s">
        <v>1370</v>
      </c>
      <c r="H583" s="216" t="s">
        <v>624</v>
      </c>
      <c r="I583" s="239" t="str">
        <f>IF(ISBLANK(regional!I213),"",regional!I213)</f>
        <v/>
      </c>
      <c r="K583" s="262" t="s">
        <v>4249</v>
      </c>
      <c r="N583" s="262" t="s">
        <v>4249</v>
      </c>
    </row>
    <row r="584" spans="1:14" ht="12.75" customHeight="1" x14ac:dyDescent="0.2">
      <c r="A584" s="216"/>
      <c r="B584" s="216" t="s">
        <v>1371</v>
      </c>
      <c r="C584" s="228"/>
      <c r="D584" s="228"/>
      <c r="E584" s="228"/>
      <c r="F584" s="228"/>
      <c r="G584" s="216" t="s">
        <v>1372</v>
      </c>
      <c r="H584" s="216" t="s">
        <v>624</v>
      </c>
      <c r="I584" s="239" t="str">
        <f>IF(ISBLANK(regional!I214),"",regional!I214)</f>
        <v/>
      </c>
      <c r="K584" s="262" t="s">
        <v>4249</v>
      </c>
      <c r="N584" s="262" t="s">
        <v>4249</v>
      </c>
    </row>
    <row r="585" spans="1:14" ht="12.75" customHeight="1" x14ac:dyDescent="0.2">
      <c r="A585" s="216"/>
      <c r="B585" s="216" t="s">
        <v>1373</v>
      </c>
      <c r="C585" s="228"/>
      <c r="D585" s="228"/>
      <c r="E585" s="228"/>
      <c r="F585" s="228"/>
      <c r="G585" s="216" t="s">
        <v>1374</v>
      </c>
      <c r="H585" s="216" t="s">
        <v>624</v>
      </c>
      <c r="I585" s="239" t="str">
        <f>IF(ISBLANK(regional!I215),"",regional!I215)</f>
        <v/>
      </c>
      <c r="K585" s="262" t="s">
        <v>4249</v>
      </c>
      <c r="N585" s="262" t="s">
        <v>4249</v>
      </c>
    </row>
    <row r="586" spans="1:14" ht="12.75" customHeight="1" x14ac:dyDescent="0.2">
      <c r="A586" s="216"/>
      <c r="B586" s="216" t="s">
        <v>1375</v>
      </c>
      <c r="C586" s="228"/>
      <c r="D586" s="228"/>
      <c r="E586" s="228"/>
      <c r="F586" s="228"/>
      <c r="G586" s="216" t="s">
        <v>1376</v>
      </c>
      <c r="H586" s="216" t="s">
        <v>624</v>
      </c>
      <c r="I586" s="239" t="str">
        <f>IF(ISBLANK(regional!I216),"",regional!I216)</f>
        <v/>
      </c>
      <c r="K586" s="262" t="s">
        <v>4249</v>
      </c>
      <c r="N586" s="262" t="s">
        <v>4249</v>
      </c>
    </row>
    <row r="587" spans="1:14" ht="12.75" customHeight="1" x14ac:dyDescent="0.2">
      <c r="A587" s="216"/>
      <c r="B587" s="216" t="s">
        <v>1377</v>
      </c>
      <c r="C587" s="228"/>
      <c r="D587" s="228"/>
      <c r="E587" s="228"/>
      <c r="F587" s="228"/>
      <c r="G587" s="216" t="s">
        <v>1378</v>
      </c>
      <c r="H587" s="216" t="s">
        <v>624</v>
      </c>
      <c r="I587" s="239" t="str">
        <f>IF(ISBLANK(regional!I217),"",regional!I217)</f>
        <v/>
      </c>
      <c r="K587" s="262" t="s">
        <v>4249</v>
      </c>
      <c r="N587" s="262" t="s">
        <v>4249</v>
      </c>
    </row>
    <row r="588" spans="1:14" ht="12.75" customHeight="1" x14ac:dyDescent="0.2">
      <c r="A588" s="216"/>
      <c r="B588" s="216"/>
      <c r="C588" s="216" t="s">
        <v>1379</v>
      </c>
      <c r="D588" s="228"/>
      <c r="E588" s="228"/>
      <c r="F588" s="228"/>
      <c r="G588" s="579" t="s">
        <v>1380</v>
      </c>
      <c r="H588" s="216" t="s">
        <v>296</v>
      </c>
      <c r="I588" s="239" t="str">
        <f>IF(ISBLANK(regional!I218),"",regional!I218)</f>
        <v/>
      </c>
      <c r="K588" s="262" t="s">
        <v>4249</v>
      </c>
      <c r="N588" s="262" t="s">
        <v>4249</v>
      </c>
    </row>
    <row r="589" spans="1:14" ht="12.75" customHeight="1" x14ac:dyDescent="0.2">
      <c r="A589" s="216"/>
      <c r="B589" s="216"/>
      <c r="C589" s="216" t="s">
        <v>1381</v>
      </c>
      <c r="D589" s="228"/>
      <c r="E589" s="228"/>
      <c r="F589" s="228"/>
      <c r="G589" s="579" t="s">
        <v>1382</v>
      </c>
      <c r="H589" s="216" t="s">
        <v>296</v>
      </c>
      <c r="I589" s="239" t="str">
        <f>IF(ISBLANK(regional!I219),"",regional!I219)</f>
        <v/>
      </c>
      <c r="K589" s="262" t="s">
        <v>4249</v>
      </c>
      <c r="N589" s="262" t="s">
        <v>4249</v>
      </c>
    </row>
    <row r="590" spans="1:14" ht="12.75" customHeight="1" x14ac:dyDescent="0.2">
      <c r="A590" s="228"/>
      <c r="B590" s="228"/>
      <c r="C590" s="216" t="s">
        <v>1383</v>
      </c>
      <c r="D590" s="228"/>
      <c r="E590" s="228"/>
      <c r="F590" s="228"/>
      <c r="G590" s="579" t="s">
        <v>1384</v>
      </c>
      <c r="H590" s="216" t="s">
        <v>296</v>
      </c>
      <c r="I590" s="239" t="str">
        <f>IF(ISBLANK(regional!I220),"",regional!I220)</f>
        <v/>
      </c>
      <c r="K590" s="262" t="s">
        <v>4249</v>
      </c>
      <c r="N590" s="262" t="s">
        <v>4249</v>
      </c>
    </row>
    <row r="591" spans="1:14" ht="12.75" customHeight="1" x14ac:dyDescent="0.2">
      <c r="A591" s="216"/>
      <c r="B591" s="216"/>
      <c r="C591" s="228" t="s">
        <v>1236</v>
      </c>
      <c r="D591" s="228"/>
      <c r="E591" s="579"/>
      <c r="F591" s="579"/>
      <c r="G591" s="216" t="s">
        <v>1385</v>
      </c>
      <c r="H591" s="228" t="s">
        <v>296</v>
      </c>
      <c r="I591" s="239" t="str">
        <f>IF(ISBLANK(regional!I221),"",regional!I221)</f>
        <v/>
      </c>
      <c r="K591" s="262" t="s">
        <v>4249</v>
      </c>
      <c r="N591" s="262" t="s">
        <v>4249</v>
      </c>
    </row>
    <row r="592" spans="1:14" ht="12.75" customHeight="1" x14ac:dyDescent="0.2">
      <c r="A592" s="216"/>
      <c r="B592" s="216"/>
      <c r="C592" s="228" t="s">
        <v>1236</v>
      </c>
      <c r="D592" s="228"/>
      <c r="E592" s="579"/>
      <c r="F592" s="579"/>
      <c r="G592" s="216" t="s">
        <v>1386</v>
      </c>
      <c r="H592" s="228" t="s">
        <v>296</v>
      </c>
      <c r="I592" s="239" t="str">
        <f>IF(ISBLANK(regional!I222),"",regional!I222)</f>
        <v/>
      </c>
      <c r="K592" s="262" t="s">
        <v>4249</v>
      </c>
      <c r="N592" s="262" t="s">
        <v>4249</v>
      </c>
    </row>
    <row r="593" spans="1:14" ht="12.75" customHeight="1" x14ac:dyDescent="0.2">
      <c r="A593" s="216"/>
      <c r="B593" s="216"/>
      <c r="C593" s="228" t="s">
        <v>1236</v>
      </c>
      <c r="D593" s="228"/>
      <c r="E593" s="579"/>
      <c r="F593" s="579"/>
      <c r="G593" s="216" t="s">
        <v>1387</v>
      </c>
      <c r="H593" s="228" t="s">
        <v>296</v>
      </c>
      <c r="I593" s="239" t="str">
        <f>IF(ISBLANK(regional!I223),"",regional!I223)</f>
        <v/>
      </c>
      <c r="K593" s="262" t="s">
        <v>4249</v>
      </c>
      <c r="N593" s="262" t="s">
        <v>4249</v>
      </c>
    </row>
    <row r="594" spans="1:14" ht="12.75" customHeight="1" x14ac:dyDescent="0.2">
      <c r="A594" s="487"/>
      <c r="B594" s="487"/>
      <c r="C594" s="487"/>
      <c r="D594" s="487"/>
      <c r="E594" s="487"/>
      <c r="F594" s="487"/>
      <c r="G594" s="651"/>
      <c r="H594" s="651"/>
      <c r="I594" s="239" t="str">
        <f>IF(ISBLANK(regional!I224),"",regional!I224)</f>
        <v/>
      </c>
      <c r="K594" s="262" t="s">
        <v>4249</v>
      </c>
      <c r="N594" s="262" t="s">
        <v>4249</v>
      </c>
    </row>
    <row r="595" spans="1:14" ht="12.75" customHeight="1" x14ac:dyDescent="0.2">
      <c r="A595" t="s">
        <v>1388</v>
      </c>
      <c r="I595" s="239" t="str">
        <f>IF(ISBLANK(regional!I225),"",regional!I225)</f>
        <v/>
      </c>
      <c r="K595" s="262" t="s">
        <v>4249</v>
      </c>
      <c r="N595" s="262" t="s">
        <v>4249</v>
      </c>
    </row>
    <row r="596" spans="1:14" ht="12.75" customHeight="1" x14ac:dyDescent="0.2">
      <c r="A596" s="631" t="s">
        <v>1389</v>
      </c>
      <c r="B596" s="413"/>
      <c r="C596" s="413"/>
      <c r="D596" s="413"/>
      <c r="E596" s="413"/>
      <c r="F596" s="413"/>
      <c r="G596" s="631" t="s">
        <v>263</v>
      </c>
      <c r="H596" s="631" t="s">
        <v>279</v>
      </c>
      <c r="I596" s="239" t="str">
        <f>IF(ISBLANK(regional!I226),"",regional!I226)</f>
        <v>User input</v>
      </c>
      <c r="K596" s="262" t="s">
        <v>264</v>
      </c>
      <c r="N596" s="262" t="s">
        <v>264</v>
      </c>
    </row>
    <row r="597" spans="1:14" ht="12.75" customHeight="1" x14ac:dyDescent="0.2">
      <c r="A597" s="410" t="s">
        <v>1392</v>
      </c>
      <c r="B597" s="410"/>
      <c r="C597" s="410"/>
      <c r="D597" s="410"/>
      <c r="E597" s="410"/>
      <c r="F597" s="410"/>
      <c r="G597" s="655"/>
      <c r="H597" s="655"/>
      <c r="I597" s="239" t="str">
        <f>IF(ISBLANK(regional!I227),"",regional!I227)</f>
        <v/>
      </c>
      <c r="K597" s="262" t="s">
        <v>4249</v>
      </c>
      <c r="N597" s="262" t="s">
        <v>4249</v>
      </c>
    </row>
    <row r="598" spans="1:14" ht="12.75" customHeight="1" x14ac:dyDescent="0.2">
      <c r="A598" s="567" t="s">
        <v>1393</v>
      </c>
      <c r="B598" s="567"/>
      <c r="C598" s="567"/>
      <c r="D598" s="567"/>
      <c r="E598" s="567"/>
      <c r="F598" s="567"/>
      <c r="G598" s="567" t="s">
        <v>1394</v>
      </c>
      <c r="H598" s="568" t="s">
        <v>340</v>
      </c>
      <c r="I598" s="239" t="str">
        <f>IF(ISBLANK(regional!I228),"",regional!I228)</f>
        <v/>
      </c>
      <c r="K598" s="262" t="s">
        <v>4249</v>
      </c>
      <c r="N598" s="262" t="s">
        <v>4249</v>
      </c>
    </row>
    <row r="599" spans="1:14" ht="12.75" customHeight="1" x14ac:dyDescent="0.2">
      <c r="A599" s="567"/>
      <c r="B599" s="567" t="s">
        <v>1396</v>
      </c>
      <c r="C599" s="567"/>
      <c r="D599" s="567"/>
      <c r="E599" s="567"/>
      <c r="F599" s="567"/>
      <c r="G599" s="567" t="s">
        <v>1397</v>
      </c>
      <c r="H599" s="567" t="s">
        <v>340</v>
      </c>
      <c r="I599" s="239" t="str">
        <f>IF(ISBLANK(regional!I229),"",regional!I229)</f>
        <v/>
      </c>
      <c r="K599" s="262" t="s">
        <v>4249</v>
      </c>
      <c r="N599" s="262" t="s">
        <v>4249</v>
      </c>
    </row>
    <row r="600" spans="1:14" ht="12.75" customHeight="1" x14ac:dyDescent="0.2">
      <c r="A600" s="567"/>
      <c r="B600" s="567"/>
      <c r="C600" s="567" t="s">
        <v>713</v>
      </c>
      <c r="D600" s="567"/>
      <c r="E600" s="567"/>
      <c r="F600" s="567"/>
      <c r="G600" s="567" t="s">
        <v>714</v>
      </c>
      <c r="H600" s="568" t="s">
        <v>715</v>
      </c>
      <c r="I600" s="239" t="str">
        <f>IF(ISBLANK(input!I275),"",input!I275)</f>
        <v/>
      </c>
      <c r="K600" s="262" t="s">
        <v>4249</v>
      </c>
      <c r="N600" s="262" t="s">
        <v>4249</v>
      </c>
    </row>
    <row r="601" spans="1:14" ht="12.75" customHeight="1" x14ac:dyDescent="0.2">
      <c r="A601" s="567"/>
      <c r="B601" s="567"/>
      <c r="C601" s="567" t="s">
        <v>1398</v>
      </c>
      <c r="D601" s="567"/>
      <c r="E601" s="567"/>
      <c r="F601" s="567"/>
      <c r="G601" s="568" t="s">
        <v>1399</v>
      </c>
      <c r="H601" s="568" t="s">
        <v>296</v>
      </c>
      <c r="I601" s="239" t="str">
        <f>IF(ISBLANK(regional!I230),"",regional!I230)</f>
        <v/>
      </c>
      <c r="K601" s="262" t="s">
        <v>4249</v>
      </c>
      <c r="N601" s="262" t="s">
        <v>4249</v>
      </c>
    </row>
    <row r="602" spans="1:14" ht="12.75" customHeight="1" x14ac:dyDescent="0.2">
      <c r="A602" s="567"/>
      <c r="B602" s="567"/>
      <c r="C602" s="567"/>
      <c r="D602" s="567" t="s">
        <v>1401</v>
      </c>
      <c r="E602" s="567"/>
      <c r="F602" s="567"/>
      <c r="G602" s="567" t="s">
        <v>1402</v>
      </c>
      <c r="H602" s="567" t="s">
        <v>907</v>
      </c>
      <c r="I602" s="239" t="str">
        <f>IF(ISBLANK(regional!I231),"",regional!I231)</f>
        <v/>
      </c>
      <c r="K602" s="262" t="s">
        <v>4249</v>
      </c>
      <c r="N602" s="262" t="s">
        <v>4249</v>
      </c>
    </row>
    <row r="603" spans="1:14" ht="12.75" customHeight="1" x14ac:dyDescent="0.2">
      <c r="A603" s="567"/>
      <c r="B603" s="567"/>
      <c r="C603" s="567"/>
      <c r="D603" s="567" t="s">
        <v>1403</v>
      </c>
      <c r="E603" s="567"/>
      <c r="F603" s="567"/>
      <c r="G603" s="568" t="s">
        <v>1404</v>
      </c>
      <c r="H603" s="568" t="s">
        <v>873</v>
      </c>
      <c r="I603" s="239" t="str">
        <f>IF(ISBLANK(regional!I232),"",regional!I232)</f>
        <v/>
      </c>
      <c r="K603" s="262" t="s">
        <v>4249</v>
      </c>
      <c r="N603" s="262" t="s">
        <v>4249</v>
      </c>
    </row>
    <row r="604" spans="1:14" ht="12.75" customHeight="1" x14ac:dyDescent="0.2">
      <c r="A604" s="567" t="s">
        <v>1405</v>
      </c>
      <c r="B604" s="567"/>
      <c r="C604" s="567"/>
      <c r="D604" s="567"/>
      <c r="E604" s="567"/>
      <c r="F604" s="567"/>
      <c r="G604" s="567" t="s">
        <v>1406</v>
      </c>
      <c r="H604" s="567" t="s">
        <v>340</v>
      </c>
      <c r="I604" s="239" t="str">
        <f>IF(ISBLANK(regional!I233),"",regional!I233)</f>
        <v/>
      </c>
      <c r="K604" s="262" t="s">
        <v>4249</v>
      </c>
      <c r="N604" s="262" t="s">
        <v>4249</v>
      </c>
    </row>
    <row r="605" spans="1:14" ht="12.75" customHeight="1" x14ac:dyDescent="0.2">
      <c r="A605" s="567"/>
      <c r="B605" s="567"/>
      <c r="C605" s="567" t="s">
        <v>717</v>
      </c>
      <c r="D605" s="567"/>
      <c r="E605" s="567"/>
      <c r="F605" s="567"/>
      <c r="G605" s="567" t="s">
        <v>718</v>
      </c>
      <c r="H605" s="568" t="s">
        <v>715</v>
      </c>
      <c r="I605" s="239" t="str">
        <f>IF(ISBLANK(input!I276),"",input!I276)</f>
        <v/>
      </c>
      <c r="K605" s="262" t="s">
        <v>4249</v>
      </c>
      <c r="N605" s="262" t="s">
        <v>4249</v>
      </c>
    </row>
    <row r="606" spans="1:14" ht="12.75" customHeight="1" x14ac:dyDescent="0.2">
      <c r="A606" s="567"/>
      <c r="B606" s="567"/>
      <c r="C606" s="567" t="s">
        <v>1407</v>
      </c>
      <c r="D606" s="567"/>
      <c r="E606" s="567"/>
      <c r="F606" s="567"/>
      <c r="G606" s="568" t="s">
        <v>1408</v>
      </c>
      <c r="H606" s="568" t="s">
        <v>873</v>
      </c>
      <c r="I606" s="239" t="str">
        <f>IF(ISBLANK(regional!I234),"",regional!I234)</f>
        <v/>
      </c>
      <c r="K606" s="262" t="s">
        <v>4249</v>
      </c>
      <c r="N606" s="262" t="s">
        <v>4249</v>
      </c>
    </row>
    <row r="607" spans="1:14" ht="12.75" customHeight="1" x14ac:dyDescent="0.2">
      <c r="A607" s="567"/>
      <c r="B607" s="567"/>
      <c r="C607" s="567" t="s">
        <v>1409</v>
      </c>
      <c r="D607" s="567"/>
      <c r="E607" s="567"/>
      <c r="F607" s="567"/>
      <c r="G607" s="567" t="s">
        <v>1410</v>
      </c>
      <c r="H607" s="567" t="s">
        <v>907</v>
      </c>
      <c r="I607" s="239" t="str">
        <f>IF(ISBLANK(regional!I235),"",regional!I235)</f>
        <v/>
      </c>
      <c r="K607" s="262" t="s">
        <v>4249</v>
      </c>
      <c r="N607" s="262" t="s">
        <v>4249</v>
      </c>
    </row>
    <row r="608" spans="1:14" ht="12.75" customHeight="1" x14ac:dyDescent="0.2">
      <c r="A608" s="567"/>
      <c r="B608" s="567"/>
      <c r="C608" s="567" t="s">
        <v>1411</v>
      </c>
      <c r="D608" s="567"/>
      <c r="E608" s="567"/>
      <c r="F608" s="567"/>
      <c r="G608" s="568" t="s">
        <v>1412</v>
      </c>
      <c r="H608" s="568" t="s">
        <v>296</v>
      </c>
      <c r="I608" s="239" t="str">
        <f>IF(ISBLANK(regional!I236),"",regional!I236)</f>
        <v/>
      </c>
      <c r="K608" s="262" t="s">
        <v>4249</v>
      </c>
      <c r="N608" s="262" t="s">
        <v>4249</v>
      </c>
    </row>
    <row r="609" spans="1:14" ht="12.75" customHeight="1" x14ac:dyDescent="0.2">
      <c r="A609" s="567" t="s">
        <v>1413</v>
      </c>
      <c r="B609" s="567"/>
      <c r="C609" s="567"/>
      <c r="D609" s="567"/>
      <c r="E609" s="567"/>
      <c r="F609" s="567"/>
      <c r="G609" s="568" t="s">
        <v>1414</v>
      </c>
      <c r="H609" s="568" t="s">
        <v>340</v>
      </c>
      <c r="I609" s="239" t="str">
        <f>IF(ISBLANK(regional!I237),"",regional!I237)</f>
        <v/>
      </c>
      <c r="K609" s="262" t="s">
        <v>4249</v>
      </c>
      <c r="N609" s="262" t="s">
        <v>4249</v>
      </c>
    </row>
    <row r="610" spans="1:14" ht="12.75" customHeight="1" x14ac:dyDescent="0.2">
      <c r="A610" s="567"/>
      <c r="B610" s="567" t="s">
        <v>719</v>
      </c>
      <c r="C610" s="567"/>
      <c r="D610" s="567"/>
      <c r="E610" s="567"/>
      <c r="F610" s="567"/>
      <c r="G610" s="567" t="s">
        <v>720</v>
      </c>
      <c r="H610" s="568" t="s">
        <v>715</v>
      </c>
      <c r="I610" s="239" t="str">
        <f>IF(ISBLANK(input!I277),"",input!I277)</f>
        <v/>
      </c>
      <c r="K610" s="262" t="s">
        <v>4249</v>
      </c>
      <c r="N610" s="262" t="s">
        <v>4249</v>
      </c>
    </row>
    <row r="611" spans="1:14" ht="12.75" customHeight="1" x14ac:dyDescent="0.2">
      <c r="A611" s="567"/>
      <c r="B611" s="567" t="s">
        <v>1415</v>
      </c>
      <c r="C611" s="567"/>
      <c r="D611" s="567"/>
      <c r="E611" s="567"/>
      <c r="F611" s="567"/>
      <c r="G611" s="568" t="s">
        <v>1416</v>
      </c>
      <c r="H611" s="568" t="s">
        <v>873</v>
      </c>
      <c r="I611" s="239" t="str">
        <f>IF(ISBLANK(regional!I238),"",regional!I238)</f>
        <v/>
      </c>
      <c r="K611" s="262" t="s">
        <v>4249</v>
      </c>
      <c r="N611" s="262" t="s">
        <v>4249</v>
      </c>
    </row>
    <row r="612" spans="1:14" ht="12.75" customHeight="1" x14ac:dyDescent="0.2">
      <c r="A612" s="567"/>
      <c r="B612" s="567" t="s">
        <v>1417</v>
      </c>
      <c r="C612" s="567"/>
      <c r="D612" s="567"/>
      <c r="E612" s="567"/>
      <c r="F612" s="567"/>
      <c r="G612" s="567" t="s">
        <v>1418</v>
      </c>
      <c r="H612" s="567" t="s">
        <v>907</v>
      </c>
      <c r="I612" s="239" t="str">
        <f>IF(ISBLANK(regional!I239),"",regional!I239)</f>
        <v/>
      </c>
      <c r="K612" s="262" t="s">
        <v>4249</v>
      </c>
      <c r="N612" s="262" t="s">
        <v>4249</v>
      </c>
    </row>
    <row r="613" spans="1:14" ht="12.75" customHeight="1" x14ac:dyDescent="0.2">
      <c r="A613" s="567"/>
      <c r="B613" s="567" t="s">
        <v>1419</v>
      </c>
      <c r="C613" s="567"/>
      <c r="D613" s="567"/>
      <c r="E613" s="567"/>
      <c r="F613" s="567"/>
      <c r="G613" s="568" t="s">
        <v>1420</v>
      </c>
      <c r="H613" s="568" t="s">
        <v>296</v>
      </c>
      <c r="I613" s="239" t="str">
        <f>IF(ISBLANK(regional!I240),"",regional!I240)</f>
        <v/>
      </c>
      <c r="K613" s="262" t="s">
        <v>4249</v>
      </c>
      <c r="N613" s="262" t="s">
        <v>4249</v>
      </c>
    </row>
    <row r="614" spans="1:14" ht="12.75" customHeight="1" x14ac:dyDescent="0.2">
      <c r="A614" s="410" t="s">
        <v>1421</v>
      </c>
      <c r="B614" s="410"/>
      <c r="C614" s="410"/>
      <c r="D614" s="410"/>
      <c r="E614" s="410"/>
      <c r="F614" s="410"/>
      <c r="G614" s="655"/>
      <c r="H614" s="655"/>
      <c r="I614" s="239" t="str">
        <f>IF(ISBLANK(regional!I241),"",regional!I241)</f>
        <v/>
      </c>
      <c r="K614" s="262" t="s">
        <v>4249</v>
      </c>
      <c r="N614" s="262" t="s">
        <v>4249</v>
      </c>
    </row>
    <row r="615" spans="1:14" ht="12.75" customHeight="1" x14ac:dyDescent="0.2">
      <c r="A615" s="567" t="s">
        <v>1422</v>
      </c>
      <c r="B615" s="567"/>
      <c r="C615" s="567"/>
      <c r="D615" s="567"/>
      <c r="E615" s="567"/>
      <c r="F615" s="567"/>
      <c r="G615" s="567" t="s">
        <v>1423</v>
      </c>
      <c r="H615" s="567" t="s">
        <v>340</v>
      </c>
      <c r="I615" s="239" t="str">
        <f>IF(ISBLANK(regional!I242),"",regional!I242)</f>
        <v/>
      </c>
      <c r="K615" s="262" t="s">
        <v>4249</v>
      </c>
      <c r="N615" s="262" t="s">
        <v>4249</v>
      </c>
    </row>
    <row r="616" spans="1:14" ht="12.75" customHeight="1" x14ac:dyDescent="0.2">
      <c r="A616" s="567"/>
      <c r="B616" s="567" t="s">
        <v>1424</v>
      </c>
      <c r="C616" s="567"/>
      <c r="D616" s="567"/>
      <c r="E616" s="567"/>
      <c r="F616" s="567"/>
      <c r="G616" s="567" t="s">
        <v>1425</v>
      </c>
      <c r="H616" s="567" t="s">
        <v>715</v>
      </c>
      <c r="I616" s="239" t="str">
        <f>IF(ISBLANK(regional!I243),"",regional!I243)</f>
        <v/>
      </c>
      <c r="K616" s="262" t="s">
        <v>4249</v>
      </c>
      <c r="N616" s="262" t="s">
        <v>4249</v>
      </c>
    </row>
    <row r="617" spans="1:14" ht="12.75" customHeight="1" x14ac:dyDescent="0.2">
      <c r="A617" s="567"/>
      <c r="B617" s="567" t="s">
        <v>1426</v>
      </c>
      <c r="C617" s="567"/>
      <c r="D617" s="567"/>
      <c r="E617" s="567"/>
      <c r="F617" s="567"/>
      <c r="G617" s="567" t="s">
        <v>1427</v>
      </c>
      <c r="H617" s="567" t="s">
        <v>340</v>
      </c>
      <c r="I617" s="239" t="str">
        <f>IF(ISBLANK(regional!I244),"",regional!I244)</f>
        <v/>
      </c>
      <c r="K617" s="262" t="s">
        <v>4249</v>
      </c>
      <c r="N617" s="262" t="s">
        <v>4249</v>
      </c>
    </row>
    <row r="618" spans="1:14" ht="12.75" customHeight="1" x14ac:dyDescent="0.2">
      <c r="A618" s="567"/>
      <c r="B618" s="567"/>
      <c r="C618" s="567" t="s">
        <v>1428</v>
      </c>
      <c r="D618" s="567"/>
      <c r="E618" s="567"/>
      <c r="F618" s="567"/>
      <c r="G618" s="568" t="s">
        <v>1429</v>
      </c>
      <c r="H618" s="568" t="s">
        <v>340</v>
      </c>
      <c r="I618" s="239" t="str">
        <f>IF(ISBLANK(regional!I245),"",regional!I245)</f>
        <v/>
      </c>
      <c r="K618" s="262" t="s">
        <v>4249</v>
      </c>
      <c r="N618" s="262" t="s">
        <v>4249</v>
      </c>
    </row>
    <row r="619" spans="1:14" ht="12.75" customHeight="1" x14ac:dyDescent="0.2">
      <c r="A619" s="567"/>
      <c r="B619" s="567"/>
      <c r="C619" s="567"/>
      <c r="D619" s="567" t="s">
        <v>1430</v>
      </c>
      <c r="E619" s="567"/>
      <c r="F619" s="567"/>
      <c r="G619" s="567" t="s">
        <v>1431</v>
      </c>
      <c r="H619" s="567" t="s">
        <v>340</v>
      </c>
      <c r="I619" s="239" t="str">
        <f>IF(ISBLANK(regional!I246),"",regional!I246)</f>
        <v/>
      </c>
      <c r="K619" s="262" t="s">
        <v>4249</v>
      </c>
      <c r="N619" s="262" t="s">
        <v>4249</v>
      </c>
    </row>
    <row r="620" spans="1:14" ht="12.75" customHeight="1" x14ac:dyDescent="0.2">
      <c r="A620" s="567" t="s">
        <v>1433</v>
      </c>
      <c r="B620" s="567"/>
      <c r="C620" s="567"/>
      <c r="D620" s="567"/>
      <c r="E620" s="567"/>
      <c r="F620" s="567"/>
      <c r="G620" s="568" t="s">
        <v>1434</v>
      </c>
      <c r="H620" s="568" t="s">
        <v>340</v>
      </c>
      <c r="I620" s="239" t="str">
        <f>IF(ISBLANK(regional!I247),"",regional!I247)</f>
        <v/>
      </c>
      <c r="K620" s="262" t="s">
        <v>4249</v>
      </c>
      <c r="N620" s="262" t="s">
        <v>4249</v>
      </c>
    </row>
    <row r="621" spans="1:14" ht="12.75" customHeight="1" x14ac:dyDescent="0.2">
      <c r="A621" s="567"/>
      <c r="B621" s="567" t="s">
        <v>1435</v>
      </c>
      <c r="C621" s="567"/>
      <c r="D621" s="567"/>
      <c r="E621" s="567"/>
      <c r="F621" s="567"/>
      <c r="G621" s="568" t="s">
        <v>1436</v>
      </c>
      <c r="H621" s="568" t="s">
        <v>715</v>
      </c>
      <c r="I621" s="239" t="str">
        <f>IF(ISBLANK(regional!I248),"",regional!I248)</f>
        <v/>
      </c>
      <c r="K621" s="262" t="s">
        <v>4249</v>
      </c>
      <c r="N621" s="262" t="s">
        <v>4249</v>
      </c>
    </row>
    <row r="622" spans="1:14" ht="12.75" customHeight="1" x14ac:dyDescent="0.2">
      <c r="A622" s="567"/>
      <c r="B622" s="567" t="s">
        <v>1438</v>
      </c>
      <c r="C622" s="567"/>
      <c r="D622" s="567"/>
      <c r="E622" s="567"/>
      <c r="F622" s="567"/>
      <c r="G622" s="568" t="s">
        <v>1439</v>
      </c>
      <c r="H622" s="568" t="s">
        <v>340</v>
      </c>
      <c r="I622" s="239" t="str">
        <f>IF(ISBLANK(regional!I249),"",regional!I249)</f>
        <v/>
      </c>
      <c r="J622" s="228"/>
      <c r="K622" s="262" t="s">
        <v>4249</v>
      </c>
      <c r="N622" s="262" t="s">
        <v>4249</v>
      </c>
    </row>
    <row r="623" spans="1:14" ht="12.75" customHeight="1" x14ac:dyDescent="0.2">
      <c r="A623" s="567"/>
      <c r="B623" s="567"/>
      <c r="C623" s="567" t="s">
        <v>1428</v>
      </c>
      <c r="D623" s="567"/>
      <c r="E623" s="567"/>
      <c r="F623" s="567"/>
      <c r="G623" s="568" t="s">
        <v>1440</v>
      </c>
      <c r="H623" s="568" t="s">
        <v>340</v>
      </c>
      <c r="I623" s="239" t="str">
        <f>IF(ISBLANK(regional!I250),"",regional!I250)</f>
        <v/>
      </c>
      <c r="J623" s="411"/>
      <c r="K623" s="262" t="s">
        <v>4249</v>
      </c>
      <c r="N623" s="262" t="s">
        <v>4249</v>
      </c>
    </row>
    <row r="624" spans="1:14" ht="12.75" customHeight="1" x14ac:dyDescent="0.2">
      <c r="A624" s="567"/>
      <c r="B624" s="567"/>
      <c r="C624" s="567"/>
      <c r="D624" s="567" t="s">
        <v>1441</v>
      </c>
      <c r="E624" s="567"/>
      <c r="F624" s="567"/>
      <c r="G624" s="568" t="s">
        <v>1442</v>
      </c>
      <c r="H624" s="568" t="s">
        <v>340</v>
      </c>
      <c r="I624" s="239" t="str">
        <f>IF(ISBLANK(regional!I251),"",regional!I251)</f>
        <v/>
      </c>
      <c r="J624" s="228"/>
      <c r="K624" s="262" t="s">
        <v>4249</v>
      </c>
      <c r="N624" s="262" t="s">
        <v>4249</v>
      </c>
    </row>
    <row r="625" spans="1:14" ht="12.75" customHeight="1" x14ac:dyDescent="0.2">
      <c r="A625" s="567" t="s">
        <v>1444</v>
      </c>
      <c r="B625" s="567"/>
      <c r="C625" s="567"/>
      <c r="D625" s="567"/>
      <c r="E625" s="567"/>
      <c r="F625" s="567"/>
      <c r="G625" s="568" t="s">
        <v>1445</v>
      </c>
      <c r="H625" s="568" t="s">
        <v>340</v>
      </c>
      <c r="I625" s="239" t="str">
        <f>IF(ISBLANK(regional!I252),"",regional!I252)</f>
        <v/>
      </c>
      <c r="K625" s="262" t="s">
        <v>4249</v>
      </c>
      <c r="N625" s="262" t="s">
        <v>4249</v>
      </c>
    </row>
    <row r="626" spans="1:14" ht="12.75" customHeight="1" x14ac:dyDescent="0.2">
      <c r="A626" s="567"/>
      <c r="B626" s="567" t="s">
        <v>1446</v>
      </c>
      <c r="C626" s="567"/>
      <c r="D626" s="567"/>
      <c r="E626" s="567"/>
      <c r="F626" s="567"/>
      <c r="G626" s="568" t="s">
        <v>1447</v>
      </c>
      <c r="H626" s="568" t="s">
        <v>715</v>
      </c>
      <c r="I626" s="239" t="str">
        <f>IF(ISBLANK(regional!I253),"",regional!I253)</f>
        <v/>
      </c>
      <c r="K626" s="262" t="s">
        <v>4249</v>
      </c>
      <c r="N626" s="262" t="s">
        <v>4249</v>
      </c>
    </row>
    <row r="627" spans="1:14" ht="12.75" customHeight="1" x14ac:dyDescent="0.2">
      <c r="A627" s="567"/>
      <c r="B627" s="567" t="s">
        <v>1449</v>
      </c>
      <c r="C627" s="567"/>
      <c r="D627" s="567"/>
      <c r="E627" s="567"/>
      <c r="F627" s="567"/>
      <c r="G627" s="568" t="s">
        <v>1450</v>
      </c>
      <c r="H627" s="568" t="s">
        <v>340</v>
      </c>
      <c r="I627" s="239" t="str">
        <f>IF(ISBLANK(regional!I254),"",regional!I254)</f>
        <v/>
      </c>
      <c r="K627" s="262" t="s">
        <v>4249</v>
      </c>
      <c r="N627" s="262" t="s">
        <v>4249</v>
      </c>
    </row>
    <row r="628" spans="1:14" ht="12.75" customHeight="1" x14ac:dyDescent="0.2">
      <c r="A628" s="567"/>
      <c r="B628" s="567"/>
      <c r="C628" s="567" t="s">
        <v>1428</v>
      </c>
      <c r="D628" s="567"/>
      <c r="E628" s="567"/>
      <c r="F628" s="567"/>
      <c r="G628" s="568" t="s">
        <v>1451</v>
      </c>
      <c r="H628" s="568" t="s">
        <v>340</v>
      </c>
      <c r="I628" s="239" t="str">
        <f>IF(ISBLANK(regional!I255),"",regional!I255)</f>
        <v/>
      </c>
      <c r="K628" s="262" t="s">
        <v>4249</v>
      </c>
      <c r="N628" s="262" t="s">
        <v>4249</v>
      </c>
    </row>
    <row r="629" spans="1:14" ht="12.75" customHeight="1" x14ac:dyDescent="0.2">
      <c r="A629" s="567"/>
      <c r="B629" s="567"/>
      <c r="C629" s="567"/>
      <c r="D629" s="567" t="s">
        <v>1452</v>
      </c>
      <c r="E629" s="567"/>
      <c r="F629" s="567"/>
      <c r="G629" s="568" t="s">
        <v>1453</v>
      </c>
      <c r="H629" s="568" t="s">
        <v>340</v>
      </c>
      <c r="I629" s="239" t="str">
        <f>IF(ISBLANK(regional!I256),"",regional!I256)</f>
        <v/>
      </c>
      <c r="K629" s="262" t="s">
        <v>4249</v>
      </c>
      <c r="N629" s="262" t="s">
        <v>4249</v>
      </c>
    </row>
    <row r="630" spans="1:14" ht="12.75" customHeight="1" x14ac:dyDescent="0.2">
      <c r="A630" s="567"/>
      <c r="B630" s="567"/>
      <c r="C630" s="567" t="s">
        <v>1454</v>
      </c>
      <c r="D630" s="567"/>
      <c r="E630" s="567"/>
      <c r="F630" s="567"/>
      <c r="G630" s="567" t="s">
        <v>1455</v>
      </c>
      <c r="H630" s="567" t="s">
        <v>340</v>
      </c>
      <c r="I630" s="239" t="str">
        <f>IF(ISBLANK(regional!I257),"",regional!I257)</f>
        <v/>
      </c>
      <c r="K630" s="262" t="s">
        <v>4249</v>
      </c>
      <c r="N630" s="262" t="s">
        <v>4249</v>
      </c>
    </row>
    <row r="631" spans="1:14" ht="12.75" customHeight="1" x14ac:dyDescent="0.2">
      <c r="A631" s="567"/>
      <c r="B631" s="567"/>
      <c r="C631" s="567" t="s">
        <v>1456</v>
      </c>
      <c r="D631" s="567"/>
      <c r="E631" s="567"/>
      <c r="F631" s="567"/>
      <c r="G631" s="568" t="s">
        <v>1457</v>
      </c>
      <c r="H631" s="568" t="s">
        <v>340</v>
      </c>
      <c r="I631" s="239" t="str">
        <f>IF(ISBLANK(regional!I258),"",regional!I258)</f>
        <v/>
      </c>
      <c r="K631" s="262" t="s">
        <v>4249</v>
      </c>
      <c r="N631" s="262" t="s">
        <v>4249</v>
      </c>
    </row>
    <row r="632" spans="1:14" ht="12.75" customHeight="1" x14ac:dyDescent="0.2">
      <c r="A632" s="410" t="s">
        <v>1458</v>
      </c>
      <c r="B632" s="410"/>
      <c r="C632" s="410"/>
      <c r="D632" s="410"/>
      <c r="E632" s="410"/>
      <c r="F632" s="410"/>
      <c r="G632" s="655"/>
      <c r="H632" s="655"/>
      <c r="I632" s="239" t="str">
        <f>IF(ISBLANK(regional!I259),"",regional!I259)</f>
        <v/>
      </c>
      <c r="K632" s="262" t="s">
        <v>4249</v>
      </c>
      <c r="N632" s="262" t="s">
        <v>4249</v>
      </c>
    </row>
    <row r="633" spans="1:14" ht="12.75" customHeight="1" x14ac:dyDescent="0.2">
      <c r="A633" s="567" t="s">
        <v>1459</v>
      </c>
      <c r="B633" s="567"/>
      <c r="C633" s="567"/>
      <c r="D633" s="567"/>
      <c r="E633" s="567"/>
      <c r="F633" s="567"/>
      <c r="G633" s="568" t="s">
        <v>1460</v>
      </c>
      <c r="H633" s="568" t="s">
        <v>340</v>
      </c>
      <c r="I633" s="239" t="str">
        <f>IF(ISBLANK(regional!I260),"",regional!I260)</f>
        <v/>
      </c>
      <c r="K633" s="262" t="s">
        <v>4249</v>
      </c>
      <c r="N633" s="262" t="s">
        <v>4249</v>
      </c>
    </row>
    <row r="634" spans="1:14" ht="12.75" customHeight="1" x14ac:dyDescent="0.2">
      <c r="A634" s="567"/>
      <c r="B634" s="567" t="s">
        <v>1461</v>
      </c>
      <c r="C634" s="567"/>
      <c r="D634" s="567"/>
      <c r="E634" s="567"/>
      <c r="F634" s="567"/>
      <c r="G634" s="568" t="s">
        <v>1462</v>
      </c>
      <c r="H634" s="568" t="s">
        <v>715</v>
      </c>
      <c r="I634" s="239" t="str">
        <f>IF(ISBLANK(regional!I261),"",regional!I261)</f>
        <v/>
      </c>
      <c r="K634" s="262" t="s">
        <v>4249</v>
      </c>
      <c r="N634" s="262" t="s">
        <v>4249</v>
      </c>
    </row>
    <row r="635" spans="1:14" ht="12.75" customHeight="1" x14ac:dyDescent="0.2">
      <c r="A635" s="567"/>
      <c r="B635" s="567" t="s">
        <v>1464</v>
      </c>
      <c r="C635" s="567"/>
      <c r="D635" s="567"/>
      <c r="E635" s="567"/>
      <c r="F635" s="567"/>
      <c r="G635" s="568" t="s">
        <v>1465</v>
      </c>
      <c r="H635" s="567" t="s">
        <v>340</v>
      </c>
      <c r="I635" s="239" t="str">
        <f>IF(ISBLANK(regional!I262),"",regional!I262)</f>
        <v/>
      </c>
      <c r="K635" s="262" t="s">
        <v>4249</v>
      </c>
      <c r="N635" s="262" t="s">
        <v>4249</v>
      </c>
    </row>
    <row r="636" spans="1:14" ht="12.75" customHeight="1" x14ac:dyDescent="0.2">
      <c r="A636" s="567"/>
      <c r="B636" s="567"/>
      <c r="C636" s="567" t="s">
        <v>1466</v>
      </c>
      <c r="D636" s="567"/>
      <c r="E636" s="567"/>
      <c r="F636" s="567"/>
      <c r="G636" s="568" t="s">
        <v>1467</v>
      </c>
      <c r="H636" s="568" t="s">
        <v>340</v>
      </c>
      <c r="I636" s="239" t="str">
        <f>IF(ISBLANK(regional!I263),"",regional!I263)</f>
        <v/>
      </c>
      <c r="K636" s="262" t="s">
        <v>4249</v>
      </c>
      <c r="N636" s="262" t="s">
        <v>4249</v>
      </c>
    </row>
    <row r="637" spans="1:14" ht="12.75" customHeight="1" x14ac:dyDescent="0.2">
      <c r="A637" s="567" t="s">
        <v>1468</v>
      </c>
      <c r="B637" s="567"/>
      <c r="C637" s="567"/>
      <c r="D637" s="567"/>
      <c r="E637" s="567"/>
      <c r="F637" s="567"/>
      <c r="G637" s="568" t="s">
        <v>1469</v>
      </c>
      <c r="H637" s="568" t="s">
        <v>340</v>
      </c>
      <c r="I637" s="239" t="str">
        <f>IF(ISBLANK(regional!I264),"",regional!I264)</f>
        <v/>
      </c>
      <c r="K637" s="262" t="s">
        <v>4249</v>
      </c>
      <c r="N637" s="262" t="s">
        <v>4249</v>
      </c>
    </row>
    <row r="638" spans="1:14" ht="12.75" customHeight="1" x14ac:dyDescent="0.2">
      <c r="A638" s="567"/>
      <c r="B638" s="567" t="s">
        <v>1470</v>
      </c>
      <c r="C638" s="567"/>
      <c r="D638" s="567"/>
      <c r="E638" s="567"/>
      <c r="F638" s="567"/>
      <c r="G638" s="568" t="s">
        <v>1471</v>
      </c>
      <c r="H638" s="568" t="s">
        <v>715</v>
      </c>
      <c r="I638" s="239" t="str">
        <f>IF(ISBLANK(regional!I265),"",regional!I265)</f>
        <v/>
      </c>
      <c r="K638" s="262" t="s">
        <v>4249</v>
      </c>
      <c r="N638" s="262" t="s">
        <v>4249</v>
      </c>
    </row>
    <row r="639" spans="1:14" ht="12.75" customHeight="1" x14ac:dyDescent="0.2">
      <c r="A639" s="567"/>
      <c r="B639" s="567" t="s">
        <v>1473</v>
      </c>
      <c r="C639" s="567"/>
      <c r="D639" s="567"/>
      <c r="E639" s="567"/>
      <c r="F639" s="567"/>
      <c r="G639" s="568" t="s">
        <v>1474</v>
      </c>
      <c r="H639" s="567" t="s">
        <v>340</v>
      </c>
      <c r="I639" s="239" t="str">
        <f>IF(ISBLANK(regional!I266),"",regional!I266)</f>
        <v/>
      </c>
      <c r="K639" s="262" t="s">
        <v>4249</v>
      </c>
      <c r="N639" s="262" t="s">
        <v>4249</v>
      </c>
    </row>
    <row r="640" spans="1:14" ht="12.75" customHeight="1" x14ac:dyDescent="0.2">
      <c r="A640" s="567"/>
      <c r="B640" s="567"/>
      <c r="C640" s="567" t="s">
        <v>1466</v>
      </c>
      <c r="D640" s="567"/>
      <c r="E640" s="567"/>
      <c r="F640" s="567"/>
      <c r="G640" s="568" t="s">
        <v>1475</v>
      </c>
      <c r="H640" s="568" t="s">
        <v>340</v>
      </c>
      <c r="I640" s="239" t="str">
        <f>IF(ISBLANK(regional!I267),"",regional!I267)</f>
        <v/>
      </c>
      <c r="K640" s="262" t="s">
        <v>4249</v>
      </c>
      <c r="N640" s="262" t="s">
        <v>4249</v>
      </c>
    </row>
    <row r="641" spans="1:14" ht="12.75" customHeight="1" x14ac:dyDescent="0.2">
      <c r="A641" s="567" t="s">
        <v>1476</v>
      </c>
      <c r="B641" s="567"/>
      <c r="C641" s="567"/>
      <c r="D641" s="567"/>
      <c r="E641" s="567"/>
      <c r="F641" s="567"/>
      <c r="G641" s="568" t="s">
        <v>1477</v>
      </c>
      <c r="H641" s="568" t="s">
        <v>340</v>
      </c>
      <c r="I641" s="239" t="str">
        <f>IF(ISBLANK(regional!I268),"",regional!I268)</f>
        <v/>
      </c>
      <c r="K641" s="262" t="s">
        <v>4249</v>
      </c>
      <c r="N641" s="262" t="s">
        <v>4249</v>
      </c>
    </row>
    <row r="642" spans="1:14" ht="12.75" customHeight="1" x14ac:dyDescent="0.2">
      <c r="A642" s="567"/>
      <c r="B642" s="567" t="s">
        <v>1478</v>
      </c>
      <c r="C642" s="567"/>
      <c r="D642" s="567"/>
      <c r="E642" s="567"/>
      <c r="F642" s="567"/>
      <c r="G642" s="568" t="s">
        <v>1479</v>
      </c>
      <c r="H642" s="568" t="s">
        <v>715</v>
      </c>
      <c r="I642" s="239" t="str">
        <f>IF(ISBLANK(regional!I269),"",regional!I269)</f>
        <v/>
      </c>
      <c r="K642" s="262" t="s">
        <v>4249</v>
      </c>
      <c r="N642" s="262" t="s">
        <v>4249</v>
      </c>
    </row>
    <row r="643" spans="1:14" ht="12.75" customHeight="1" x14ac:dyDescent="0.2">
      <c r="A643" s="567"/>
      <c r="B643" s="567" t="s">
        <v>1481</v>
      </c>
      <c r="C643" s="567"/>
      <c r="D643" s="567"/>
      <c r="E643" s="567"/>
      <c r="F643" s="567"/>
      <c r="G643" s="568" t="s">
        <v>1482</v>
      </c>
      <c r="H643" s="567" t="s">
        <v>340</v>
      </c>
      <c r="I643" s="239" t="str">
        <f>IF(ISBLANK(regional!I270),"",regional!I270)</f>
        <v/>
      </c>
      <c r="K643" s="262" t="s">
        <v>4249</v>
      </c>
      <c r="N643" s="262" t="s">
        <v>4249</v>
      </c>
    </row>
    <row r="644" spans="1:14" ht="12.75" customHeight="1" x14ac:dyDescent="0.2">
      <c r="A644" s="567"/>
      <c r="B644" s="567"/>
      <c r="C644" s="567" t="s">
        <v>1466</v>
      </c>
      <c r="D644" s="567"/>
      <c r="E644" s="567"/>
      <c r="F644" s="567"/>
      <c r="G644" s="568" t="s">
        <v>1483</v>
      </c>
      <c r="H644" s="568" t="s">
        <v>340</v>
      </c>
      <c r="I644" s="239" t="str">
        <f>IF(ISBLANK(regional!I271),"",regional!I271)</f>
        <v/>
      </c>
      <c r="K644" s="262" t="s">
        <v>4249</v>
      </c>
      <c r="N644" s="262" t="s">
        <v>4249</v>
      </c>
    </row>
    <row r="645" spans="1:14" ht="12.75" customHeight="1" x14ac:dyDescent="0.2">
      <c r="A645" s="567"/>
      <c r="B645" s="567"/>
      <c r="C645" s="567" t="s">
        <v>1484</v>
      </c>
      <c r="D645" s="567"/>
      <c r="E645" s="567"/>
      <c r="F645" s="567"/>
      <c r="G645" s="568" t="s">
        <v>1485</v>
      </c>
      <c r="H645" s="568" t="s">
        <v>340</v>
      </c>
      <c r="I645" s="239" t="str">
        <f>IF(ISBLANK(regional!I272),"",regional!I272)</f>
        <v/>
      </c>
      <c r="K645" s="262" t="s">
        <v>4249</v>
      </c>
      <c r="N645" s="262" t="s">
        <v>4249</v>
      </c>
    </row>
    <row r="646" spans="1:14" ht="12.75" customHeight="1" x14ac:dyDescent="0.2">
      <c r="A646" s="567"/>
      <c r="B646" s="567"/>
      <c r="C646" s="567" t="s">
        <v>1486</v>
      </c>
      <c r="D646" s="567"/>
      <c r="E646" s="567"/>
      <c r="F646" s="567"/>
      <c r="G646" s="568" t="s">
        <v>1487</v>
      </c>
      <c r="H646" s="568" t="s">
        <v>340</v>
      </c>
      <c r="I646" s="239" t="str">
        <f>IF(ISBLANK(regional!I273),"",regional!I273)</f>
        <v/>
      </c>
      <c r="K646" s="262" t="s">
        <v>4249</v>
      </c>
      <c r="N646" s="262" t="s">
        <v>4249</v>
      </c>
    </row>
    <row r="647" spans="1:14" ht="12.75" customHeight="1" x14ac:dyDescent="0.2">
      <c r="A647" s="410" t="s">
        <v>1488</v>
      </c>
      <c r="I647" s="239" t="str">
        <f>IF(ISBLANK(regional!I274),"",regional!I274)</f>
        <v/>
      </c>
      <c r="K647" s="262" t="s">
        <v>4249</v>
      </c>
      <c r="N647" s="262" t="s">
        <v>4249</v>
      </c>
    </row>
    <row r="648" spans="1:14" ht="12.75" customHeight="1" x14ac:dyDescent="0.2">
      <c r="A648" s="567" t="s">
        <v>1489</v>
      </c>
      <c r="B648" s="567"/>
      <c r="C648" s="567"/>
      <c r="D648" s="567"/>
      <c r="E648" s="567"/>
      <c r="F648" s="567"/>
      <c r="G648" s="568" t="s">
        <v>1490</v>
      </c>
      <c r="H648" s="568" t="s">
        <v>340</v>
      </c>
      <c r="I648" s="239" t="str">
        <f>IF(ISBLANK(regional!I275),"",regional!I275)</f>
        <v/>
      </c>
      <c r="K648" s="262" t="s">
        <v>4249</v>
      </c>
      <c r="N648" s="262" t="s">
        <v>4249</v>
      </c>
    </row>
    <row r="649" spans="1:14" ht="12.75" customHeight="1" x14ac:dyDescent="0.2">
      <c r="A649" s="567"/>
      <c r="B649" s="567" t="s">
        <v>1491</v>
      </c>
      <c r="C649" s="567"/>
      <c r="D649" s="567"/>
      <c r="E649" s="567"/>
      <c r="F649" s="567"/>
      <c r="G649" s="567" t="s">
        <v>1492</v>
      </c>
      <c r="H649" s="567" t="s">
        <v>715</v>
      </c>
      <c r="I649" s="239" t="str">
        <f>IF(ISBLANK(regional!I276),"",regional!I276)</f>
        <v/>
      </c>
      <c r="K649" s="262" t="s">
        <v>4249</v>
      </c>
      <c r="N649" s="262" t="s">
        <v>4249</v>
      </c>
    </row>
    <row r="650" spans="1:14" ht="12.75" customHeight="1" x14ac:dyDescent="0.2">
      <c r="A650" s="567" t="s">
        <v>1494</v>
      </c>
      <c r="B650" s="567"/>
      <c r="C650" s="567"/>
      <c r="D650" s="567"/>
      <c r="E650" s="567"/>
      <c r="F650" s="567"/>
      <c r="G650" s="568" t="s">
        <v>1495</v>
      </c>
      <c r="H650" s="568" t="s">
        <v>340</v>
      </c>
      <c r="I650" s="239" t="str">
        <f>IF(ISBLANK(regional!I277),"",regional!I277)</f>
        <v/>
      </c>
      <c r="K650" s="262" t="s">
        <v>4249</v>
      </c>
      <c r="N650" s="262" t="s">
        <v>4249</v>
      </c>
    </row>
    <row r="651" spans="1:14" ht="12.75" customHeight="1" x14ac:dyDescent="0.2">
      <c r="A651" s="567"/>
      <c r="B651" s="567" t="s">
        <v>1496</v>
      </c>
      <c r="C651" s="567"/>
      <c r="D651" s="567"/>
      <c r="E651" s="567"/>
      <c r="F651" s="567"/>
      <c r="G651" s="568" t="s">
        <v>1497</v>
      </c>
      <c r="H651" s="568" t="s">
        <v>715</v>
      </c>
      <c r="I651" s="239" t="str">
        <f>IF(ISBLANK(regional!I278),"",regional!I278)</f>
        <v/>
      </c>
      <c r="K651" s="262" t="s">
        <v>4249</v>
      </c>
      <c r="N651" s="262" t="s">
        <v>4249</v>
      </c>
    </row>
    <row r="652" spans="1:14" ht="12.75" customHeight="1" x14ac:dyDescent="0.2">
      <c r="A652" s="567" t="s">
        <v>1498</v>
      </c>
      <c r="B652" s="567"/>
      <c r="C652" s="567"/>
      <c r="D652" s="567"/>
      <c r="E652" s="567"/>
      <c r="F652" s="567"/>
      <c r="G652" s="568" t="s">
        <v>1499</v>
      </c>
      <c r="H652" s="568" t="s">
        <v>340</v>
      </c>
      <c r="I652" s="239" t="str">
        <f>IF(ISBLANK(regional!I279),"",regional!I279)</f>
        <v/>
      </c>
      <c r="K652" s="262" t="s">
        <v>4249</v>
      </c>
      <c r="N652" s="262" t="s">
        <v>4249</v>
      </c>
    </row>
    <row r="653" spans="1:14" ht="12.75" customHeight="1" x14ac:dyDescent="0.2">
      <c r="A653" s="567"/>
      <c r="B653" s="567" t="s">
        <v>1500</v>
      </c>
      <c r="C653" s="567"/>
      <c r="D653" s="567"/>
      <c r="E653" s="567"/>
      <c r="F653" s="567"/>
      <c r="G653" s="568" t="s">
        <v>1501</v>
      </c>
      <c r="H653" s="568" t="s">
        <v>715</v>
      </c>
      <c r="I653" s="239" t="str">
        <f>IF(ISBLANK(regional!I280),"",regional!I280)</f>
        <v/>
      </c>
      <c r="K653" s="262" t="s">
        <v>4249</v>
      </c>
      <c r="N653" s="262" t="s">
        <v>4249</v>
      </c>
    </row>
    <row r="654" spans="1:14" ht="12.75" customHeight="1" x14ac:dyDescent="0.2">
      <c r="A654" s="567"/>
      <c r="B654" s="567"/>
      <c r="C654" s="567" t="s">
        <v>1454</v>
      </c>
      <c r="D654" s="567"/>
      <c r="E654" s="567"/>
      <c r="F654" s="567"/>
      <c r="G654" s="567" t="s">
        <v>1502</v>
      </c>
      <c r="H654" s="567" t="s">
        <v>340</v>
      </c>
      <c r="I654" s="239" t="str">
        <f>IF(ISBLANK(regional!I281),"",regional!I281)</f>
        <v/>
      </c>
      <c r="K654" s="262" t="s">
        <v>4249</v>
      </c>
      <c r="N654" s="262" t="s">
        <v>4249</v>
      </c>
    </row>
    <row r="655" spans="1:14" ht="12.75" customHeight="1" x14ac:dyDescent="0.2">
      <c r="A655" s="567"/>
      <c r="B655" s="567"/>
      <c r="C655" s="567" t="s">
        <v>1456</v>
      </c>
      <c r="D655" s="567"/>
      <c r="E655" s="567"/>
      <c r="F655" s="567"/>
      <c r="G655" s="568" t="s">
        <v>1503</v>
      </c>
      <c r="H655" s="568" t="s">
        <v>340</v>
      </c>
      <c r="I655" s="239" t="str">
        <f>IF(ISBLANK(regional!I282),"",regional!I282)</f>
        <v/>
      </c>
      <c r="K655" s="262" t="s">
        <v>4249</v>
      </c>
      <c r="N655" s="262" t="s">
        <v>4249</v>
      </c>
    </row>
    <row r="656" spans="1:14" ht="12.75" customHeight="1" x14ac:dyDescent="0.2">
      <c r="A656" s="410" t="s">
        <v>1504</v>
      </c>
      <c r="I656" s="239" t="str">
        <f>IF(ISBLANK(regional!I283),"",regional!I283)</f>
        <v/>
      </c>
      <c r="K656" s="262" t="s">
        <v>4249</v>
      </c>
      <c r="N656" s="262" t="s">
        <v>4249</v>
      </c>
    </row>
    <row r="657" spans="1:14" ht="12.75" customHeight="1" x14ac:dyDescent="0.2">
      <c r="A657" s="567" t="s">
        <v>1505</v>
      </c>
      <c r="B657" s="567"/>
      <c r="C657" s="567"/>
      <c r="D657" s="567"/>
      <c r="E657" s="567"/>
      <c r="F657" s="567"/>
      <c r="G657" s="568" t="s">
        <v>1506</v>
      </c>
      <c r="H657" s="568" t="s">
        <v>340</v>
      </c>
      <c r="I657" s="239" t="str">
        <f>IF(ISBLANK(regional!I284),"",regional!I284)</f>
        <v/>
      </c>
      <c r="K657" s="262" t="s">
        <v>4249</v>
      </c>
      <c r="N657" s="262" t="s">
        <v>4249</v>
      </c>
    </row>
    <row r="658" spans="1:14" ht="12.75" customHeight="1" x14ac:dyDescent="0.2">
      <c r="A658" s="567" t="s">
        <v>1507</v>
      </c>
      <c r="B658" s="567"/>
      <c r="C658" s="567"/>
      <c r="D658" s="567"/>
      <c r="E658" s="567"/>
      <c r="F658" s="567"/>
      <c r="G658" s="568" t="s">
        <v>1508</v>
      </c>
      <c r="H658" s="568" t="s">
        <v>340</v>
      </c>
      <c r="I658" s="239" t="str">
        <f>IF(ISBLANK(regional!I285),"",regional!I285)</f>
        <v/>
      </c>
      <c r="K658" s="262" t="s">
        <v>4249</v>
      </c>
      <c r="N658" s="262" t="s">
        <v>4249</v>
      </c>
    </row>
    <row r="659" spans="1:14" ht="12.75" customHeight="1" x14ac:dyDescent="0.2">
      <c r="A659" s="567" t="s">
        <v>1509</v>
      </c>
      <c r="B659" s="567"/>
      <c r="C659" s="567"/>
      <c r="D659" s="567"/>
      <c r="E659" s="567"/>
      <c r="F659" s="567"/>
      <c r="G659" s="568" t="s">
        <v>1510</v>
      </c>
      <c r="H659" s="568" t="s">
        <v>340</v>
      </c>
      <c r="I659" s="239" t="str">
        <f>IF(ISBLANK(regional!I286),"",regional!I286)</f>
        <v/>
      </c>
      <c r="K659" s="262" t="s">
        <v>4249</v>
      </c>
      <c r="N659" s="262" t="s">
        <v>4249</v>
      </c>
    </row>
    <row r="660" spans="1:14" ht="12.75" customHeight="1" x14ac:dyDescent="0.2">
      <c r="A660" s="567"/>
      <c r="B660" s="567" t="s">
        <v>1511</v>
      </c>
      <c r="C660" s="567"/>
      <c r="D660" s="567"/>
      <c r="E660" s="567"/>
      <c r="F660" s="567"/>
      <c r="G660" s="568" t="s">
        <v>1512</v>
      </c>
      <c r="H660" s="568" t="s">
        <v>1513</v>
      </c>
      <c r="I660" s="239" t="str">
        <f>IF(ISBLANK(regional!I287),"",regional!I287)</f>
        <v/>
      </c>
      <c r="K660" s="262" t="s">
        <v>4249</v>
      </c>
      <c r="N660" s="262" t="s">
        <v>4249</v>
      </c>
    </row>
    <row r="661" spans="1:14" ht="12.75" customHeight="1" x14ac:dyDescent="0.2">
      <c r="A661" s="567"/>
      <c r="B661" s="567" t="s">
        <v>1514</v>
      </c>
      <c r="C661" s="567"/>
      <c r="D661" s="567"/>
      <c r="E661" s="567"/>
      <c r="F661" s="567"/>
      <c r="G661" s="567" t="s">
        <v>1515</v>
      </c>
      <c r="H661" s="568" t="s">
        <v>873</v>
      </c>
      <c r="I661" s="239" t="str">
        <f>IF(ISBLANK(regional!I288),"",regional!I288)</f>
        <v/>
      </c>
      <c r="K661" s="262" t="s">
        <v>4249</v>
      </c>
      <c r="N661" s="262" t="s">
        <v>4249</v>
      </c>
    </row>
    <row r="662" spans="1:14" ht="12.75" customHeight="1" x14ac:dyDescent="0.2">
      <c r="A662" s="567"/>
      <c r="B662" s="567" t="s">
        <v>1517</v>
      </c>
      <c r="C662" s="567"/>
      <c r="D662" s="567"/>
      <c r="E662" s="567"/>
      <c r="F662" s="567"/>
      <c r="G662" s="568" t="s">
        <v>1518</v>
      </c>
      <c r="H662" s="568" t="s">
        <v>296</v>
      </c>
      <c r="I662" s="239" t="str">
        <f>IF(ISBLANK(regional!I289),"",regional!I289)</f>
        <v/>
      </c>
      <c r="K662" s="262" t="s">
        <v>4249</v>
      </c>
      <c r="N662" s="262" t="s">
        <v>4249</v>
      </c>
    </row>
    <row r="663" spans="1:14" ht="12.75" customHeight="1" x14ac:dyDescent="0.2">
      <c r="A663" s="567"/>
      <c r="B663" s="567"/>
      <c r="C663" s="567" t="s">
        <v>1519</v>
      </c>
      <c r="D663" s="567"/>
      <c r="E663" s="567"/>
      <c r="F663" s="567"/>
      <c r="G663" s="568" t="s">
        <v>1520</v>
      </c>
      <c r="H663" s="568" t="s">
        <v>296</v>
      </c>
      <c r="I663" s="239" t="str">
        <f>IF(ISBLANK(regional!I290),"",regional!I290)</f>
        <v/>
      </c>
      <c r="K663" s="262" t="s">
        <v>4249</v>
      </c>
      <c r="N663" s="262" t="s">
        <v>4249</v>
      </c>
    </row>
    <row r="664" spans="1:14" ht="12.75" customHeight="1" x14ac:dyDescent="0.2">
      <c r="A664" s="567"/>
      <c r="B664" s="567"/>
      <c r="C664" s="567"/>
      <c r="D664" s="567" t="s">
        <v>1521</v>
      </c>
      <c r="E664" s="567"/>
      <c r="F664" s="567"/>
      <c r="G664" s="567" t="s">
        <v>1522</v>
      </c>
      <c r="H664" s="568" t="s">
        <v>296</v>
      </c>
      <c r="I664" s="239" t="str">
        <f>IF(ISBLANK(regional!I291),"",regional!I291)</f>
        <v/>
      </c>
      <c r="K664" s="262" t="s">
        <v>4249</v>
      </c>
      <c r="N664" s="262" t="s">
        <v>4249</v>
      </c>
    </row>
    <row r="665" spans="1:14" ht="12.75" customHeight="1" x14ac:dyDescent="0.2">
      <c r="A665" s="567"/>
      <c r="B665" s="567"/>
      <c r="C665" s="567"/>
      <c r="D665" s="567"/>
      <c r="E665" s="567" t="s">
        <v>1523</v>
      </c>
      <c r="F665" s="567"/>
      <c r="G665" s="567" t="s">
        <v>1524</v>
      </c>
      <c r="H665" s="568" t="s">
        <v>296</v>
      </c>
      <c r="I665" s="239" t="str">
        <f>IF(ISBLANK(regional!I292),"",regional!I292)</f>
        <v/>
      </c>
      <c r="K665" s="262" t="s">
        <v>4249</v>
      </c>
      <c r="N665" s="262" t="s">
        <v>4249</v>
      </c>
    </row>
    <row r="666" spans="1:14" ht="12.75" customHeight="1" x14ac:dyDescent="0.2">
      <c r="A666" s="567"/>
      <c r="B666" s="567"/>
      <c r="C666" s="567"/>
      <c r="D666" s="567"/>
      <c r="E666" s="567"/>
      <c r="F666" s="567" t="s">
        <v>1525</v>
      </c>
      <c r="G666" s="567" t="s">
        <v>1526</v>
      </c>
      <c r="H666" s="568" t="s">
        <v>1527</v>
      </c>
      <c r="I666" s="239" t="str">
        <f>IF(ISBLANK(regional!I293),"",regional!I293)</f>
        <v/>
      </c>
      <c r="K666" s="262" t="s">
        <v>4249</v>
      </c>
      <c r="N666" s="262" t="s">
        <v>4249</v>
      </c>
    </row>
    <row r="667" spans="1:14" ht="12.75" customHeight="1" x14ac:dyDescent="0.2">
      <c r="A667" s="567"/>
      <c r="B667" s="567"/>
      <c r="C667" s="567" t="s">
        <v>1529</v>
      </c>
      <c r="D667" s="567"/>
      <c r="E667" s="567"/>
      <c r="F667" s="567"/>
      <c r="G667" s="568" t="s">
        <v>1530</v>
      </c>
      <c r="H667" s="568" t="s">
        <v>296</v>
      </c>
      <c r="I667" s="239" t="str">
        <f>IF(ISBLANK(regional!I294),"",regional!I294)</f>
        <v/>
      </c>
      <c r="K667" s="262" t="s">
        <v>4249</v>
      </c>
      <c r="N667" s="262" t="s">
        <v>4249</v>
      </c>
    </row>
    <row r="668" spans="1:14" ht="12.75" customHeight="1" x14ac:dyDescent="0.2">
      <c r="A668" s="567"/>
      <c r="B668" s="567"/>
      <c r="C668" s="567" t="s">
        <v>1531</v>
      </c>
      <c r="D668" s="567"/>
      <c r="E668" s="567"/>
      <c r="F668" s="567"/>
      <c r="G668" s="568" t="s">
        <v>1532</v>
      </c>
      <c r="H668" s="568" t="s">
        <v>296</v>
      </c>
      <c r="I668" s="239" t="str">
        <f>IF(ISBLANK(regional!I295),"",regional!I295)</f>
        <v/>
      </c>
      <c r="K668" s="262" t="s">
        <v>4249</v>
      </c>
      <c r="N668" s="262" t="s">
        <v>4249</v>
      </c>
    </row>
    <row r="669" spans="1:14" ht="12.75" customHeight="1" x14ac:dyDescent="0.2">
      <c r="A669" s="567"/>
      <c r="B669" s="567"/>
      <c r="C669" s="567"/>
      <c r="D669" s="567" t="s">
        <v>1533</v>
      </c>
      <c r="E669" s="567"/>
      <c r="F669" s="567"/>
      <c r="G669" s="567" t="s">
        <v>1534</v>
      </c>
      <c r="H669" s="568" t="s">
        <v>296</v>
      </c>
      <c r="I669" s="239" t="str">
        <f>IF(ISBLANK(regional!I296),"",regional!I296)</f>
        <v/>
      </c>
      <c r="K669" s="262" t="s">
        <v>4249</v>
      </c>
      <c r="N669" s="262" t="s">
        <v>4249</v>
      </c>
    </row>
    <row r="670" spans="1:14" ht="12.75" customHeight="1" x14ac:dyDescent="0.2">
      <c r="A670" s="567"/>
      <c r="B670" s="567"/>
      <c r="C670" s="567"/>
      <c r="D670" s="567" t="s">
        <v>1535</v>
      </c>
      <c r="E670" s="567"/>
      <c r="F670" s="567"/>
      <c r="G670" s="567" t="s">
        <v>1536</v>
      </c>
      <c r="H670" s="568" t="s">
        <v>1537</v>
      </c>
      <c r="I670" s="239" t="str">
        <f>IF(ISBLANK(regional!I297),"",regional!I297)</f>
        <v/>
      </c>
      <c r="K670" s="262" t="s">
        <v>4249</v>
      </c>
      <c r="N670" s="262" t="s">
        <v>4249</v>
      </c>
    </row>
    <row r="671" spans="1:14" ht="12.75" customHeight="1" x14ac:dyDescent="0.2">
      <c r="A671" s="567"/>
      <c r="B671" s="567"/>
      <c r="C671" s="567"/>
      <c r="D671" s="567" t="s">
        <v>1538</v>
      </c>
      <c r="E671" s="567"/>
      <c r="F671" s="567"/>
      <c r="G671" s="567" t="s">
        <v>1539</v>
      </c>
      <c r="H671" s="568" t="s">
        <v>296</v>
      </c>
      <c r="I671" s="239" t="str">
        <f>IF(ISBLANK(regional!I298),"",regional!I298)</f>
        <v/>
      </c>
      <c r="K671" s="262" t="s">
        <v>4249</v>
      </c>
      <c r="N671" s="262" t="s">
        <v>4249</v>
      </c>
    </row>
    <row r="672" spans="1:14" ht="12.75" customHeight="1" x14ac:dyDescent="0.2">
      <c r="A672" s="567"/>
      <c r="B672" s="567"/>
      <c r="C672" s="567"/>
      <c r="D672" s="567" t="s">
        <v>1540</v>
      </c>
      <c r="E672" s="567"/>
      <c r="F672" s="567"/>
      <c r="G672" s="568" t="s">
        <v>1541</v>
      </c>
      <c r="H672" s="568" t="s">
        <v>296</v>
      </c>
      <c r="I672" s="239" t="str">
        <f>IF(ISBLANK(regional!I299),"",regional!I299)</f>
        <v/>
      </c>
      <c r="K672" s="262" t="s">
        <v>4249</v>
      </c>
      <c r="N672" s="262" t="s">
        <v>4249</v>
      </c>
    </row>
    <row r="673" spans="1:14" ht="12.75" customHeight="1" x14ac:dyDescent="0.2">
      <c r="A673" s="410" t="s">
        <v>1542</v>
      </c>
      <c r="I673" s="239" t="str">
        <f>IF(ISBLANK(regional!I300),"",regional!I300)</f>
        <v/>
      </c>
      <c r="J673" s="826"/>
      <c r="K673" s="262" t="s">
        <v>4249</v>
      </c>
      <c r="N673" s="262" t="s">
        <v>4249</v>
      </c>
    </row>
    <row r="674" spans="1:14" ht="12.75" customHeight="1" x14ac:dyDescent="0.2">
      <c r="A674" s="567" t="s">
        <v>1543</v>
      </c>
      <c r="B674" s="567"/>
      <c r="C674" s="567"/>
      <c r="D674" s="567"/>
      <c r="E674" s="567"/>
      <c r="F674" s="567"/>
      <c r="G674" s="568" t="s">
        <v>1544</v>
      </c>
      <c r="H674" s="568" t="s">
        <v>340</v>
      </c>
      <c r="I674" s="239" t="str">
        <f>IF(ISBLANK(regional!I301),"",regional!I301)</f>
        <v/>
      </c>
      <c r="K674" s="262" t="s">
        <v>4249</v>
      </c>
      <c r="N674" s="262" t="s">
        <v>4249</v>
      </c>
    </row>
    <row r="675" spans="1:14" ht="12.75" customHeight="1" x14ac:dyDescent="0.2">
      <c r="A675" s="567" t="s">
        <v>1545</v>
      </c>
      <c r="B675" s="567"/>
      <c r="C675" s="567"/>
      <c r="D675" s="567"/>
      <c r="E675" s="567"/>
      <c r="F675" s="567"/>
      <c r="G675" s="568" t="s">
        <v>1546</v>
      </c>
      <c r="H675" s="568" t="s">
        <v>340</v>
      </c>
      <c r="I675" s="239" t="str">
        <f>IF(ISBLANK(regional!I302),"",regional!I302)</f>
        <v/>
      </c>
      <c r="K675" s="262" t="s">
        <v>4249</v>
      </c>
      <c r="N675" s="262" t="s">
        <v>4249</v>
      </c>
    </row>
    <row r="676" spans="1:14" ht="12.75" customHeight="1" x14ac:dyDescent="0.2">
      <c r="A676" s="567" t="s">
        <v>1547</v>
      </c>
      <c r="B676" s="567"/>
      <c r="C676" s="567"/>
      <c r="D676" s="567"/>
      <c r="E676" s="567"/>
      <c r="F676" s="567"/>
      <c r="G676" s="568" t="s">
        <v>1548</v>
      </c>
      <c r="H676" s="568" t="s">
        <v>340</v>
      </c>
      <c r="I676" s="239" t="str">
        <f>IF(ISBLANK(regional!I303),"",regional!I303)</f>
        <v/>
      </c>
      <c r="K676" s="262" t="s">
        <v>4249</v>
      </c>
      <c r="N676" s="262" t="s">
        <v>4249</v>
      </c>
    </row>
    <row r="677" spans="1:14" ht="12.75" customHeight="1" x14ac:dyDescent="0.2">
      <c r="A677" s="567"/>
      <c r="B677" s="567" t="s">
        <v>1549</v>
      </c>
      <c r="C677" s="567"/>
      <c r="D677" s="567"/>
      <c r="E677" s="567"/>
      <c r="F677" s="567"/>
      <c r="G677" s="568" t="s">
        <v>1550</v>
      </c>
      <c r="H677" s="568" t="s">
        <v>715</v>
      </c>
      <c r="I677" s="239" t="str">
        <f>IF(ISBLANK(regional!I304),"",regional!I304)</f>
        <v/>
      </c>
      <c r="K677" s="262" t="s">
        <v>4249</v>
      </c>
      <c r="N677" s="262" t="s">
        <v>4249</v>
      </c>
    </row>
    <row r="678" spans="1:14" ht="12.75" customHeight="1" x14ac:dyDescent="0.2">
      <c r="A678" s="567"/>
      <c r="B678" s="567" t="s">
        <v>734</v>
      </c>
      <c r="C678" s="567"/>
      <c r="D678" s="567"/>
      <c r="E678" s="567"/>
      <c r="F678" s="567"/>
      <c r="G678" s="568" t="s">
        <v>735</v>
      </c>
      <c r="H678" s="568" t="s">
        <v>736</v>
      </c>
      <c r="I678" s="239" t="str">
        <f>IF(ISBLANK(input!I284),"",input!I284)</f>
        <v/>
      </c>
      <c r="K678" s="262" t="s">
        <v>4249</v>
      </c>
      <c r="N678" s="262" t="s">
        <v>4249</v>
      </c>
    </row>
    <row r="679" spans="1:14" ht="12.75" customHeight="1" x14ac:dyDescent="0.2">
      <c r="A679" s="567"/>
      <c r="B679" s="567" t="s">
        <v>1454</v>
      </c>
      <c r="C679" s="567"/>
      <c r="D679" s="567"/>
      <c r="E679" s="567"/>
      <c r="F679" s="567"/>
      <c r="G679" s="568" t="s">
        <v>1551</v>
      </c>
      <c r="H679" s="568" t="s">
        <v>340</v>
      </c>
      <c r="I679" s="239" t="str">
        <f>IF(ISBLANK(regional!I305),"",regional!I305)</f>
        <v/>
      </c>
      <c r="K679" s="262" t="s">
        <v>4249</v>
      </c>
      <c r="N679" s="262" t="s">
        <v>4249</v>
      </c>
    </row>
    <row r="680" spans="1:14" ht="12.75" customHeight="1" x14ac:dyDescent="0.2">
      <c r="A680" s="567"/>
      <c r="B680" s="567" t="s">
        <v>1456</v>
      </c>
      <c r="C680" s="567"/>
      <c r="D680" s="567"/>
      <c r="E680" s="567"/>
      <c r="F680" s="567"/>
      <c r="G680" s="568" t="s">
        <v>1552</v>
      </c>
      <c r="H680" s="568" t="s">
        <v>340</v>
      </c>
      <c r="I680" s="239" t="str">
        <f>IF(ISBLANK(regional!I306),"",regional!I306)</f>
        <v/>
      </c>
      <c r="K680" s="262" t="s">
        <v>4249</v>
      </c>
      <c r="N680" s="262" t="s">
        <v>4249</v>
      </c>
    </row>
    <row r="681" spans="1:14" ht="12.75" customHeight="1" x14ac:dyDescent="0.2">
      <c r="A681" s="410" t="s">
        <v>1553</v>
      </c>
      <c r="I681" s="239" t="str">
        <f>IF(ISBLANK(regional!I307),"",regional!I307)</f>
        <v/>
      </c>
      <c r="K681" s="262" t="s">
        <v>4249</v>
      </c>
      <c r="N681" s="262" t="s">
        <v>4249</v>
      </c>
    </row>
    <row r="682" spans="1:14" ht="12.75" customHeight="1" x14ac:dyDescent="0.2">
      <c r="A682" s="567" t="s">
        <v>1554</v>
      </c>
      <c r="B682" s="567"/>
      <c r="C682" s="567"/>
      <c r="D682" s="567"/>
      <c r="E682" s="567"/>
      <c r="F682" s="567"/>
      <c r="G682" s="568" t="s">
        <v>1555</v>
      </c>
      <c r="H682" s="568" t="s">
        <v>340</v>
      </c>
      <c r="I682" s="239" t="str">
        <f>IF(ISBLANK(regional!I308),"",regional!I308)</f>
        <v/>
      </c>
      <c r="K682" s="262" t="s">
        <v>4249</v>
      </c>
      <c r="N682" s="262" t="s">
        <v>4249</v>
      </c>
    </row>
    <row r="683" spans="1:14" ht="12.75" customHeight="1" x14ac:dyDescent="0.2">
      <c r="A683" s="567"/>
      <c r="B683" s="567" t="s">
        <v>1556</v>
      </c>
      <c r="C683" s="567"/>
      <c r="D683" s="567"/>
      <c r="E683" s="567"/>
      <c r="F683" s="567"/>
      <c r="G683" s="568" t="s">
        <v>1557</v>
      </c>
      <c r="H683" s="568" t="s">
        <v>1513</v>
      </c>
      <c r="I683" s="239" t="str">
        <f>IF(ISBLANK(regional!I309),"",regional!I309)</f>
        <v/>
      </c>
      <c r="K683" s="262" t="s">
        <v>4249</v>
      </c>
      <c r="N683" s="262" t="s">
        <v>4249</v>
      </c>
    </row>
    <row r="684" spans="1:14" ht="12.75" customHeight="1" x14ac:dyDescent="0.2">
      <c r="A684" s="567"/>
      <c r="B684" s="567" t="s">
        <v>1558</v>
      </c>
      <c r="C684" s="567"/>
      <c r="D684" s="567"/>
      <c r="E684" s="567"/>
      <c r="F684" s="567"/>
      <c r="G684" s="567" t="s">
        <v>1559</v>
      </c>
      <c r="H684" s="568" t="s">
        <v>873</v>
      </c>
      <c r="I684" s="239" t="str">
        <f>IF(ISBLANK(regional!I310),"",regional!I310)</f>
        <v/>
      </c>
      <c r="K684" s="262" t="s">
        <v>4249</v>
      </c>
      <c r="N684" s="262" t="s">
        <v>4249</v>
      </c>
    </row>
    <row r="685" spans="1:14" ht="12.75" customHeight="1" x14ac:dyDescent="0.2">
      <c r="A685" s="567"/>
      <c r="B685" s="567" t="s">
        <v>1517</v>
      </c>
      <c r="C685" s="567"/>
      <c r="D685" s="567"/>
      <c r="E685" s="567"/>
      <c r="F685" s="567"/>
      <c r="G685" s="568" t="s">
        <v>1560</v>
      </c>
      <c r="H685" s="568" t="s">
        <v>296</v>
      </c>
      <c r="I685" s="239" t="str">
        <f>IF(ISBLANK(regional!I311),"",regional!I311)</f>
        <v/>
      </c>
      <c r="K685" s="262" t="s">
        <v>4249</v>
      </c>
      <c r="N685" s="262" t="s">
        <v>4249</v>
      </c>
    </row>
    <row r="686" spans="1:14" ht="12.75" customHeight="1" x14ac:dyDescent="0.2">
      <c r="A686" s="567"/>
      <c r="B686" s="567"/>
      <c r="C686" s="567" t="s">
        <v>1519</v>
      </c>
      <c r="D686" s="567"/>
      <c r="E686" s="567"/>
      <c r="F686" s="567"/>
      <c r="G686" s="568" t="s">
        <v>1561</v>
      </c>
      <c r="H686" s="568" t="s">
        <v>296</v>
      </c>
      <c r="I686" s="239" t="str">
        <f>IF(ISBLANK(regional!I312),"",regional!I312)</f>
        <v/>
      </c>
      <c r="K686" s="262" t="s">
        <v>4249</v>
      </c>
      <c r="N686" s="262" t="s">
        <v>4249</v>
      </c>
    </row>
    <row r="687" spans="1:14" ht="12.75" customHeight="1" x14ac:dyDescent="0.2">
      <c r="A687" s="567"/>
      <c r="B687" s="567"/>
      <c r="C687" s="567"/>
      <c r="D687" s="567" t="s">
        <v>1521</v>
      </c>
      <c r="E687" s="567"/>
      <c r="F687" s="567"/>
      <c r="G687" s="567" t="s">
        <v>1562</v>
      </c>
      <c r="H687" s="568" t="s">
        <v>296</v>
      </c>
      <c r="I687" s="239" t="str">
        <f>IF(ISBLANK(regional!I313),"",regional!I313)</f>
        <v/>
      </c>
      <c r="K687" s="262" t="s">
        <v>4249</v>
      </c>
      <c r="N687" s="262" t="s">
        <v>4249</v>
      </c>
    </row>
    <row r="688" spans="1:14" ht="12.75" customHeight="1" x14ac:dyDescent="0.2">
      <c r="A688" s="567"/>
      <c r="B688" s="567"/>
      <c r="C688" s="567"/>
      <c r="D688" s="567"/>
      <c r="E688" s="567" t="s">
        <v>1563</v>
      </c>
      <c r="F688" s="567"/>
      <c r="G688" s="567" t="s">
        <v>1564</v>
      </c>
      <c r="H688" s="568" t="s">
        <v>296</v>
      </c>
      <c r="I688" s="239" t="str">
        <f>IF(ISBLANK(regional!I314),"",regional!I314)</f>
        <v/>
      </c>
      <c r="K688" s="262" t="s">
        <v>4249</v>
      </c>
      <c r="N688" s="262" t="s">
        <v>4249</v>
      </c>
    </row>
    <row r="689" spans="1:14" ht="12.75" customHeight="1" x14ac:dyDescent="0.2">
      <c r="A689" s="567"/>
      <c r="B689" s="567"/>
      <c r="C689" s="567"/>
      <c r="D689" s="567"/>
      <c r="E689" s="567"/>
      <c r="F689" s="567" t="s">
        <v>1565</v>
      </c>
      <c r="G689" s="567" t="s">
        <v>1566</v>
      </c>
      <c r="H689" s="568" t="s">
        <v>1527</v>
      </c>
      <c r="I689" s="239" t="str">
        <f>IF(ISBLANK(regional!I315),"",regional!I315)</f>
        <v/>
      </c>
      <c r="K689" s="262" t="s">
        <v>4249</v>
      </c>
      <c r="N689" s="262" t="s">
        <v>4249</v>
      </c>
    </row>
    <row r="690" spans="1:14" ht="12.75" customHeight="1" x14ac:dyDescent="0.2">
      <c r="A690" s="567"/>
      <c r="B690" s="567"/>
      <c r="C690" s="567" t="s">
        <v>1529</v>
      </c>
      <c r="D690" s="567"/>
      <c r="E690" s="567"/>
      <c r="F690" s="567"/>
      <c r="G690" s="568" t="s">
        <v>1568</v>
      </c>
      <c r="H690" s="568" t="s">
        <v>296</v>
      </c>
      <c r="I690" s="239" t="str">
        <f>IF(ISBLANK(regional!I316),"",regional!I316)</f>
        <v/>
      </c>
      <c r="K690" s="262" t="s">
        <v>4249</v>
      </c>
      <c r="N690" s="262" t="s">
        <v>4249</v>
      </c>
    </row>
    <row r="691" spans="1:14" ht="12.75" customHeight="1" x14ac:dyDescent="0.2">
      <c r="A691" s="567"/>
      <c r="B691" s="567"/>
      <c r="C691" s="567" t="s">
        <v>1531</v>
      </c>
      <c r="D691" s="567"/>
      <c r="E691" s="567"/>
      <c r="F691" s="567"/>
      <c r="G691" s="568" t="s">
        <v>1569</v>
      </c>
      <c r="H691" s="568" t="s">
        <v>296</v>
      </c>
      <c r="I691" s="239" t="str">
        <f>IF(ISBLANK(regional!I317),"",regional!I317)</f>
        <v/>
      </c>
      <c r="K691" s="262" t="s">
        <v>4249</v>
      </c>
      <c r="N691" s="262" t="s">
        <v>4249</v>
      </c>
    </row>
    <row r="692" spans="1:14" ht="12.75" customHeight="1" x14ac:dyDescent="0.2">
      <c r="A692" s="567"/>
      <c r="B692" s="567"/>
      <c r="C692" s="567"/>
      <c r="D692" s="567" t="s">
        <v>1533</v>
      </c>
      <c r="E692" s="567"/>
      <c r="F692" s="567"/>
      <c r="G692" s="567" t="s">
        <v>1570</v>
      </c>
      <c r="H692" s="568" t="s">
        <v>296</v>
      </c>
      <c r="I692" s="239" t="str">
        <f>IF(ISBLANK(regional!I318),"",regional!I318)</f>
        <v/>
      </c>
      <c r="K692" s="262" t="s">
        <v>4249</v>
      </c>
      <c r="N692" s="262" t="s">
        <v>4249</v>
      </c>
    </row>
    <row r="693" spans="1:14" ht="12.75" customHeight="1" x14ac:dyDescent="0.2">
      <c r="A693" s="567"/>
      <c r="B693" s="567"/>
      <c r="C693" s="567"/>
      <c r="D693" s="567" t="s">
        <v>1535</v>
      </c>
      <c r="E693" s="567"/>
      <c r="F693" s="567"/>
      <c r="G693" s="567" t="s">
        <v>1571</v>
      </c>
      <c r="H693" s="568" t="s">
        <v>1537</v>
      </c>
      <c r="I693" s="239" t="str">
        <f>IF(ISBLANK(regional!I319),"",regional!I319)</f>
        <v/>
      </c>
      <c r="K693" s="262" t="s">
        <v>4249</v>
      </c>
      <c r="N693" s="262" t="s">
        <v>4249</v>
      </c>
    </row>
    <row r="694" spans="1:14" ht="12.75" customHeight="1" x14ac:dyDescent="0.2">
      <c r="A694" s="567"/>
      <c r="B694" s="567"/>
      <c r="C694" s="567"/>
      <c r="D694" s="567" t="s">
        <v>1538</v>
      </c>
      <c r="E694" s="567"/>
      <c r="F694" s="567"/>
      <c r="G694" s="567" t="s">
        <v>1572</v>
      </c>
      <c r="H694" s="568" t="s">
        <v>296</v>
      </c>
      <c r="I694" s="239" t="str">
        <f>IF(ISBLANK(regional!I320),"",regional!I320)</f>
        <v/>
      </c>
      <c r="K694" s="262" t="s">
        <v>4249</v>
      </c>
      <c r="N694" s="262" t="s">
        <v>4249</v>
      </c>
    </row>
    <row r="695" spans="1:14" ht="12.75" customHeight="1" x14ac:dyDescent="0.2">
      <c r="A695" s="567"/>
      <c r="B695" s="567"/>
      <c r="C695" s="567"/>
      <c r="D695" s="567" t="s">
        <v>1540</v>
      </c>
      <c r="E695" s="567"/>
      <c r="F695" s="567"/>
      <c r="G695" s="568" t="s">
        <v>1573</v>
      </c>
      <c r="H695" s="568" t="s">
        <v>296</v>
      </c>
      <c r="I695" s="239" t="str">
        <f>IF(ISBLANK(regional!I321),"",regional!I321)</f>
        <v/>
      </c>
      <c r="K695" s="262" t="s">
        <v>4249</v>
      </c>
      <c r="N695" s="262" t="s">
        <v>4249</v>
      </c>
    </row>
    <row r="696" spans="1:14" ht="12.75" customHeight="1" x14ac:dyDescent="0.2">
      <c r="A696" s="567" t="s">
        <v>1574</v>
      </c>
      <c r="B696" s="567"/>
      <c r="C696" s="567"/>
      <c r="D696" s="567"/>
      <c r="E696" s="567"/>
      <c r="F696" s="567"/>
      <c r="G696" s="568" t="s">
        <v>1575</v>
      </c>
      <c r="H696" s="568" t="s">
        <v>340</v>
      </c>
      <c r="I696" s="239" t="str">
        <f>IF(ISBLANK(regional!I322),"",regional!I322)</f>
        <v/>
      </c>
      <c r="K696" s="262" t="s">
        <v>4249</v>
      </c>
      <c r="N696" s="262" t="s">
        <v>4249</v>
      </c>
    </row>
    <row r="697" spans="1:14" ht="12.75" customHeight="1" x14ac:dyDescent="0.2">
      <c r="A697" s="567"/>
      <c r="B697" s="567" t="s">
        <v>1556</v>
      </c>
      <c r="C697" s="567"/>
      <c r="D697" s="567"/>
      <c r="E697" s="567"/>
      <c r="F697" s="567"/>
      <c r="G697" s="568" t="s">
        <v>1576</v>
      </c>
      <c r="H697" s="568" t="s">
        <v>1513</v>
      </c>
      <c r="I697" s="239" t="str">
        <f>IF(ISBLANK(regional!I323),"",regional!I323)</f>
        <v/>
      </c>
      <c r="J697" s="826"/>
      <c r="K697" s="262" t="s">
        <v>4249</v>
      </c>
      <c r="N697" s="262" t="s">
        <v>4249</v>
      </c>
    </row>
    <row r="698" spans="1:14" ht="12.75" customHeight="1" x14ac:dyDescent="0.2">
      <c r="A698" s="567"/>
      <c r="B698" s="567" t="s">
        <v>1558</v>
      </c>
      <c r="C698" s="567"/>
      <c r="D698" s="567"/>
      <c r="E698" s="567"/>
      <c r="F698" s="567"/>
      <c r="G698" s="567" t="s">
        <v>1577</v>
      </c>
      <c r="H698" s="568" t="s">
        <v>873</v>
      </c>
      <c r="I698" s="239" t="str">
        <f>IF(ISBLANK(regional!I324),"",regional!I324)</f>
        <v/>
      </c>
      <c r="K698" s="262" t="s">
        <v>4249</v>
      </c>
      <c r="N698" s="262" t="s">
        <v>4249</v>
      </c>
    </row>
    <row r="699" spans="1:14" ht="12.75" customHeight="1" x14ac:dyDescent="0.2">
      <c r="A699" s="567"/>
      <c r="B699" s="567" t="s">
        <v>1517</v>
      </c>
      <c r="C699" s="567"/>
      <c r="D699" s="567"/>
      <c r="E699" s="567"/>
      <c r="F699" s="567"/>
      <c r="G699" s="568" t="s">
        <v>1578</v>
      </c>
      <c r="H699" s="568" t="s">
        <v>296</v>
      </c>
      <c r="I699" s="239" t="str">
        <f>IF(ISBLANK(regional!I325),"",regional!I325)</f>
        <v/>
      </c>
      <c r="K699" s="262" t="s">
        <v>4249</v>
      </c>
      <c r="N699" s="262" t="s">
        <v>4249</v>
      </c>
    </row>
    <row r="700" spans="1:14" ht="12.75" customHeight="1" x14ac:dyDescent="0.2">
      <c r="A700" s="567"/>
      <c r="B700" s="567"/>
      <c r="C700" s="567" t="s">
        <v>1519</v>
      </c>
      <c r="D700" s="567"/>
      <c r="E700" s="567"/>
      <c r="F700" s="567"/>
      <c r="G700" s="568" t="s">
        <v>1579</v>
      </c>
      <c r="H700" s="568" t="s">
        <v>296</v>
      </c>
      <c r="I700" s="239" t="str">
        <f>IF(ISBLANK(regional!I326),"",regional!I326)</f>
        <v/>
      </c>
      <c r="K700" s="262" t="s">
        <v>4249</v>
      </c>
      <c r="N700" s="262" t="s">
        <v>4249</v>
      </c>
    </row>
    <row r="701" spans="1:14" ht="12.75" customHeight="1" x14ac:dyDescent="0.2">
      <c r="A701" s="567"/>
      <c r="B701" s="567"/>
      <c r="C701" s="567"/>
      <c r="D701" s="567" t="s">
        <v>1521</v>
      </c>
      <c r="E701" s="567"/>
      <c r="F701" s="567"/>
      <c r="G701" s="567" t="s">
        <v>1580</v>
      </c>
      <c r="H701" s="568" t="s">
        <v>296</v>
      </c>
      <c r="I701" s="239" t="str">
        <f>IF(ISBLANK(regional!I327),"",regional!I327)</f>
        <v/>
      </c>
      <c r="K701" s="262" t="s">
        <v>4249</v>
      </c>
      <c r="N701" s="262" t="s">
        <v>4249</v>
      </c>
    </row>
    <row r="702" spans="1:14" ht="12.75" customHeight="1" x14ac:dyDescent="0.2">
      <c r="A702" s="567"/>
      <c r="B702" s="567"/>
      <c r="C702" s="567"/>
      <c r="D702" s="567"/>
      <c r="E702" s="567" t="s">
        <v>1563</v>
      </c>
      <c r="F702" s="567"/>
      <c r="G702" s="567" t="s">
        <v>1581</v>
      </c>
      <c r="H702" s="568" t="s">
        <v>296</v>
      </c>
      <c r="I702" s="239" t="str">
        <f>IF(ISBLANK(regional!I328),"",regional!I328)</f>
        <v/>
      </c>
      <c r="K702" s="262" t="s">
        <v>4249</v>
      </c>
      <c r="N702" s="262" t="s">
        <v>4249</v>
      </c>
    </row>
    <row r="703" spans="1:14" ht="12.75" customHeight="1" x14ac:dyDescent="0.2">
      <c r="A703" s="567"/>
      <c r="B703" s="567"/>
      <c r="C703" s="567"/>
      <c r="D703" s="567"/>
      <c r="E703" s="567"/>
      <c r="F703" s="567" t="s">
        <v>1565</v>
      </c>
      <c r="G703" s="567" t="s">
        <v>1582</v>
      </c>
      <c r="H703" s="568" t="s">
        <v>1527</v>
      </c>
      <c r="I703" s="239" t="str">
        <f>IF(ISBLANK(regional!I329),"",regional!I329)</f>
        <v/>
      </c>
      <c r="K703" s="262" t="s">
        <v>4249</v>
      </c>
      <c r="N703" s="262" t="s">
        <v>4249</v>
      </c>
    </row>
    <row r="704" spans="1:14" ht="12.75" customHeight="1" x14ac:dyDescent="0.2">
      <c r="A704" s="567"/>
      <c r="B704" s="567"/>
      <c r="C704" s="567" t="s">
        <v>1529</v>
      </c>
      <c r="D704" s="567"/>
      <c r="E704" s="567"/>
      <c r="F704" s="567"/>
      <c r="G704" s="568" t="s">
        <v>1584</v>
      </c>
      <c r="H704" s="568" t="s">
        <v>296</v>
      </c>
      <c r="I704" s="239" t="str">
        <f>IF(ISBLANK(regional!I330),"",regional!I330)</f>
        <v/>
      </c>
      <c r="K704" s="262" t="s">
        <v>4249</v>
      </c>
      <c r="N704" s="262" t="s">
        <v>4249</v>
      </c>
    </row>
    <row r="705" spans="1:14" ht="12.75" customHeight="1" x14ac:dyDescent="0.2">
      <c r="A705" s="567"/>
      <c r="B705" s="567"/>
      <c r="C705" s="567" t="s">
        <v>1531</v>
      </c>
      <c r="D705" s="567"/>
      <c r="E705" s="567"/>
      <c r="F705" s="567"/>
      <c r="G705" s="568" t="s">
        <v>1585</v>
      </c>
      <c r="H705" s="568" t="s">
        <v>296</v>
      </c>
      <c r="I705" s="239" t="str">
        <f>IF(ISBLANK(regional!I331),"",regional!I331)</f>
        <v/>
      </c>
      <c r="K705" s="262" t="s">
        <v>4249</v>
      </c>
      <c r="N705" s="262" t="s">
        <v>4249</v>
      </c>
    </row>
    <row r="706" spans="1:14" ht="12.75" customHeight="1" x14ac:dyDescent="0.2">
      <c r="A706" s="567"/>
      <c r="B706" s="567"/>
      <c r="C706" s="567"/>
      <c r="D706" s="567" t="s">
        <v>1535</v>
      </c>
      <c r="E706" s="567"/>
      <c r="F706" s="567"/>
      <c r="G706" s="567" t="s">
        <v>1586</v>
      </c>
      <c r="H706" s="568" t="s">
        <v>1537</v>
      </c>
      <c r="I706" s="239" t="str">
        <f>IF(ISBLANK(regional!I332),"",regional!I332)</f>
        <v/>
      </c>
      <c r="K706" s="262" t="s">
        <v>4249</v>
      </c>
      <c r="N706" s="262" t="s">
        <v>4249</v>
      </c>
    </row>
    <row r="707" spans="1:14" ht="12.75" customHeight="1" x14ac:dyDescent="0.2">
      <c r="A707" s="567"/>
      <c r="B707" s="567"/>
      <c r="C707" s="567"/>
      <c r="D707" s="567" t="s">
        <v>1538</v>
      </c>
      <c r="E707" s="567"/>
      <c r="F707" s="567"/>
      <c r="G707" s="567" t="s">
        <v>1587</v>
      </c>
      <c r="H707" s="568" t="s">
        <v>296</v>
      </c>
      <c r="I707" s="239" t="str">
        <f>IF(ISBLANK(regional!I333),"",regional!I333)</f>
        <v/>
      </c>
      <c r="K707" s="262" t="s">
        <v>4249</v>
      </c>
      <c r="N707" s="262" t="s">
        <v>4249</v>
      </c>
    </row>
    <row r="708" spans="1:14" ht="12.75" customHeight="1" x14ac:dyDescent="0.2">
      <c r="A708" s="567"/>
      <c r="B708" s="567"/>
      <c r="C708" s="567"/>
      <c r="D708" s="567" t="s">
        <v>1533</v>
      </c>
      <c r="E708" s="567"/>
      <c r="F708" s="567"/>
      <c r="G708" s="567" t="s">
        <v>1588</v>
      </c>
      <c r="H708" s="568" t="s">
        <v>296</v>
      </c>
      <c r="I708" s="239" t="str">
        <f>IF(ISBLANK(regional!I334),"",regional!I334)</f>
        <v/>
      </c>
      <c r="K708" s="262" t="s">
        <v>4249</v>
      </c>
      <c r="N708" s="262" t="s">
        <v>4249</v>
      </c>
    </row>
    <row r="709" spans="1:14" ht="12.75" customHeight="1" x14ac:dyDescent="0.2">
      <c r="A709" s="567"/>
      <c r="B709" s="567"/>
      <c r="C709" s="567"/>
      <c r="D709" s="567" t="s">
        <v>1540</v>
      </c>
      <c r="E709" s="567"/>
      <c r="F709" s="567"/>
      <c r="G709" s="568" t="s">
        <v>1589</v>
      </c>
      <c r="H709" s="568" t="s">
        <v>296</v>
      </c>
      <c r="I709" s="239" t="str">
        <f>IF(ISBLANK(regional!I335),"",regional!I335)</f>
        <v/>
      </c>
      <c r="K709" s="262" t="s">
        <v>4249</v>
      </c>
      <c r="N709" s="262" t="s">
        <v>4249</v>
      </c>
    </row>
    <row r="710" spans="1:14" ht="12.75" customHeight="1" x14ac:dyDescent="0.2">
      <c r="A710" s="567" t="s">
        <v>1590</v>
      </c>
      <c r="B710" s="567"/>
      <c r="C710" s="567"/>
      <c r="D710" s="567"/>
      <c r="E710" s="567"/>
      <c r="F710" s="567"/>
      <c r="G710" s="568" t="s">
        <v>1591</v>
      </c>
      <c r="H710" s="568" t="s">
        <v>340</v>
      </c>
      <c r="I710" s="239" t="str">
        <f>IF(ISBLANK(regional!I336),"",regional!I336)</f>
        <v/>
      </c>
      <c r="K710" s="262" t="s">
        <v>4249</v>
      </c>
      <c r="N710" s="262" t="s">
        <v>4249</v>
      </c>
    </row>
    <row r="711" spans="1:14" ht="12.75" customHeight="1" x14ac:dyDescent="0.2">
      <c r="A711" s="567"/>
      <c r="B711" s="567" t="s">
        <v>1556</v>
      </c>
      <c r="C711" s="567"/>
      <c r="D711" s="567"/>
      <c r="E711" s="567"/>
      <c r="F711" s="567"/>
      <c r="G711" s="568" t="s">
        <v>1592</v>
      </c>
      <c r="H711" s="568" t="s">
        <v>1513</v>
      </c>
      <c r="I711" s="239" t="str">
        <f>IF(ISBLANK(regional!I337),"",regional!I337)</f>
        <v/>
      </c>
      <c r="K711" s="262" t="s">
        <v>4249</v>
      </c>
      <c r="N711" s="262" t="s">
        <v>4249</v>
      </c>
    </row>
    <row r="712" spans="1:14" ht="12.75" customHeight="1" x14ac:dyDescent="0.2">
      <c r="A712" s="567"/>
      <c r="B712" s="567" t="s">
        <v>1558</v>
      </c>
      <c r="C712" s="567"/>
      <c r="D712" s="567"/>
      <c r="E712" s="567"/>
      <c r="F712" s="567"/>
      <c r="G712" s="567" t="s">
        <v>1593</v>
      </c>
      <c r="H712" s="568" t="s">
        <v>873</v>
      </c>
      <c r="I712" s="239" t="str">
        <f>IF(ISBLANK(regional!I338),"",regional!I338)</f>
        <v/>
      </c>
      <c r="K712" s="262" t="s">
        <v>4249</v>
      </c>
      <c r="N712" s="262" t="s">
        <v>4249</v>
      </c>
    </row>
    <row r="713" spans="1:14" ht="12.75" customHeight="1" x14ac:dyDescent="0.2">
      <c r="A713" s="567"/>
      <c r="B713" s="567" t="s">
        <v>1517</v>
      </c>
      <c r="C713" s="567"/>
      <c r="D713" s="567"/>
      <c r="E713" s="567"/>
      <c r="F713" s="567"/>
      <c r="G713" s="568" t="s">
        <v>1594</v>
      </c>
      <c r="H713" s="568" t="s">
        <v>296</v>
      </c>
      <c r="I713" s="239" t="str">
        <f>IF(ISBLANK(regional!I339),"",regional!I339)</f>
        <v/>
      </c>
      <c r="K713" s="262" t="s">
        <v>4249</v>
      </c>
      <c r="N713" s="262" t="s">
        <v>4249</v>
      </c>
    </row>
    <row r="714" spans="1:14" ht="12.75" customHeight="1" x14ac:dyDescent="0.2">
      <c r="A714" s="567"/>
      <c r="B714" s="567"/>
      <c r="C714" s="567" t="s">
        <v>1519</v>
      </c>
      <c r="D714" s="567"/>
      <c r="E714" s="567"/>
      <c r="F714" s="567"/>
      <c r="G714" s="568" t="s">
        <v>1595</v>
      </c>
      <c r="H714" s="568" t="s">
        <v>296</v>
      </c>
      <c r="I714" s="239" t="str">
        <f>IF(ISBLANK(regional!I340),"",regional!I340)</f>
        <v/>
      </c>
      <c r="K714" s="262" t="s">
        <v>4249</v>
      </c>
      <c r="N714" s="262" t="s">
        <v>4249</v>
      </c>
    </row>
    <row r="715" spans="1:14" ht="12.75" customHeight="1" x14ac:dyDescent="0.2">
      <c r="A715" s="567"/>
      <c r="B715" s="567"/>
      <c r="C715" s="567"/>
      <c r="D715" s="567" t="s">
        <v>1521</v>
      </c>
      <c r="E715" s="567"/>
      <c r="F715" s="567"/>
      <c r="G715" s="567" t="s">
        <v>1596</v>
      </c>
      <c r="H715" s="568" t="s">
        <v>296</v>
      </c>
      <c r="I715" s="239" t="str">
        <f>IF(ISBLANK(regional!I341),"",regional!I341)</f>
        <v/>
      </c>
      <c r="K715" s="262" t="s">
        <v>4249</v>
      </c>
      <c r="N715" s="262" t="s">
        <v>4249</v>
      </c>
    </row>
    <row r="716" spans="1:14" ht="12.75" customHeight="1" x14ac:dyDescent="0.2">
      <c r="A716" s="567"/>
      <c r="B716" s="567"/>
      <c r="C716" s="567"/>
      <c r="D716" s="567"/>
      <c r="E716" s="567" t="s">
        <v>1563</v>
      </c>
      <c r="F716" s="567"/>
      <c r="G716" s="567" t="s">
        <v>1597</v>
      </c>
      <c r="H716" s="568" t="s">
        <v>296</v>
      </c>
      <c r="I716" s="239" t="str">
        <f>IF(ISBLANK(regional!I342),"",regional!I342)</f>
        <v/>
      </c>
      <c r="K716" s="262" t="s">
        <v>4249</v>
      </c>
      <c r="N716" s="262" t="s">
        <v>4249</v>
      </c>
    </row>
    <row r="717" spans="1:14" ht="12.75" customHeight="1" x14ac:dyDescent="0.2">
      <c r="A717" s="567"/>
      <c r="B717" s="567"/>
      <c r="C717" s="567"/>
      <c r="D717" s="567"/>
      <c r="E717" s="567"/>
      <c r="F717" s="567" t="s">
        <v>1565</v>
      </c>
      <c r="G717" s="567" t="s">
        <v>1598</v>
      </c>
      <c r="H717" s="568" t="s">
        <v>1527</v>
      </c>
      <c r="I717" s="239" t="str">
        <f>IF(ISBLANK(regional!I343),"",regional!I343)</f>
        <v/>
      </c>
      <c r="K717" s="262" t="s">
        <v>4249</v>
      </c>
      <c r="N717" s="262" t="s">
        <v>4249</v>
      </c>
    </row>
    <row r="718" spans="1:14" ht="12.75" customHeight="1" x14ac:dyDescent="0.2">
      <c r="A718" s="567"/>
      <c r="B718" s="567"/>
      <c r="C718" s="567" t="s">
        <v>1529</v>
      </c>
      <c r="D718" s="567"/>
      <c r="E718" s="567"/>
      <c r="F718" s="567"/>
      <c r="G718" s="568" t="s">
        <v>1599</v>
      </c>
      <c r="H718" s="568" t="s">
        <v>296</v>
      </c>
      <c r="I718" s="239" t="str">
        <f>IF(ISBLANK(regional!I344),"",regional!I344)</f>
        <v/>
      </c>
      <c r="K718" s="262" t="s">
        <v>4249</v>
      </c>
      <c r="N718" s="262" t="s">
        <v>4249</v>
      </c>
    </row>
    <row r="719" spans="1:14" ht="12.75" customHeight="1" x14ac:dyDescent="0.2">
      <c r="A719" s="567"/>
      <c r="B719" s="567"/>
      <c r="C719" s="567" t="s">
        <v>1531</v>
      </c>
      <c r="D719" s="567"/>
      <c r="E719" s="567"/>
      <c r="F719" s="567"/>
      <c r="G719" s="568" t="s">
        <v>1600</v>
      </c>
      <c r="H719" s="568" t="s">
        <v>296</v>
      </c>
      <c r="I719" s="239" t="str">
        <f>IF(ISBLANK(regional!I345),"",regional!I345)</f>
        <v/>
      </c>
      <c r="K719" s="262" t="s">
        <v>4249</v>
      </c>
      <c r="N719" s="262" t="s">
        <v>4249</v>
      </c>
    </row>
    <row r="720" spans="1:14" ht="12.75" customHeight="1" x14ac:dyDescent="0.2">
      <c r="A720" s="567"/>
      <c r="B720" s="567"/>
      <c r="C720" s="567"/>
      <c r="D720" s="567" t="s">
        <v>1535</v>
      </c>
      <c r="E720" s="567"/>
      <c r="F720" s="567"/>
      <c r="G720" s="567" t="s">
        <v>1601</v>
      </c>
      <c r="H720" s="568" t="s">
        <v>1537</v>
      </c>
      <c r="I720" s="239" t="str">
        <f>IF(ISBLANK(regional!I346),"",regional!I346)</f>
        <v/>
      </c>
      <c r="K720" s="262" t="s">
        <v>4249</v>
      </c>
      <c r="N720" s="262" t="s">
        <v>4249</v>
      </c>
    </row>
    <row r="721" spans="1:14" ht="12.75" customHeight="1" x14ac:dyDescent="0.2">
      <c r="A721" s="567"/>
      <c r="B721" s="567"/>
      <c r="C721" s="567"/>
      <c r="D721" s="567" t="s">
        <v>1538</v>
      </c>
      <c r="E721" s="567"/>
      <c r="F721" s="567"/>
      <c r="G721" s="567" t="s">
        <v>1602</v>
      </c>
      <c r="H721" s="568" t="s">
        <v>296</v>
      </c>
      <c r="I721" s="239" t="str">
        <f>IF(ISBLANK(regional!I347),"",regional!I347)</f>
        <v/>
      </c>
      <c r="K721" s="262" t="s">
        <v>4249</v>
      </c>
      <c r="N721" s="262" t="s">
        <v>4249</v>
      </c>
    </row>
    <row r="722" spans="1:14" ht="12.75" customHeight="1" x14ac:dyDescent="0.2">
      <c r="A722" s="567"/>
      <c r="B722" s="567"/>
      <c r="C722" s="567"/>
      <c r="D722" s="567" t="s">
        <v>1533</v>
      </c>
      <c r="E722" s="567"/>
      <c r="F722" s="567"/>
      <c r="G722" s="567" t="s">
        <v>1603</v>
      </c>
      <c r="H722" s="568" t="s">
        <v>296</v>
      </c>
      <c r="I722" s="239" t="str">
        <f>IF(ISBLANK(regional!I348),"",regional!I348)</f>
        <v/>
      </c>
      <c r="K722" s="262" t="s">
        <v>4249</v>
      </c>
      <c r="N722" s="262" t="s">
        <v>4249</v>
      </c>
    </row>
    <row r="723" spans="1:14" ht="12.75" customHeight="1" x14ac:dyDescent="0.2">
      <c r="A723" s="567"/>
      <c r="B723" s="567"/>
      <c r="C723" s="567"/>
      <c r="D723" s="567" t="s">
        <v>1540</v>
      </c>
      <c r="E723" s="567"/>
      <c r="F723" s="567"/>
      <c r="G723" s="568" t="s">
        <v>1604</v>
      </c>
      <c r="H723" s="568" t="s">
        <v>296</v>
      </c>
      <c r="I723" s="239" t="str">
        <f>IF(ISBLANK(regional!I349),"",regional!I349)</f>
        <v/>
      </c>
      <c r="K723" s="262" t="s">
        <v>4249</v>
      </c>
      <c r="N723" s="262" t="s">
        <v>4249</v>
      </c>
    </row>
    <row r="724" spans="1:14" ht="12.75" customHeight="1" x14ac:dyDescent="0.2">
      <c r="I724" s="239" t="str">
        <f>IF(ISBLANK(regional!I350),"",regional!I350)</f>
        <v/>
      </c>
      <c r="K724" s="262" t="s">
        <v>4249</v>
      </c>
      <c r="N724" s="262" t="s">
        <v>4249</v>
      </c>
    </row>
    <row r="725" spans="1:14" ht="12.75" customHeight="1" x14ac:dyDescent="0.2">
      <c r="A725" s="633" t="s">
        <v>1605</v>
      </c>
      <c r="B725" s="634"/>
      <c r="C725" s="634"/>
      <c r="D725" s="634"/>
      <c r="E725" s="634"/>
      <c r="F725" s="634"/>
      <c r="G725" s="633" t="s">
        <v>263</v>
      </c>
      <c r="H725" s="633" t="s">
        <v>279</v>
      </c>
      <c r="I725" s="239" t="str">
        <f>IF(ISBLANK(regional!I351),"",regional!I351)</f>
        <v>User input</v>
      </c>
      <c r="K725" s="262" t="s">
        <v>264</v>
      </c>
      <c r="N725" s="262" t="s">
        <v>264</v>
      </c>
    </row>
    <row r="726" spans="1:14" ht="12.75" customHeight="1" x14ac:dyDescent="0.2">
      <c r="A726" t="s">
        <v>1606</v>
      </c>
      <c r="I726" s="239" t="str">
        <f>IF(ISBLANK(regional!I352),"",regional!I352)</f>
        <v/>
      </c>
      <c r="K726" s="262" t="s">
        <v>4249</v>
      </c>
      <c r="N726" s="262" t="s">
        <v>4249</v>
      </c>
    </row>
    <row r="727" spans="1:14" ht="12.75" customHeight="1" x14ac:dyDescent="0.2">
      <c r="A727" s="567"/>
      <c r="B727" s="567" t="s">
        <v>1607</v>
      </c>
      <c r="C727" s="567"/>
      <c r="D727" s="567"/>
      <c r="E727" s="567"/>
      <c r="F727" s="567"/>
      <c r="G727" s="568" t="s">
        <v>1608</v>
      </c>
      <c r="H727" s="568" t="s">
        <v>820</v>
      </c>
      <c r="I727" s="239" t="str">
        <f>IF(ISBLANK(regional!I353),"",regional!I353)</f>
        <v/>
      </c>
      <c r="K727" s="262" t="s">
        <v>4249</v>
      </c>
      <c r="N727" s="262" t="s">
        <v>4249</v>
      </c>
    </row>
    <row r="728" spans="1:14" ht="12.75" customHeight="1" x14ac:dyDescent="0.2">
      <c r="A728" s="567"/>
      <c r="B728" s="567" t="s">
        <v>1610</v>
      </c>
      <c r="C728" s="567"/>
      <c r="D728" s="567"/>
      <c r="E728" s="567"/>
      <c r="F728" s="567"/>
      <c r="G728" s="568" t="s">
        <v>1611</v>
      </c>
      <c r="H728" s="568" t="s">
        <v>296</v>
      </c>
      <c r="I728" s="239" t="str">
        <f>IF(ISBLANK(regional!I354),"",regional!I354)</f>
        <v/>
      </c>
      <c r="J728" s="228"/>
      <c r="K728" s="262" t="s">
        <v>4249</v>
      </c>
      <c r="N728" s="262" t="s">
        <v>4249</v>
      </c>
    </row>
    <row r="729" spans="1:14" ht="12.75" customHeight="1" x14ac:dyDescent="0.2">
      <c r="A729" s="567"/>
      <c r="B729" s="567" t="s">
        <v>1613</v>
      </c>
      <c r="C729" s="567"/>
      <c r="D729" s="567"/>
      <c r="E729" s="567"/>
      <c r="F729" s="567"/>
      <c r="G729" s="568" t="s">
        <v>1614</v>
      </c>
      <c r="H729" s="568" t="s">
        <v>873</v>
      </c>
      <c r="I729" s="239" t="str">
        <f>IF(ISBLANK(regional!I355),"",regional!I355)</f>
        <v/>
      </c>
      <c r="J729" s="411"/>
      <c r="K729" s="262" t="s">
        <v>4249</v>
      </c>
      <c r="N729" s="262" t="s">
        <v>4249</v>
      </c>
    </row>
    <row r="730" spans="1:14" ht="12.75" customHeight="1" x14ac:dyDescent="0.2">
      <c r="A730" s="567"/>
      <c r="B730" s="567" t="s">
        <v>801</v>
      </c>
      <c r="C730" s="567"/>
      <c r="D730" s="567"/>
      <c r="E730" s="567"/>
      <c r="F730" s="567"/>
      <c r="G730" s="568" t="s">
        <v>802</v>
      </c>
      <c r="H730" s="568" t="s">
        <v>287</v>
      </c>
      <c r="I730" s="239" t="str">
        <f>IF(ISBLANK(input!I331),"",input!I331)</f>
        <v/>
      </c>
      <c r="J730" s="228"/>
      <c r="K730" s="262" t="s">
        <v>4249</v>
      </c>
      <c r="N730" s="262" t="s">
        <v>4249</v>
      </c>
    </row>
    <row r="731" spans="1:14" ht="12.75" customHeight="1" x14ac:dyDescent="0.2">
      <c r="A731" s="567"/>
      <c r="B731" s="567" t="s">
        <v>1617</v>
      </c>
      <c r="C731" s="567"/>
      <c r="D731" s="567"/>
      <c r="E731" s="567"/>
      <c r="F731" s="567"/>
      <c r="G731" s="568" t="s">
        <v>1618</v>
      </c>
      <c r="H731" s="568" t="s">
        <v>873</v>
      </c>
      <c r="I731" s="239" t="str">
        <f>IF(ISBLANK(regional!I356),"",regional!I356)</f>
        <v/>
      </c>
      <c r="K731" s="262" t="s">
        <v>4249</v>
      </c>
      <c r="N731" s="262" t="s">
        <v>4249</v>
      </c>
    </row>
    <row r="732" spans="1:14" ht="12.75" customHeight="1" x14ac:dyDescent="0.2">
      <c r="A732" s="567"/>
      <c r="B732" s="567" t="s">
        <v>1619</v>
      </c>
      <c r="C732" s="567"/>
      <c r="D732" s="567"/>
      <c r="E732" s="567"/>
      <c r="F732" s="567"/>
      <c r="G732" s="568" t="s">
        <v>1620</v>
      </c>
      <c r="H732" s="568" t="s">
        <v>296</v>
      </c>
      <c r="I732" s="239" t="str">
        <f>IF(ISBLANK(regional!I357),"",regional!I357)</f>
        <v/>
      </c>
      <c r="K732" s="262" t="s">
        <v>4249</v>
      </c>
      <c r="N732" s="262" t="s">
        <v>4249</v>
      </c>
    </row>
    <row r="733" spans="1:14" ht="12.75" customHeight="1" x14ac:dyDescent="0.2">
      <c r="A733" s="567"/>
      <c r="B733" s="567" t="s">
        <v>1621</v>
      </c>
      <c r="C733" s="567"/>
      <c r="D733" s="567"/>
      <c r="E733" s="567"/>
      <c r="F733" s="567"/>
      <c r="G733" s="568" t="s">
        <v>1622</v>
      </c>
      <c r="H733" s="568" t="s">
        <v>296</v>
      </c>
      <c r="I733" s="239" t="str">
        <f>IF(ISBLANK(regional!I358),"",regional!I358)</f>
        <v/>
      </c>
      <c r="K733" s="262" t="s">
        <v>4249</v>
      </c>
      <c r="N733" s="262" t="s">
        <v>4249</v>
      </c>
    </row>
    <row r="734" spans="1:14" ht="12.75" customHeight="1" x14ac:dyDescent="0.2">
      <c r="A734" s="567"/>
      <c r="B734" s="567" t="s">
        <v>1623</v>
      </c>
      <c r="C734" s="567"/>
      <c r="D734" s="567"/>
      <c r="E734" s="567"/>
      <c r="F734" s="567"/>
      <c r="G734" s="568" t="s">
        <v>1624</v>
      </c>
      <c r="H734" s="568" t="s">
        <v>296</v>
      </c>
      <c r="I734" s="239" t="str">
        <f>IF(ISBLANK(regional!I359),"",regional!I359)</f>
        <v/>
      </c>
      <c r="K734" s="262" t="s">
        <v>4249</v>
      </c>
      <c r="N734" s="262" t="s">
        <v>4249</v>
      </c>
    </row>
    <row r="735" spans="1:14" ht="12.75" customHeight="1" x14ac:dyDescent="0.2">
      <c r="A735" s="634" t="s">
        <v>1625</v>
      </c>
      <c r="B735" s="634"/>
      <c r="C735" s="634"/>
      <c r="D735" s="634"/>
      <c r="E735" s="634"/>
      <c r="F735" s="634"/>
      <c r="G735" s="634"/>
      <c r="H735" s="634"/>
      <c r="I735" s="239" t="str">
        <f>IF(ISBLANK(regional!I360),"",regional!I360)</f>
        <v/>
      </c>
      <c r="K735" s="262" t="s">
        <v>4249</v>
      </c>
      <c r="N735" s="262" t="s">
        <v>4249</v>
      </c>
    </row>
    <row r="736" spans="1:14" ht="12.75" customHeight="1" x14ac:dyDescent="0.2">
      <c r="A736" s="567"/>
      <c r="B736" s="567" t="s">
        <v>1626</v>
      </c>
      <c r="C736" s="567"/>
      <c r="D736" s="567"/>
      <c r="E736" s="567"/>
      <c r="F736" s="567"/>
      <c r="G736" s="567" t="s">
        <v>1627</v>
      </c>
      <c r="H736" s="567" t="s">
        <v>820</v>
      </c>
      <c r="I736" s="239" t="str">
        <f>IF(ISBLANK(regional!I361),"",regional!I361)</f>
        <v/>
      </c>
      <c r="K736" s="262" t="s">
        <v>4249</v>
      </c>
      <c r="N736" s="262" t="s">
        <v>4249</v>
      </c>
    </row>
    <row r="737" spans="1:14" ht="12.75" customHeight="1" x14ac:dyDescent="0.2">
      <c r="A737" s="567"/>
      <c r="B737" s="567" t="s">
        <v>1628</v>
      </c>
      <c r="C737" s="567"/>
      <c r="D737" s="567"/>
      <c r="E737" s="567"/>
      <c r="F737" s="567"/>
      <c r="G737" s="567" t="s">
        <v>1629</v>
      </c>
      <c r="H737" s="567" t="s">
        <v>287</v>
      </c>
      <c r="I737" s="239" t="str">
        <f>IF(ISBLANK(regional!I362),"",regional!I362)</f>
        <v/>
      </c>
      <c r="K737" s="262" t="s">
        <v>4249</v>
      </c>
      <c r="N737" s="262" t="s">
        <v>4249</v>
      </c>
    </row>
    <row r="738" spans="1:14" ht="12.75" customHeight="1" x14ac:dyDescent="0.2">
      <c r="A738" s="567"/>
      <c r="B738" s="567"/>
      <c r="C738" s="567" t="s">
        <v>1630</v>
      </c>
      <c r="D738" s="567"/>
      <c r="E738" s="567"/>
      <c r="F738" s="567"/>
      <c r="G738" s="567" t="s">
        <v>1631</v>
      </c>
      <c r="H738" s="567" t="s">
        <v>864</v>
      </c>
      <c r="I738" s="239" t="str">
        <f>IF(ISBLANK(regional!I363),"",regional!I363)</f>
        <v/>
      </c>
      <c r="K738" s="262" t="s">
        <v>4249</v>
      </c>
      <c r="N738" s="262" t="s">
        <v>4249</v>
      </c>
    </row>
    <row r="739" spans="1:14" ht="12.75" customHeight="1" x14ac:dyDescent="0.2">
      <c r="A739" s="567"/>
      <c r="B739" s="567"/>
      <c r="C739" s="567" t="s">
        <v>1632</v>
      </c>
      <c r="D739" s="567"/>
      <c r="E739" s="567"/>
      <c r="F739" s="567"/>
      <c r="G739" s="567" t="s">
        <v>1633</v>
      </c>
      <c r="H739" s="567" t="s">
        <v>895</v>
      </c>
      <c r="I739" s="239" t="str">
        <f>IF(ISBLANK(regional!I364),"",regional!I364)</f>
        <v/>
      </c>
      <c r="K739" s="262" t="s">
        <v>4249</v>
      </c>
      <c r="N739" s="262" t="s">
        <v>4249</v>
      </c>
    </row>
    <row r="740" spans="1:14" ht="12.75" customHeight="1" x14ac:dyDescent="0.2">
      <c r="A740" s="583" t="s">
        <v>1635</v>
      </c>
      <c r="B740" s="583"/>
      <c r="C740" s="583"/>
      <c r="D740" s="583"/>
      <c r="E740" s="583"/>
      <c r="F740" s="583"/>
      <c r="G740" s="582" t="s">
        <v>1636</v>
      </c>
      <c r="H740" s="582" t="s">
        <v>340</v>
      </c>
      <c r="I740" s="239" t="str">
        <f>IF(ISBLANK(regional!I365),"",regional!I365)</f>
        <v/>
      </c>
      <c r="K740" s="262" t="s">
        <v>4249</v>
      </c>
      <c r="N740" s="262" t="s">
        <v>4249</v>
      </c>
    </row>
    <row r="741" spans="1:14" ht="12.75" customHeight="1" x14ac:dyDescent="0.2">
      <c r="A741" s="567"/>
      <c r="B741" s="567" t="s">
        <v>1638</v>
      </c>
      <c r="C741" s="567"/>
      <c r="D741" s="567"/>
      <c r="E741" s="567"/>
      <c r="F741" s="567"/>
      <c r="G741" s="568" t="s">
        <v>1639</v>
      </c>
      <c r="H741" s="568" t="s">
        <v>1640</v>
      </c>
      <c r="I741" s="239" t="str">
        <f>IF(ISBLANK(regional!I366),"",regional!I366)</f>
        <v/>
      </c>
      <c r="K741" s="262" t="s">
        <v>4249</v>
      </c>
      <c r="N741" s="262" t="s">
        <v>4249</v>
      </c>
    </row>
    <row r="742" spans="1:14" ht="12.75" customHeight="1" x14ac:dyDescent="0.2">
      <c r="A742" s="567"/>
      <c r="B742" s="567" t="s">
        <v>1641</v>
      </c>
      <c r="C742" s="567"/>
      <c r="D742" s="567"/>
      <c r="E742" s="567"/>
      <c r="F742" s="567"/>
      <c r="G742" s="568" t="s">
        <v>1642</v>
      </c>
      <c r="H742" s="568" t="s">
        <v>296</v>
      </c>
      <c r="I742" s="239" t="str">
        <f>IF(ISBLANK(regional!I367),"",regional!I367)</f>
        <v/>
      </c>
      <c r="K742" s="262" t="s">
        <v>4249</v>
      </c>
      <c r="N742" s="262" t="s">
        <v>4249</v>
      </c>
    </row>
    <row r="743" spans="1:14" ht="12.75" customHeight="1" x14ac:dyDescent="0.2">
      <c r="A743" s="567"/>
      <c r="B743" s="567" t="s">
        <v>1644</v>
      </c>
      <c r="C743" s="567"/>
      <c r="D743" s="567"/>
      <c r="E743" s="567"/>
      <c r="F743" s="567"/>
      <c r="G743" s="568" t="s">
        <v>1645</v>
      </c>
      <c r="H743" s="568" t="s">
        <v>873</v>
      </c>
      <c r="I743" s="239" t="str">
        <f>IF(ISBLANK(regional!I368),"",regional!I368)</f>
        <v/>
      </c>
      <c r="K743" s="262" t="s">
        <v>4249</v>
      </c>
      <c r="N743" s="262" t="s">
        <v>4249</v>
      </c>
    </row>
    <row r="744" spans="1:14" ht="12.75" customHeight="1" x14ac:dyDescent="0.2">
      <c r="A744" s="567"/>
      <c r="B744" s="567" t="s">
        <v>1646</v>
      </c>
      <c r="C744" s="567"/>
      <c r="D744" s="567"/>
      <c r="E744" s="567"/>
      <c r="F744" s="567"/>
      <c r="G744" s="568" t="s">
        <v>1647</v>
      </c>
      <c r="H744" s="568" t="s">
        <v>296</v>
      </c>
      <c r="I744" s="239" t="str">
        <f>IF(ISBLANK(regional!I369),"",regional!I369)</f>
        <v/>
      </c>
      <c r="K744" s="262" t="s">
        <v>4249</v>
      </c>
      <c r="N744" s="262" t="s">
        <v>4249</v>
      </c>
    </row>
    <row r="745" spans="1:14" ht="12.75" customHeight="1" x14ac:dyDescent="0.2">
      <c r="A745" s="567"/>
      <c r="B745" s="567"/>
      <c r="C745" s="567" t="s">
        <v>1648</v>
      </c>
      <c r="D745" s="567"/>
      <c r="E745" s="567"/>
      <c r="F745" s="567"/>
      <c r="G745" s="568" t="s">
        <v>1649</v>
      </c>
      <c r="H745" s="568" t="s">
        <v>296</v>
      </c>
      <c r="I745" s="239" t="str">
        <f>IF(ISBLANK(regional!I370),"",regional!I370)</f>
        <v/>
      </c>
      <c r="K745" s="262" t="s">
        <v>4249</v>
      </c>
      <c r="N745" s="262" t="s">
        <v>4249</v>
      </c>
    </row>
    <row r="746" spans="1:14" ht="12.75" customHeight="1" x14ac:dyDescent="0.2">
      <c r="A746" s="567"/>
      <c r="B746" s="567"/>
      <c r="C746" s="567" t="s">
        <v>1650</v>
      </c>
      <c r="D746" s="567"/>
      <c r="E746" s="567"/>
      <c r="F746" s="567"/>
      <c r="G746" s="568" t="s">
        <v>1651</v>
      </c>
      <c r="H746" s="568" t="s">
        <v>296</v>
      </c>
      <c r="I746" s="239" t="str">
        <f>IF(ISBLANK(regional!I371),"",regional!I371)</f>
        <v/>
      </c>
      <c r="K746" s="262" t="s">
        <v>4249</v>
      </c>
      <c r="N746" s="262" t="s">
        <v>4249</v>
      </c>
    </row>
    <row r="747" spans="1:14" ht="12.75" customHeight="1" x14ac:dyDescent="0.2">
      <c r="A747" s="567"/>
      <c r="B747" s="567"/>
      <c r="C747" s="567" t="s">
        <v>1652</v>
      </c>
      <c r="D747" s="567"/>
      <c r="E747" s="567"/>
      <c r="F747" s="567"/>
      <c r="G747" s="568" t="s">
        <v>1653</v>
      </c>
      <c r="H747" s="568" t="s">
        <v>296</v>
      </c>
      <c r="I747" s="239" t="str">
        <f>IF(ISBLANK(regional!I372),"",regional!I372)</f>
        <v/>
      </c>
      <c r="K747" s="262" t="s">
        <v>4249</v>
      </c>
      <c r="N747" s="262" t="s">
        <v>4249</v>
      </c>
    </row>
    <row r="748" spans="1:14" ht="12.75" customHeight="1" x14ac:dyDescent="0.2">
      <c r="A748" s="567"/>
      <c r="B748" s="567"/>
      <c r="C748" s="567" t="s">
        <v>1654</v>
      </c>
      <c r="D748" s="567"/>
      <c r="E748" s="567"/>
      <c r="F748" s="567"/>
      <c r="G748" s="568" t="s">
        <v>1655</v>
      </c>
      <c r="H748" s="568" t="s">
        <v>296</v>
      </c>
      <c r="I748" s="239" t="str">
        <f>IF(ISBLANK(regional!I373),"",regional!I373)</f>
        <v/>
      </c>
      <c r="K748" s="262" t="s">
        <v>4249</v>
      </c>
      <c r="N748" s="262" t="s">
        <v>4249</v>
      </c>
    </row>
    <row r="749" spans="1:14" ht="12.75" customHeight="1" x14ac:dyDescent="0.2">
      <c r="A749" s="567" t="s">
        <v>1656</v>
      </c>
      <c r="B749" s="567"/>
      <c r="C749" s="567"/>
      <c r="D749" s="567"/>
      <c r="E749" s="567"/>
      <c r="F749" s="567"/>
      <c r="G749" s="568" t="s">
        <v>1657</v>
      </c>
      <c r="H749" s="568" t="s">
        <v>340</v>
      </c>
      <c r="I749" s="239" t="str">
        <f>IF(ISBLANK(regional!I374),"",regional!I374)</f>
        <v/>
      </c>
      <c r="K749" s="262" t="s">
        <v>4249</v>
      </c>
      <c r="N749" s="262" t="s">
        <v>4249</v>
      </c>
    </row>
    <row r="750" spans="1:14" ht="12.75" customHeight="1" x14ac:dyDescent="0.2">
      <c r="A750" s="567"/>
      <c r="B750" s="567" t="s">
        <v>1658</v>
      </c>
      <c r="C750" s="567"/>
      <c r="D750" s="567"/>
      <c r="E750" s="567"/>
      <c r="F750" s="567"/>
      <c r="G750" s="568" t="s">
        <v>1659</v>
      </c>
      <c r="H750" s="568" t="s">
        <v>296</v>
      </c>
      <c r="I750" s="239" t="str">
        <f>IF(ISBLANK(regional!I375),"",regional!I375)</f>
        <v/>
      </c>
      <c r="K750" s="262" t="s">
        <v>4249</v>
      </c>
      <c r="N750" s="262" t="s">
        <v>4249</v>
      </c>
    </row>
    <row r="751" spans="1:14" ht="12.75" customHeight="1" x14ac:dyDescent="0.2">
      <c r="A751" s="567"/>
      <c r="B751" s="567" t="s">
        <v>1660</v>
      </c>
      <c r="C751" s="567"/>
      <c r="D751" s="567"/>
      <c r="E751" s="567"/>
      <c r="F751" s="567"/>
      <c r="G751" s="568" t="s">
        <v>1661</v>
      </c>
      <c r="H751" s="568"/>
      <c r="I751" s="239" t="str">
        <f>IF(ISBLANK(regional!I376),"",regional!I376)</f>
        <v/>
      </c>
      <c r="K751" s="262" t="s">
        <v>4249</v>
      </c>
      <c r="N751" s="262" t="s">
        <v>4249</v>
      </c>
    </row>
    <row r="752" spans="1:14" ht="12.75" customHeight="1" x14ac:dyDescent="0.2">
      <c r="A752" s="567"/>
      <c r="B752" s="567" t="s">
        <v>1638</v>
      </c>
      <c r="C752" s="567"/>
      <c r="D752" s="567"/>
      <c r="E752" s="567"/>
      <c r="F752" s="567"/>
      <c r="G752" s="568" t="s">
        <v>1662</v>
      </c>
      <c r="H752" s="568" t="s">
        <v>1640</v>
      </c>
      <c r="I752" s="239" t="str">
        <f>IF(ISBLANK(regional!I377),"",regional!I377)</f>
        <v/>
      </c>
      <c r="K752" s="262" t="s">
        <v>4249</v>
      </c>
      <c r="N752" s="262" t="s">
        <v>4249</v>
      </c>
    </row>
    <row r="753" spans="1:14" ht="12.75" customHeight="1" x14ac:dyDescent="0.2">
      <c r="A753" s="567"/>
      <c r="B753" s="567" t="s">
        <v>1663</v>
      </c>
      <c r="C753" s="567"/>
      <c r="D753" s="567"/>
      <c r="E753" s="567"/>
      <c r="F753" s="567"/>
      <c r="G753" s="568" t="s">
        <v>1664</v>
      </c>
      <c r="H753" s="568" t="s">
        <v>296</v>
      </c>
      <c r="I753" s="239" t="str">
        <f>IF(ISBLANK(regional!I378),"",regional!I378)</f>
        <v/>
      </c>
      <c r="K753" s="262" t="s">
        <v>4249</v>
      </c>
      <c r="N753" s="262" t="s">
        <v>4249</v>
      </c>
    </row>
    <row r="754" spans="1:14" ht="12.75" customHeight="1" x14ac:dyDescent="0.2">
      <c r="A754" s="567"/>
      <c r="B754" s="567" t="s">
        <v>1644</v>
      </c>
      <c r="C754" s="567"/>
      <c r="D754" s="567"/>
      <c r="E754" s="567"/>
      <c r="F754" s="567"/>
      <c r="G754" s="568" t="s">
        <v>1665</v>
      </c>
      <c r="H754" s="568" t="s">
        <v>873</v>
      </c>
      <c r="I754" s="239" t="str">
        <f>IF(ISBLANK(regional!I379),"",regional!I379)</f>
        <v/>
      </c>
      <c r="K754" s="262" t="s">
        <v>4249</v>
      </c>
      <c r="N754" s="262" t="s">
        <v>4249</v>
      </c>
    </row>
    <row r="755" spans="1:14" ht="12.75" customHeight="1" x14ac:dyDescent="0.2">
      <c r="A755" s="567"/>
      <c r="B755" s="567" t="s">
        <v>1646</v>
      </c>
      <c r="C755" s="567"/>
      <c r="D755" s="567"/>
      <c r="E755" s="567"/>
      <c r="F755" s="567"/>
      <c r="G755" s="568" t="s">
        <v>1666</v>
      </c>
      <c r="H755" s="568" t="s">
        <v>296</v>
      </c>
      <c r="I755" s="239" t="str">
        <f>IF(ISBLANK(regional!I380),"",regional!I380)</f>
        <v/>
      </c>
      <c r="K755" s="262" t="s">
        <v>4249</v>
      </c>
      <c r="N755" s="262" t="s">
        <v>4249</v>
      </c>
    </row>
    <row r="756" spans="1:14" ht="12.75" customHeight="1" x14ac:dyDescent="0.2">
      <c r="A756" s="567"/>
      <c r="B756" s="567"/>
      <c r="C756" s="567" t="s">
        <v>1648</v>
      </c>
      <c r="D756" s="567"/>
      <c r="E756" s="567"/>
      <c r="F756" s="567"/>
      <c r="G756" s="568" t="s">
        <v>1667</v>
      </c>
      <c r="H756" s="568" t="s">
        <v>296</v>
      </c>
      <c r="I756" s="239" t="str">
        <f>IF(ISBLANK(regional!I381),"",regional!I381)</f>
        <v/>
      </c>
      <c r="K756" s="262" t="s">
        <v>4249</v>
      </c>
      <c r="N756" s="262" t="s">
        <v>4249</v>
      </c>
    </row>
    <row r="757" spans="1:14" ht="12.75" customHeight="1" x14ac:dyDescent="0.2">
      <c r="A757" s="567"/>
      <c r="B757" s="567"/>
      <c r="C757" s="567" t="s">
        <v>1650</v>
      </c>
      <c r="D757" s="567"/>
      <c r="E757" s="567"/>
      <c r="F757" s="567"/>
      <c r="G757" s="568" t="s">
        <v>1668</v>
      </c>
      <c r="H757" s="568" t="s">
        <v>296</v>
      </c>
      <c r="I757" s="239" t="str">
        <f>IF(ISBLANK(regional!I382),"",regional!I382)</f>
        <v/>
      </c>
      <c r="K757" s="262" t="s">
        <v>4249</v>
      </c>
      <c r="N757" s="262" t="s">
        <v>4249</v>
      </c>
    </row>
    <row r="758" spans="1:14" ht="12.75" customHeight="1" x14ac:dyDescent="0.2">
      <c r="A758" s="567"/>
      <c r="B758" s="567"/>
      <c r="C758" s="567" t="s">
        <v>1652</v>
      </c>
      <c r="D758" s="567"/>
      <c r="E758" s="567"/>
      <c r="F758" s="567"/>
      <c r="G758" s="568" t="s">
        <v>1669</v>
      </c>
      <c r="H758" s="568" t="s">
        <v>296</v>
      </c>
      <c r="I758" s="239" t="str">
        <f>IF(ISBLANK(regional!I383),"",regional!I383)</f>
        <v/>
      </c>
      <c r="K758" s="262" t="s">
        <v>4249</v>
      </c>
      <c r="N758" s="262" t="s">
        <v>4249</v>
      </c>
    </row>
    <row r="759" spans="1:14" ht="12.75" customHeight="1" x14ac:dyDescent="0.2">
      <c r="A759" s="567"/>
      <c r="B759" s="567"/>
      <c r="C759" s="567" t="s">
        <v>1654</v>
      </c>
      <c r="D759" s="567"/>
      <c r="E759" s="567"/>
      <c r="F759" s="567"/>
      <c r="G759" s="568" t="s">
        <v>1670</v>
      </c>
      <c r="H759" s="568" t="s">
        <v>296</v>
      </c>
      <c r="I759" s="239" t="str">
        <f>IF(ISBLANK(regional!I384),"",regional!I384)</f>
        <v/>
      </c>
      <c r="K759" s="262" t="s">
        <v>4249</v>
      </c>
      <c r="N759" s="262" t="s">
        <v>4249</v>
      </c>
    </row>
    <row r="760" spans="1:14" ht="12.75" customHeight="1" x14ac:dyDescent="0.2">
      <c r="A760" s="567" t="s">
        <v>1671</v>
      </c>
      <c r="B760" s="567"/>
      <c r="C760" s="567"/>
      <c r="D760" s="567"/>
      <c r="E760" s="567"/>
      <c r="F760" s="567"/>
      <c r="G760" s="568" t="s">
        <v>1672</v>
      </c>
      <c r="H760" s="568" t="s">
        <v>340</v>
      </c>
      <c r="I760" s="239" t="str">
        <f>IF(ISBLANK(regional!I385),"",regional!I385)</f>
        <v/>
      </c>
      <c r="K760" s="262" t="s">
        <v>4249</v>
      </c>
      <c r="N760" s="262" t="s">
        <v>4249</v>
      </c>
    </row>
    <row r="761" spans="1:14" ht="12.75" customHeight="1" x14ac:dyDescent="0.2">
      <c r="A761" s="583" t="s">
        <v>1674</v>
      </c>
      <c r="B761" s="583"/>
      <c r="C761" s="583"/>
      <c r="D761" s="583"/>
      <c r="E761" s="583"/>
      <c r="F761" s="583"/>
      <c r="G761" s="582" t="s">
        <v>1675</v>
      </c>
      <c r="H761" s="582" t="s">
        <v>340</v>
      </c>
      <c r="I761" s="239" t="str">
        <f>IF(ISBLANK(regional!I386),"",regional!I386)</f>
        <v/>
      </c>
      <c r="K761" s="262" t="s">
        <v>4249</v>
      </c>
      <c r="N761" s="262" t="s">
        <v>4249</v>
      </c>
    </row>
    <row r="762" spans="1:14" ht="12.75" customHeight="1" x14ac:dyDescent="0.2">
      <c r="A762" s="567"/>
      <c r="B762" s="567" t="s">
        <v>1676</v>
      </c>
      <c r="C762" s="567"/>
      <c r="D762" s="567"/>
      <c r="E762" s="567"/>
      <c r="F762" s="567"/>
      <c r="G762" s="568" t="s">
        <v>1677</v>
      </c>
      <c r="H762" s="568" t="s">
        <v>873</v>
      </c>
      <c r="I762" s="239" t="str">
        <f>IF(ISBLANK(regional!I387),"",regional!I387)</f>
        <v/>
      </c>
      <c r="K762" s="262" t="s">
        <v>4249</v>
      </c>
      <c r="N762" s="262" t="s">
        <v>4249</v>
      </c>
    </row>
    <row r="763" spans="1:14" ht="12.75" customHeight="1" x14ac:dyDescent="0.2">
      <c r="A763" s="567"/>
      <c r="B763" s="567" t="s">
        <v>1678</v>
      </c>
      <c r="C763" s="567"/>
      <c r="D763" s="567"/>
      <c r="E763" s="567"/>
      <c r="F763" s="567"/>
      <c r="G763" s="568" t="s">
        <v>1679</v>
      </c>
      <c r="H763" s="568" t="s">
        <v>1680</v>
      </c>
      <c r="I763" s="239" t="str">
        <f>IF(ISBLANK(regional!I388),"",regional!I388)</f>
        <v/>
      </c>
      <c r="K763" s="262" t="s">
        <v>4249</v>
      </c>
      <c r="N763" s="262" t="s">
        <v>4249</v>
      </c>
    </row>
    <row r="764" spans="1:14" ht="12.75" customHeight="1" x14ac:dyDescent="0.2">
      <c r="A764" s="567"/>
      <c r="B764" s="567" t="s">
        <v>1683</v>
      </c>
      <c r="C764" s="567"/>
      <c r="D764" s="567"/>
      <c r="E764" s="567"/>
      <c r="F764" s="567"/>
      <c r="G764" s="568" t="s">
        <v>1684</v>
      </c>
      <c r="H764" s="568" t="s">
        <v>1680</v>
      </c>
      <c r="I764" s="239" t="str">
        <f>IF(ISBLANK(regional!I389),"",regional!I389)</f>
        <v/>
      </c>
      <c r="K764" s="262" t="s">
        <v>4249</v>
      </c>
      <c r="N764" s="262" t="s">
        <v>4249</v>
      </c>
    </row>
    <row r="765" spans="1:14" ht="12.75" customHeight="1" x14ac:dyDescent="0.2">
      <c r="A765" s="567"/>
      <c r="B765" s="567"/>
      <c r="C765" s="567" t="s">
        <v>1686</v>
      </c>
      <c r="D765" s="567"/>
      <c r="E765" s="567"/>
      <c r="F765" s="567"/>
      <c r="G765" s="568" t="s">
        <v>1687</v>
      </c>
      <c r="H765" s="568" t="s">
        <v>873</v>
      </c>
      <c r="I765" s="239" t="str">
        <f>IF(ISBLANK(regional!I390),"",regional!I390)</f>
        <v/>
      </c>
      <c r="K765" s="262" t="s">
        <v>4249</v>
      </c>
      <c r="N765" s="262" t="s">
        <v>4249</v>
      </c>
    </row>
    <row r="766" spans="1:14" ht="12.75" customHeight="1" x14ac:dyDescent="0.2">
      <c r="A766" s="567"/>
      <c r="B766" s="567"/>
      <c r="C766" s="567" t="s">
        <v>1648</v>
      </c>
      <c r="D766" s="567"/>
      <c r="E766" s="567"/>
      <c r="F766" s="567"/>
      <c r="G766" s="568" t="s">
        <v>1690</v>
      </c>
      <c r="H766" s="568" t="s">
        <v>296</v>
      </c>
      <c r="I766" s="239" t="str">
        <f>IF(ISBLANK(regional!I391),"",regional!I391)</f>
        <v/>
      </c>
      <c r="K766" s="262" t="s">
        <v>4249</v>
      </c>
      <c r="N766" s="262" t="s">
        <v>4249</v>
      </c>
    </row>
    <row r="767" spans="1:14" ht="12.75" customHeight="1" x14ac:dyDescent="0.2">
      <c r="A767" s="567"/>
      <c r="B767" s="567"/>
      <c r="C767" s="567" t="s">
        <v>1650</v>
      </c>
      <c r="D767" s="567"/>
      <c r="E767" s="567"/>
      <c r="F767" s="567"/>
      <c r="G767" s="568" t="s">
        <v>1692</v>
      </c>
      <c r="H767" s="568" t="s">
        <v>296</v>
      </c>
      <c r="I767" s="239" t="str">
        <f>IF(ISBLANK(regional!I392),"",regional!I392)</f>
        <v/>
      </c>
      <c r="J767" s="545"/>
      <c r="K767" s="262" t="s">
        <v>4249</v>
      </c>
      <c r="N767" s="262" t="s">
        <v>4249</v>
      </c>
    </row>
    <row r="768" spans="1:14" ht="12.75" customHeight="1" x14ac:dyDescent="0.2">
      <c r="A768" s="567"/>
      <c r="B768" s="567"/>
      <c r="C768" s="567"/>
      <c r="D768" s="567" t="s">
        <v>1693</v>
      </c>
      <c r="E768" s="567"/>
      <c r="F768" s="567"/>
      <c r="G768" s="568" t="s">
        <v>1694</v>
      </c>
      <c r="H768" s="568" t="s">
        <v>820</v>
      </c>
      <c r="I768" s="239" t="str">
        <f>IF(ISBLANK(regional!I393),"",regional!I393)</f>
        <v/>
      </c>
      <c r="J768" s="228"/>
      <c r="K768" s="262" t="s">
        <v>4249</v>
      </c>
      <c r="N768" s="262" t="s">
        <v>4249</v>
      </c>
    </row>
    <row r="769" spans="1:14" ht="12.75" customHeight="1" x14ac:dyDescent="0.2">
      <c r="A769" s="567"/>
      <c r="B769" s="567"/>
      <c r="C769" s="567"/>
      <c r="D769" s="567" t="s">
        <v>1695</v>
      </c>
      <c r="E769" s="567"/>
      <c r="F769" s="567"/>
      <c r="G769" s="568" t="s">
        <v>1696</v>
      </c>
      <c r="H769" s="568" t="s">
        <v>820</v>
      </c>
      <c r="I769" s="239" t="str">
        <f>IF(ISBLANK(regional!I394),"",regional!I394)</f>
        <v/>
      </c>
      <c r="J769" s="228"/>
      <c r="K769" s="262" t="s">
        <v>4249</v>
      </c>
      <c r="N769" s="262" t="s">
        <v>4249</v>
      </c>
    </row>
    <row r="770" spans="1:14" ht="12.75" customHeight="1" x14ac:dyDescent="0.2">
      <c r="A770" s="567"/>
      <c r="B770" s="567"/>
      <c r="C770" s="567"/>
      <c r="D770" s="567" t="s">
        <v>1697</v>
      </c>
      <c r="E770" s="567"/>
      <c r="F770" s="567"/>
      <c r="G770" s="568" t="s">
        <v>1698</v>
      </c>
      <c r="H770" s="568" t="s">
        <v>296</v>
      </c>
      <c r="I770" s="239" t="str">
        <f>IF(ISBLANK(regional!I395),"",regional!I395)</f>
        <v/>
      </c>
      <c r="J770" s="228"/>
      <c r="K770" s="262" t="s">
        <v>4249</v>
      </c>
      <c r="N770" s="262" t="s">
        <v>4249</v>
      </c>
    </row>
    <row r="771" spans="1:14" ht="12.75" customHeight="1" x14ac:dyDescent="0.2">
      <c r="A771" s="567"/>
      <c r="B771" s="567"/>
      <c r="C771" s="567" t="s">
        <v>1652</v>
      </c>
      <c r="D771" s="567"/>
      <c r="E771" s="567"/>
      <c r="F771" s="567"/>
      <c r="G771" s="568" t="s">
        <v>1700</v>
      </c>
      <c r="H771" s="568" t="s">
        <v>296</v>
      </c>
      <c r="I771" s="239" t="str">
        <f>IF(ISBLANK(regional!I396),"",regional!I396)</f>
        <v/>
      </c>
      <c r="J771" s="411"/>
      <c r="K771" s="262" t="s">
        <v>4249</v>
      </c>
      <c r="N771" s="262" t="s">
        <v>4249</v>
      </c>
    </row>
    <row r="772" spans="1:14" ht="12.75" customHeight="1" x14ac:dyDescent="0.2">
      <c r="A772" s="567" t="s">
        <v>1701</v>
      </c>
      <c r="B772" s="567"/>
      <c r="C772" s="567"/>
      <c r="D772" s="567"/>
      <c r="E772" s="567"/>
      <c r="F772" s="567"/>
      <c r="G772" s="568" t="s">
        <v>1702</v>
      </c>
      <c r="H772" s="568" t="s">
        <v>340</v>
      </c>
      <c r="I772" s="239" t="str">
        <f>IF(ISBLANK(regional!I397),"",regional!I397)</f>
        <v/>
      </c>
      <c r="J772" s="228"/>
      <c r="K772" s="262">
        <v>0</v>
      </c>
      <c r="N772" s="262" t="s">
        <v>4249</v>
      </c>
    </row>
    <row r="773" spans="1:14" ht="12.75" customHeight="1" x14ac:dyDescent="0.2">
      <c r="A773" s="567"/>
      <c r="B773" s="567" t="s">
        <v>1676</v>
      </c>
      <c r="C773" s="567"/>
      <c r="D773" s="567"/>
      <c r="E773" s="567"/>
      <c r="F773" s="567"/>
      <c r="G773" s="568" t="s">
        <v>1703</v>
      </c>
      <c r="H773" s="568" t="s">
        <v>873</v>
      </c>
      <c r="I773" s="239" t="str">
        <f>IF(ISBLANK(regional!I398),"",regional!I398)</f>
        <v/>
      </c>
      <c r="K773" s="262" t="s">
        <v>4249</v>
      </c>
      <c r="N773" s="262" t="s">
        <v>4249</v>
      </c>
    </row>
    <row r="774" spans="1:14" ht="12.75" customHeight="1" x14ac:dyDescent="0.2">
      <c r="A774" s="567"/>
      <c r="B774" s="567" t="s">
        <v>1678</v>
      </c>
      <c r="C774" s="567"/>
      <c r="D774" s="567"/>
      <c r="E774" s="567"/>
      <c r="F774" s="567"/>
      <c r="G774" s="568" t="s">
        <v>1704</v>
      </c>
      <c r="H774" s="568" t="s">
        <v>1680</v>
      </c>
      <c r="I774" s="239" t="str">
        <f>IF(ISBLANK(regional!I399),"",regional!I399)</f>
        <v/>
      </c>
      <c r="K774" s="262" t="s">
        <v>4249</v>
      </c>
      <c r="N774" s="262" t="s">
        <v>4249</v>
      </c>
    </row>
    <row r="775" spans="1:14" ht="12.75" customHeight="1" x14ac:dyDescent="0.2">
      <c r="A775" s="567"/>
      <c r="B775" s="567" t="s">
        <v>1683</v>
      </c>
      <c r="C775" s="567"/>
      <c r="D775" s="567"/>
      <c r="E775" s="567"/>
      <c r="F775" s="567"/>
      <c r="G775" s="568" t="s">
        <v>1705</v>
      </c>
      <c r="H775" s="568" t="s">
        <v>1680</v>
      </c>
      <c r="I775" s="239" t="str">
        <f>IF(ISBLANK(regional!I400),"",regional!I400)</f>
        <v/>
      </c>
      <c r="K775" s="262" t="s">
        <v>4249</v>
      </c>
      <c r="N775" s="262" t="s">
        <v>4249</v>
      </c>
    </row>
    <row r="776" spans="1:14" ht="12.75" customHeight="1" x14ac:dyDescent="0.2">
      <c r="A776" s="567"/>
      <c r="B776" s="567"/>
      <c r="C776" s="567" t="s">
        <v>1686</v>
      </c>
      <c r="D776" s="567"/>
      <c r="E776" s="567"/>
      <c r="F776" s="567"/>
      <c r="G776" s="568" t="s">
        <v>1706</v>
      </c>
      <c r="H776" s="568" t="s">
        <v>873</v>
      </c>
      <c r="I776" s="239" t="str">
        <f>IF(ISBLANK(regional!I401),"",regional!I401)</f>
        <v/>
      </c>
      <c r="K776" s="262" t="s">
        <v>4249</v>
      </c>
      <c r="N776" s="262" t="s">
        <v>4249</v>
      </c>
    </row>
    <row r="777" spans="1:14" ht="12.75" customHeight="1" x14ac:dyDescent="0.2">
      <c r="A777" s="567"/>
      <c r="B777" s="567"/>
      <c r="C777" s="567" t="s">
        <v>1648</v>
      </c>
      <c r="D777" s="567"/>
      <c r="E777" s="567"/>
      <c r="F777" s="567"/>
      <c r="G777" s="568" t="s">
        <v>1707</v>
      </c>
      <c r="H777" s="568" t="s">
        <v>296</v>
      </c>
      <c r="I777" s="239" t="str">
        <f>IF(ISBLANK(regional!I402),"",regional!I402)</f>
        <v/>
      </c>
      <c r="K777" s="262" t="s">
        <v>4249</v>
      </c>
      <c r="N777" s="262" t="s">
        <v>4249</v>
      </c>
    </row>
    <row r="778" spans="1:14" ht="12.75" customHeight="1" x14ac:dyDescent="0.2">
      <c r="A778" s="567"/>
      <c r="B778" s="567"/>
      <c r="C778" s="567" t="s">
        <v>1650</v>
      </c>
      <c r="D778" s="567"/>
      <c r="E778" s="567"/>
      <c r="F778" s="567"/>
      <c r="G778" s="568" t="s">
        <v>1708</v>
      </c>
      <c r="H778" s="568" t="s">
        <v>296</v>
      </c>
      <c r="I778" s="239" t="str">
        <f>IF(ISBLANK(regional!I403),"",regional!I403)</f>
        <v/>
      </c>
      <c r="K778" s="262" t="s">
        <v>4249</v>
      </c>
      <c r="N778" s="262" t="s">
        <v>4249</v>
      </c>
    </row>
    <row r="779" spans="1:14" ht="12.75" customHeight="1" x14ac:dyDescent="0.2">
      <c r="A779" s="567"/>
      <c r="B779" s="567"/>
      <c r="C779" s="567"/>
      <c r="D779" s="567" t="s">
        <v>1693</v>
      </c>
      <c r="E779" s="567"/>
      <c r="F779" s="567"/>
      <c r="G779" s="568" t="s">
        <v>1709</v>
      </c>
      <c r="H779" s="568" t="s">
        <v>820</v>
      </c>
      <c r="I779" s="239" t="str">
        <f>IF(ISBLANK(regional!I404),"",regional!I404)</f>
        <v/>
      </c>
      <c r="K779" s="262" t="s">
        <v>4249</v>
      </c>
      <c r="N779" s="262" t="s">
        <v>4249</v>
      </c>
    </row>
    <row r="780" spans="1:14" ht="12.75" customHeight="1" x14ac:dyDescent="0.2">
      <c r="A780" s="567"/>
      <c r="B780" s="567"/>
      <c r="C780" s="567"/>
      <c r="D780" s="567" t="s">
        <v>1695</v>
      </c>
      <c r="E780" s="567"/>
      <c r="F780" s="567"/>
      <c r="G780" s="568" t="s">
        <v>1710</v>
      </c>
      <c r="H780" s="568" t="s">
        <v>820</v>
      </c>
      <c r="I780" s="239" t="str">
        <f>IF(ISBLANK(regional!I405),"",regional!I405)</f>
        <v/>
      </c>
      <c r="K780" s="262" t="s">
        <v>4249</v>
      </c>
      <c r="N780" s="262" t="s">
        <v>4249</v>
      </c>
    </row>
    <row r="781" spans="1:14" ht="12.75" customHeight="1" x14ac:dyDescent="0.2">
      <c r="A781" s="567"/>
      <c r="B781" s="567"/>
      <c r="C781" s="567"/>
      <c r="D781" s="567" t="s">
        <v>1697</v>
      </c>
      <c r="E781" s="567"/>
      <c r="F781" s="567"/>
      <c r="G781" s="568" t="s">
        <v>1711</v>
      </c>
      <c r="H781" s="568" t="s">
        <v>296</v>
      </c>
      <c r="I781" s="239" t="str">
        <f>IF(ISBLANK(regional!I406),"",regional!I406)</f>
        <v/>
      </c>
      <c r="K781" s="262" t="s">
        <v>4249</v>
      </c>
      <c r="N781" s="262" t="s">
        <v>4249</v>
      </c>
    </row>
    <row r="782" spans="1:14" ht="12.75" customHeight="1" x14ac:dyDescent="0.2">
      <c r="A782" s="567"/>
      <c r="B782" s="567"/>
      <c r="C782" s="567" t="s">
        <v>1652</v>
      </c>
      <c r="D782" s="567"/>
      <c r="E782" s="567"/>
      <c r="F782" s="567"/>
      <c r="G782" s="568" t="s">
        <v>1712</v>
      </c>
      <c r="H782" s="568" t="s">
        <v>296</v>
      </c>
      <c r="I782" s="239" t="str">
        <f>IF(ISBLANK(regional!I407),"",regional!I407)</f>
        <v/>
      </c>
      <c r="K782" s="262" t="s">
        <v>4249</v>
      </c>
      <c r="N782" s="262" t="s">
        <v>4249</v>
      </c>
    </row>
    <row r="783" spans="1:14" ht="12.75" customHeight="1" x14ac:dyDescent="0.2">
      <c r="A783" s="567" t="s">
        <v>1713</v>
      </c>
      <c r="B783" s="567"/>
      <c r="C783" s="567"/>
      <c r="D783" s="567"/>
      <c r="E783" s="567"/>
      <c r="F783" s="567"/>
      <c r="G783" s="568" t="s">
        <v>1714</v>
      </c>
      <c r="H783" s="568" t="s">
        <v>340</v>
      </c>
      <c r="I783" s="239" t="str">
        <f>IF(ISBLANK(regional!I408),"",regional!I408)</f>
        <v/>
      </c>
      <c r="K783" s="262">
        <v>0</v>
      </c>
      <c r="N783" s="262" t="s">
        <v>4249</v>
      </c>
    </row>
    <row r="784" spans="1:14" ht="12.75" customHeight="1" x14ac:dyDescent="0.2">
      <c r="A784" s="567"/>
      <c r="B784" s="567" t="s">
        <v>1676</v>
      </c>
      <c r="C784" s="567"/>
      <c r="D784" s="567"/>
      <c r="E784" s="567"/>
      <c r="F784" s="567"/>
      <c r="G784" s="568" t="s">
        <v>1715</v>
      </c>
      <c r="H784" s="568" t="s">
        <v>873</v>
      </c>
      <c r="I784" s="239" t="str">
        <f>IF(ISBLANK(regional!I409),"",regional!I409)</f>
        <v/>
      </c>
      <c r="K784" s="262" t="s">
        <v>4249</v>
      </c>
      <c r="N784" s="262" t="s">
        <v>4249</v>
      </c>
    </row>
    <row r="785" spans="1:14" ht="12.75" customHeight="1" x14ac:dyDescent="0.2">
      <c r="A785" s="567"/>
      <c r="B785" s="567" t="s">
        <v>1678</v>
      </c>
      <c r="C785" s="567"/>
      <c r="D785" s="567"/>
      <c r="E785" s="567"/>
      <c r="F785" s="567"/>
      <c r="G785" s="568" t="s">
        <v>1716</v>
      </c>
      <c r="H785" s="568" t="s">
        <v>1680</v>
      </c>
      <c r="I785" s="239" t="str">
        <f>IF(ISBLANK(regional!I410),"",regional!I410)</f>
        <v/>
      </c>
      <c r="K785" s="262" t="s">
        <v>4249</v>
      </c>
      <c r="N785" s="262" t="s">
        <v>4249</v>
      </c>
    </row>
    <row r="786" spans="1:14" ht="12.75" customHeight="1" x14ac:dyDescent="0.2">
      <c r="A786" s="567"/>
      <c r="B786" s="567" t="s">
        <v>1683</v>
      </c>
      <c r="C786" s="567"/>
      <c r="D786" s="567"/>
      <c r="E786" s="567"/>
      <c r="F786" s="567"/>
      <c r="G786" s="568" t="s">
        <v>1717</v>
      </c>
      <c r="H786" s="568" t="s">
        <v>1680</v>
      </c>
      <c r="I786" s="239" t="str">
        <f>IF(ISBLANK(regional!I411),"",regional!I411)</f>
        <v/>
      </c>
      <c r="K786" s="262" t="s">
        <v>4249</v>
      </c>
      <c r="N786" s="262" t="s">
        <v>4249</v>
      </c>
    </row>
    <row r="787" spans="1:14" ht="12.75" customHeight="1" x14ac:dyDescent="0.2">
      <c r="A787" s="567"/>
      <c r="B787" s="567"/>
      <c r="C787" s="567" t="s">
        <v>1686</v>
      </c>
      <c r="D787" s="567"/>
      <c r="E787" s="567"/>
      <c r="F787" s="567"/>
      <c r="G787" s="568" t="s">
        <v>1718</v>
      </c>
      <c r="H787" s="568" t="s">
        <v>873</v>
      </c>
      <c r="I787" s="239" t="str">
        <f>IF(ISBLANK(regional!I412),"",regional!I412)</f>
        <v/>
      </c>
      <c r="K787" s="262" t="s">
        <v>4249</v>
      </c>
      <c r="N787" s="262" t="s">
        <v>4249</v>
      </c>
    </row>
    <row r="788" spans="1:14" ht="12.75" customHeight="1" x14ac:dyDescent="0.2">
      <c r="A788" s="567"/>
      <c r="B788" s="567"/>
      <c r="C788" s="567" t="s">
        <v>1648</v>
      </c>
      <c r="D788" s="567"/>
      <c r="E788" s="567"/>
      <c r="F788" s="567"/>
      <c r="G788" s="568" t="s">
        <v>1719</v>
      </c>
      <c r="H788" s="568" t="s">
        <v>296</v>
      </c>
      <c r="I788" s="239" t="str">
        <f>IF(ISBLANK(regional!I413),"",regional!I413)</f>
        <v/>
      </c>
      <c r="K788" s="262" t="s">
        <v>4249</v>
      </c>
      <c r="N788" s="262" t="s">
        <v>4249</v>
      </c>
    </row>
    <row r="789" spans="1:14" ht="12.75" customHeight="1" x14ac:dyDescent="0.2">
      <c r="A789" s="567"/>
      <c r="B789" s="567"/>
      <c r="C789" s="567" t="s">
        <v>1650</v>
      </c>
      <c r="D789" s="567"/>
      <c r="E789" s="567"/>
      <c r="F789" s="567"/>
      <c r="G789" s="568" t="s">
        <v>1720</v>
      </c>
      <c r="H789" s="568" t="s">
        <v>296</v>
      </c>
      <c r="I789" s="239" t="str">
        <f>IF(ISBLANK(regional!I414),"",regional!I414)</f>
        <v/>
      </c>
      <c r="K789" s="262" t="s">
        <v>4249</v>
      </c>
      <c r="N789" s="262" t="s">
        <v>4249</v>
      </c>
    </row>
    <row r="790" spans="1:14" ht="12.75" customHeight="1" x14ac:dyDescent="0.2">
      <c r="A790" s="567"/>
      <c r="B790" s="567"/>
      <c r="C790" s="567"/>
      <c r="D790" s="567" t="s">
        <v>1693</v>
      </c>
      <c r="E790" s="567"/>
      <c r="F790" s="567"/>
      <c r="G790" s="568" t="s">
        <v>1721</v>
      </c>
      <c r="H790" s="568" t="s">
        <v>820</v>
      </c>
      <c r="I790" s="239" t="str">
        <f>IF(ISBLANK(regional!I415),"",regional!I415)</f>
        <v/>
      </c>
      <c r="K790" s="262" t="s">
        <v>4249</v>
      </c>
      <c r="N790" s="262" t="s">
        <v>4249</v>
      </c>
    </row>
    <row r="791" spans="1:14" ht="12.75" customHeight="1" x14ac:dyDescent="0.2">
      <c r="A791" s="567"/>
      <c r="B791" s="567"/>
      <c r="C791" s="567"/>
      <c r="D791" s="567" t="s">
        <v>1695</v>
      </c>
      <c r="E791" s="567"/>
      <c r="F791" s="567"/>
      <c r="G791" s="568" t="s">
        <v>1722</v>
      </c>
      <c r="H791" s="568" t="s">
        <v>820</v>
      </c>
      <c r="I791" s="239" t="str">
        <f>IF(ISBLANK(regional!I416),"",regional!I416)</f>
        <v/>
      </c>
      <c r="K791" s="262" t="s">
        <v>4249</v>
      </c>
      <c r="N791" s="262" t="s">
        <v>4249</v>
      </c>
    </row>
    <row r="792" spans="1:14" ht="12.75" customHeight="1" x14ac:dyDescent="0.2">
      <c r="A792" s="567"/>
      <c r="B792" s="567"/>
      <c r="C792" s="567"/>
      <c r="D792" s="567" t="s">
        <v>1697</v>
      </c>
      <c r="E792" s="567"/>
      <c r="F792" s="567"/>
      <c r="G792" s="568" t="s">
        <v>1723</v>
      </c>
      <c r="H792" s="568" t="s">
        <v>296</v>
      </c>
      <c r="I792" s="239" t="str">
        <f>IF(ISBLANK(regional!I417),"",regional!I417)</f>
        <v/>
      </c>
      <c r="K792" s="262" t="s">
        <v>4249</v>
      </c>
      <c r="N792" s="262" t="s">
        <v>4249</v>
      </c>
    </row>
    <row r="793" spans="1:14" ht="12.75" customHeight="1" x14ac:dyDescent="0.2">
      <c r="A793" s="567"/>
      <c r="B793" s="567"/>
      <c r="C793" s="567" t="s">
        <v>1652</v>
      </c>
      <c r="D793" s="567"/>
      <c r="E793" s="567"/>
      <c r="F793" s="567"/>
      <c r="G793" s="568" t="s">
        <v>1724</v>
      </c>
      <c r="H793" s="568" t="s">
        <v>296</v>
      </c>
      <c r="I793" s="239" t="str">
        <f>IF(ISBLANK(regional!I418),"",regional!I418)</f>
        <v/>
      </c>
      <c r="K793" s="262" t="s">
        <v>4249</v>
      </c>
      <c r="N793" s="262" t="s">
        <v>4249</v>
      </c>
    </row>
    <row r="794" spans="1:14" ht="12.75" customHeight="1" x14ac:dyDescent="0.2">
      <c r="A794" s="567" t="s">
        <v>1725</v>
      </c>
      <c r="B794" s="567"/>
      <c r="C794" s="567"/>
      <c r="D794" s="567"/>
      <c r="E794" s="567"/>
      <c r="F794" s="567"/>
      <c r="G794" s="568" t="s">
        <v>1726</v>
      </c>
      <c r="H794" s="568" t="s">
        <v>340</v>
      </c>
      <c r="I794" s="239" t="str">
        <f>IF(ISBLANK(regional!I419),"",regional!I419)</f>
        <v/>
      </c>
      <c r="J794" s="826"/>
      <c r="K794" s="262" t="s">
        <v>4249</v>
      </c>
      <c r="N794" s="262" t="s">
        <v>4249</v>
      </c>
    </row>
    <row r="795" spans="1:14" ht="12.75" customHeight="1" x14ac:dyDescent="0.2">
      <c r="A795" s="567"/>
      <c r="B795" s="567" t="s">
        <v>1676</v>
      </c>
      <c r="C795" s="567"/>
      <c r="D795" s="567"/>
      <c r="E795" s="567"/>
      <c r="F795" s="567"/>
      <c r="G795" s="568" t="s">
        <v>1727</v>
      </c>
      <c r="H795" s="568" t="s">
        <v>873</v>
      </c>
      <c r="I795" s="239" t="str">
        <f>IF(ISBLANK(regional!I420),"",regional!I420)</f>
        <v/>
      </c>
      <c r="K795" s="262" t="s">
        <v>4249</v>
      </c>
      <c r="N795" s="262" t="s">
        <v>4249</v>
      </c>
    </row>
    <row r="796" spans="1:14" ht="12.75" customHeight="1" x14ac:dyDescent="0.2">
      <c r="A796" s="567"/>
      <c r="B796" s="567" t="s">
        <v>1683</v>
      </c>
      <c r="C796" s="567"/>
      <c r="D796" s="567"/>
      <c r="E796" s="567"/>
      <c r="F796" s="567"/>
      <c r="G796" s="568" t="s">
        <v>1728</v>
      </c>
      <c r="H796" s="568" t="s">
        <v>1680</v>
      </c>
      <c r="I796" s="239" t="str">
        <f>IF(ISBLANK(regional!I421),"",regional!I421)</f>
        <v/>
      </c>
      <c r="K796" s="262" t="s">
        <v>4249</v>
      </c>
      <c r="N796" s="262" t="s">
        <v>4249</v>
      </c>
    </row>
    <row r="797" spans="1:14" ht="12.75" customHeight="1" x14ac:dyDescent="0.2">
      <c r="A797" s="567"/>
      <c r="B797" s="567"/>
      <c r="C797" s="567" t="s">
        <v>1648</v>
      </c>
      <c r="D797" s="567"/>
      <c r="E797" s="567"/>
      <c r="F797" s="567"/>
      <c r="G797" s="568" t="s">
        <v>1729</v>
      </c>
      <c r="H797" s="568" t="s">
        <v>296</v>
      </c>
      <c r="I797" s="239" t="str">
        <f>IF(ISBLANK(regional!I422),"",regional!I422)</f>
        <v/>
      </c>
      <c r="K797" s="262" t="s">
        <v>4249</v>
      </c>
      <c r="N797" s="262" t="s">
        <v>4249</v>
      </c>
    </row>
    <row r="798" spans="1:14" ht="12.75" customHeight="1" x14ac:dyDescent="0.2">
      <c r="A798" s="567"/>
      <c r="B798" s="567"/>
      <c r="C798" s="567" t="s">
        <v>1650</v>
      </c>
      <c r="D798" s="567"/>
      <c r="E798" s="567"/>
      <c r="F798" s="567"/>
      <c r="G798" s="568" t="s">
        <v>1730</v>
      </c>
      <c r="H798" s="568" t="s">
        <v>296</v>
      </c>
      <c r="I798" s="239" t="str">
        <f>IF(ISBLANK(regional!I423),"",regional!I423)</f>
        <v/>
      </c>
      <c r="K798" s="262" t="s">
        <v>4249</v>
      </c>
      <c r="N798" s="262" t="s">
        <v>4249</v>
      </c>
    </row>
    <row r="799" spans="1:14" ht="12.75" customHeight="1" x14ac:dyDescent="0.2">
      <c r="A799" s="567"/>
      <c r="B799" s="567"/>
      <c r="C799" s="567" t="s">
        <v>1652</v>
      </c>
      <c r="D799" s="567"/>
      <c r="E799" s="567"/>
      <c r="F799" s="567"/>
      <c r="G799" s="568" t="s">
        <v>1731</v>
      </c>
      <c r="H799" s="568" t="s">
        <v>296</v>
      </c>
      <c r="I799" s="239" t="str">
        <f>IF(ISBLANK(regional!I424),"",regional!I424)</f>
        <v/>
      </c>
      <c r="K799" s="262" t="s">
        <v>4249</v>
      </c>
      <c r="N799" s="262" t="s">
        <v>4249</v>
      </c>
    </row>
    <row r="800" spans="1:14" ht="12.75" customHeight="1" x14ac:dyDescent="0.2">
      <c r="A800" s="567" t="s">
        <v>1732</v>
      </c>
      <c r="B800" s="567"/>
      <c r="C800" s="567"/>
      <c r="D800" s="567"/>
      <c r="E800" s="567"/>
      <c r="F800" s="567"/>
      <c r="G800" s="568" t="s">
        <v>1733</v>
      </c>
      <c r="H800" s="568" t="s">
        <v>340</v>
      </c>
      <c r="I800" s="239" t="str">
        <f>IF(ISBLANK(regional!I425),"",regional!I425)</f>
        <v/>
      </c>
      <c r="K800" s="262">
        <v>0</v>
      </c>
      <c r="N800" s="262" t="s">
        <v>4249</v>
      </c>
    </row>
    <row r="801" spans="1:14" ht="12.75" customHeight="1" x14ac:dyDescent="0.2">
      <c r="A801" s="567"/>
      <c r="B801" s="567" t="s">
        <v>1676</v>
      </c>
      <c r="C801" s="567"/>
      <c r="D801" s="567"/>
      <c r="E801" s="567"/>
      <c r="F801" s="567"/>
      <c r="G801" s="568" t="s">
        <v>1734</v>
      </c>
      <c r="H801" s="568" t="s">
        <v>873</v>
      </c>
      <c r="I801" s="239" t="str">
        <f>IF(ISBLANK(regional!I426),"",regional!I426)</f>
        <v/>
      </c>
      <c r="K801" s="262" t="s">
        <v>4249</v>
      </c>
      <c r="N801" s="262" t="s">
        <v>4249</v>
      </c>
    </row>
    <row r="802" spans="1:14" ht="12.75" customHeight="1" x14ac:dyDescent="0.2">
      <c r="A802" s="567"/>
      <c r="B802" s="567" t="s">
        <v>1683</v>
      </c>
      <c r="C802" s="567"/>
      <c r="D802" s="567"/>
      <c r="E802" s="567"/>
      <c r="F802" s="567"/>
      <c r="G802" s="568" t="s">
        <v>1735</v>
      </c>
      <c r="H802" s="568" t="s">
        <v>1680</v>
      </c>
      <c r="I802" s="239" t="str">
        <f>IF(ISBLANK(regional!I427),"",regional!I427)</f>
        <v/>
      </c>
      <c r="K802" s="262" t="s">
        <v>4249</v>
      </c>
      <c r="N802" s="262" t="s">
        <v>4249</v>
      </c>
    </row>
    <row r="803" spans="1:14" ht="12.75" customHeight="1" x14ac:dyDescent="0.2">
      <c r="A803" s="567"/>
      <c r="B803" s="567"/>
      <c r="C803" s="567" t="s">
        <v>1648</v>
      </c>
      <c r="D803" s="567"/>
      <c r="E803" s="567"/>
      <c r="F803" s="567"/>
      <c r="G803" s="568" t="s">
        <v>1736</v>
      </c>
      <c r="H803" s="568" t="s">
        <v>296</v>
      </c>
      <c r="I803" s="239" t="str">
        <f>IF(ISBLANK(regional!I428),"",regional!I428)</f>
        <v/>
      </c>
      <c r="K803" s="262" t="s">
        <v>4249</v>
      </c>
      <c r="N803" s="262" t="s">
        <v>4249</v>
      </c>
    </row>
    <row r="804" spans="1:14" ht="12.75" customHeight="1" x14ac:dyDescent="0.2">
      <c r="A804" s="567"/>
      <c r="B804" s="567"/>
      <c r="C804" s="567" t="s">
        <v>1650</v>
      </c>
      <c r="D804" s="567"/>
      <c r="E804" s="567"/>
      <c r="F804" s="567"/>
      <c r="G804" s="568" t="s">
        <v>1737</v>
      </c>
      <c r="H804" s="568" t="s">
        <v>296</v>
      </c>
      <c r="I804" s="239" t="str">
        <f>IF(ISBLANK(regional!I429),"",regional!I429)</f>
        <v/>
      </c>
      <c r="K804" s="262" t="s">
        <v>4249</v>
      </c>
      <c r="N804" s="262" t="s">
        <v>4249</v>
      </c>
    </row>
    <row r="805" spans="1:14" ht="12.75" customHeight="1" x14ac:dyDescent="0.2">
      <c r="A805" s="567"/>
      <c r="B805" s="567"/>
      <c r="C805" s="567" t="s">
        <v>1652</v>
      </c>
      <c r="D805" s="567"/>
      <c r="E805" s="567"/>
      <c r="F805" s="567"/>
      <c r="G805" s="568" t="s">
        <v>1738</v>
      </c>
      <c r="H805" s="568" t="s">
        <v>296</v>
      </c>
      <c r="I805" s="239" t="str">
        <f>IF(ISBLANK(regional!I430),"",regional!I430)</f>
        <v/>
      </c>
      <c r="K805" s="262" t="s">
        <v>4249</v>
      </c>
      <c r="N805" s="262" t="s">
        <v>4249</v>
      </c>
    </row>
    <row r="806" spans="1:14" ht="12.75" customHeight="1" x14ac:dyDescent="0.2">
      <c r="A806" s="567" t="s">
        <v>1739</v>
      </c>
      <c r="B806" s="567"/>
      <c r="C806" s="567"/>
      <c r="D806" s="567"/>
      <c r="E806" s="567"/>
      <c r="F806" s="567"/>
      <c r="G806" s="568" t="s">
        <v>1740</v>
      </c>
      <c r="H806" s="568" t="s">
        <v>340</v>
      </c>
      <c r="I806" s="239" t="str">
        <f>IF(ISBLANK(regional!I431),"",regional!I431)</f>
        <v/>
      </c>
      <c r="K806" s="262">
        <v>0</v>
      </c>
      <c r="N806" s="262" t="s">
        <v>4249</v>
      </c>
    </row>
    <row r="807" spans="1:14" ht="12.75" customHeight="1" x14ac:dyDescent="0.2">
      <c r="A807" s="567"/>
      <c r="B807" s="567" t="s">
        <v>1676</v>
      </c>
      <c r="C807" s="567"/>
      <c r="D807" s="567"/>
      <c r="E807" s="567"/>
      <c r="F807" s="567"/>
      <c r="G807" s="568" t="s">
        <v>1741</v>
      </c>
      <c r="H807" s="568" t="s">
        <v>873</v>
      </c>
      <c r="I807" s="239" t="str">
        <f>IF(ISBLANK(regional!I432),"",regional!I432)</f>
        <v/>
      </c>
      <c r="K807" s="262" t="s">
        <v>4249</v>
      </c>
      <c r="N807" s="262" t="s">
        <v>4249</v>
      </c>
    </row>
    <row r="808" spans="1:14" ht="12.75" customHeight="1" x14ac:dyDescent="0.2">
      <c r="A808" s="567"/>
      <c r="B808" s="567" t="s">
        <v>1683</v>
      </c>
      <c r="C808" s="567"/>
      <c r="D808" s="567"/>
      <c r="E808" s="567"/>
      <c r="F808" s="567"/>
      <c r="G808" s="568" t="s">
        <v>1742</v>
      </c>
      <c r="H808" s="568" t="s">
        <v>1680</v>
      </c>
      <c r="I808" s="239" t="str">
        <f>IF(ISBLANK(regional!I433),"",regional!I433)</f>
        <v/>
      </c>
      <c r="K808" s="262" t="s">
        <v>4249</v>
      </c>
      <c r="N808" s="262" t="s">
        <v>4249</v>
      </c>
    </row>
    <row r="809" spans="1:14" ht="12.75" customHeight="1" x14ac:dyDescent="0.2">
      <c r="A809" s="567"/>
      <c r="B809" s="567"/>
      <c r="C809" s="567" t="s">
        <v>1648</v>
      </c>
      <c r="D809" s="567"/>
      <c r="E809" s="567"/>
      <c r="F809" s="567"/>
      <c r="G809" s="568" t="s">
        <v>1743</v>
      </c>
      <c r="H809" s="568" t="s">
        <v>296</v>
      </c>
      <c r="I809" s="239" t="str">
        <f>IF(ISBLANK(regional!I434),"",regional!I434)</f>
        <v/>
      </c>
      <c r="K809" s="262" t="s">
        <v>4249</v>
      </c>
      <c r="N809" s="262" t="s">
        <v>4249</v>
      </c>
    </row>
    <row r="810" spans="1:14" ht="12.75" customHeight="1" x14ac:dyDescent="0.2">
      <c r="A810" s="567"/>
      <c r="B810" s="567"/>
      <c r="C810" s="567" t="s">
        <v>1650</v>
      </c>
      <c r="D810" s="567"/>
      <c r="E810" s="567"/>
      <c r="F810" s="567"/>
      <c r="G810" s="568" t="s">
        <v>1744</v>
      </c>
      <c r="H810" s="568" t="s">
        <v>296</v>
      </c>
      <c r="I810" s="239" t="str">
        <f>IF(ISBLANK(regional!I435),"",regional!I435)</f>
        <v/>
      </c>
      <c r="K810" s="262" t="s">
        <v>4249</v>
      </c>
      <c r="N810" s="262" t="s">
        <v>4249</v>
      </c>
    </row>
    <row r="811" spans="1:14" ht="12.75" customHeight="1" x14ac:dyDescent="0.2">
      <c r="A811" s="567"/>
      <c r="B811" s="567"/>
      <c r="C811" s="567" t="s">
        <v>1652</v>
      </c>
      <c r="D811" s="567"/>
      <c r="E811" s="567"/>
      <c r="F811" s="567"/>
      <c r="G811" s="568" t="s">
        <v>1745</v>
      </c>
      <c r="H811" s="568" t="s">
        <v>296</v>
      </c>
      <c r="I811" s="239" t="str">
        <f>IF(ISBLANK(regional!I436),"",regional!I436)</f>
        <v/>
      </c>
      <c r="K811" s="262" t="s">
        <v>4249</v>
      </c>
      <c r="N811" s="262" t="s">
        <v>4249</v>
      </c>
    </row>
    <row r="812" spans="1:14" ht="12.75" customHeight="1" x14ac:dyDescent="0.2">
      <c r="A812" s="567" t="s">
        <v>1746</v>
      </c>
      <c r="B812" s="567"/>
      <c r="C812" s="567"/>
      <c r="D812" s="567"/>
      <c r="E812" s="567"/>
      <c r="F812" s="567"/>
      <c r="G812" s="568" t="s">
        <v>1747</v>
      </c>
      <c r="H812" s="568" t="s">
        <v>340</v>
      </c>
      <c r="I812" s="239" t="str">
        <f>IF(ISBLANK(regional!I437),"",regional!I437)</f>
        <v/>
      </c>
      <c r="K812" s="262" t="s">
        <v>4249</v>
      </c>
      <c r="N812" s="262" t="s">
        <v>4249</v>
      </c>
    </row>
    <row r="813" spans="1:14" ht="12.75" customHeight="1" x14ac:dyDescent="0.2">
      <c r="A813" s="567" t="s">
        <v>1749</v>
      </c>
      <c r="B813" s="567"/>
      <c r="C813" s="567"/>
      <c r="D813" s="567"/>
      <c r="E813" s="567"/>
      <c r="F813" s="567"/>
      <c r="G813" s="568" t="s">
        <v>1750</v>
      </c>
      <c r="H813" s="568" t="s">
        <v>340</v>
      </c>
      <c r="I813" s="239" t="str">
        <f>IF(ISBLANK(regional!I438),"",regional!I438)</f>
        <v/>
      </c>
      <c r="K813" s="262">
        <v>0</v>
      </c>
      <c r="N813" s="262" t="s">
        <v>4249</v>
      </c>
    </row>
    <row r="814" spans="1:14" ht="12.75" customHeight="1" x14ac:dyDescent="0.2">
      <c r="A814" s="567" t="s">
        <v>1751</v>
      </c>
      <c r="B814" s="567"/>
      <c r="C814" s="567"/>
      <c r="D814" s="567"/>
      <c r="E814" s="567"/>
      <c r="F814" s="567"/>
      <c r="G814" s="568" t="s">
        <v>1752</v>
      </c>
      <c r="H814" s="568" t="s">
        <v>340</v>
      </c>
      <c r="I814" s="239" t="str">
        <f>IF(ISBLANK(regional!I439),"",regional!I439)</f>
        <v/>
      </c>
      <c r="K814" s="262">
        <v>0</v>
      </c>
      <c r="L814" s="262" t="s">
        <v>4249</v>
      </c>
      <c r="M814" s="262" t="s">
        <v>4249</v>
      </c>
      <c r="N814" s="262" t="s">
        <v>4249</v>
      </c>
    </row>
    <row r="815" spans="1:14" ht="12.75" customHeight="1" x14ac:dyDescent="0.2">
      <c r="A815" s="567" t="s">
        <v>1753</v>
      </c>
      <c r="B815" s="567"/>
      <c r="C815" s="567"/>
      <c r="D815" s="567"/>
      <c r="E815" s="567"/>
      <c r="F815" s="567"/>
      <c r="G815" s="568" t="s">
        <v>1754</v>
      </c>
      <c r="H815" s="568" t="s">
        <v>340</v>
      </c>
      <c r="I815" s="239" t="str">
        <f>IF(ISBLANK(regional!I440),"",regional!I440)</f>
        <v/>
      </c>
      <c r="J815" s="228"/>
      <c r="K815" s="262">
        <v>0</v>
      </c>
      <c r="L815" s="262">
        <v>0</v>
      </c>
      <c r="M815" s="262">
        <v>0</v>
      </c>
      <c r="N815" s="262" t="s">
        <v>4249</v>
      </c>
    </row>
    <row r="816" spans="1:14" ht="12.75" customHeight="1" x14ac:dyDescent="0.2">
      <c r="A816" s="567"/>
      <c r="B816" s="567" t="s">
        <v>1676</v>
      </c>
      <c r="C816" s="567"/>
      <c r="D816" s="567"/>
      <c r="E816" s="567"/>
      <c r="F816" s="567"/>
      <c r="G816" s="568" t="s">
        <v>1755</v>
      </c>
      <c r="H816" s="568" t="s">
        <v>873</v>
      </c>
      <c r="I816" s="239" t="str">
        <f>IF(ISBLANK(regional!I441),"",regional!I441)</f>
        <v/>
      </c>
      <c r="J816" s="411"/>
      <c r="K816" s="262" t="s">
        <v>4249</v>
      </c>
      <c r="L816" s="262" t="s">
        <v>4249</v>
      </c>
      <c r="M816" s="262" t="s">
        <v>4249</v>
      </c>
      <c r="N816" s="262" t="s">
        <v>4249</v>
      </c>
    </row>
    <row r="817" spans="1:14" ht="12.75" customHeight="1" x14ac:dyDescent="0.2">
      <c r="A817" s="567"/>
      <c r="B817" s="567"/>
      <c r="C817" s="567" t="s">
        <v>1756</v>
      </c>
      <c r="D817" s="567"/>
      <c r="E817" s="567"/>
      <c r="F817" s="567"/>
      <c r="G817" s="567" t="s">
        <v>1757</v>
      </c>
      <c r="H817" s="568" t="s">
        <v>1680</v>
      </c>
      <c r="I817" s="239" t="str">
        <f>IF(ISBLANK(regional!I442),"",regional!I442)</f>
        <v/>
      </c>
      <c r="J817" s="228"/>
      <c r="K817" s="262" t="s">
        <v>4249</v>
      </c>
      <c r="L817" s="262" t="s">
        <v>4249</v>
      </c>
      <c r="M817" s="262" t="s">
        <v>4249</v>
      </c>
      <c r="N817" s="262" t="s">
        <v>4249</v>
      </c>
    </row>
    <row r="818" spans="1:14" ht="12.75" customHeight="1" x14ac:dyDescent="0.2">
      <c r="A818" s="567"/>
      <c r="B818" s="567"/>
      <c r="C818" s="567" t="s">
        <v>1758</v>
      </c>
      <c r="D818" s="567"/>
      <c r="E818" s="567"/>
      <c r="F818" s="567"/>
      <c r="G818" s="568" t="s">
        <v>1759</v>
      </c>
      <c r="H818" s="568" t="s">
        <v>1680</v>
      </c>
      <c r="I818" s="239" t="str">
        <f>IF(ISBLANK(regional!I443),"",regional!I443)</f>
        <v/>
      </c>
      <c r="K818" s="262" t="s">
        <v>4249</v>
      </c>
      <c r="L818" s="262" t="s">
        <v>4249</v>
      </c>
      <c r="M818" s="262" t="s">
        <v>4249</v>
      </c>
      <c r="N818" s="262" t="s">
        <v>4249</v>
      </c>
    </row>
    <row r="819" spans="1:14" ht="12.75" customHeight="1" x14ac:dyDescent="0.2">
      <c r="A819" s="567"/>
      <c r="B819" s="567"/>
      <c r="C819" s="567" t="s">
        <v>1760</v>
      </c>
      <c r="D819" s="567"/>
      <c r="E819" s="567"/>
      <c r="F819" s="567"/>
      <c r="G819" s="568" t="s">
        <v>1761</v>
      </c>
      <c r="H819" s="568" t="s">
        <v>873</v>
      </c>
      <c r="I819" s="239" t="str">
        <f>IF(ISBLANK(regional!I444),"",regional!I444)</f>
        <v/>
      </c>
      <c r="K819" s="262" t="s">
        <v>4249</v>
      </c>
      <c r="L819" s="262" t="s">
        <v>4249</v>
      </c>
      <c r="M819" s="262" t="s">
        <v>4249</v>
      </c>
      <c r="N819" s="262" t="s">
        <v>4249</v>
      </c>
    </row>
    <row r="820" spans="1:14" ht="12.75" customHeight="1" x14ac:dyDescent="0.2">
      <c r="A820" s="567"/>
      <c r="B820" s="567"/>
      <c r="C820" s="567"/>
      <c r="D820" s="567" t="s">
        <v>1648</v>
      </c>
      <c r="E820" s="567"/>
      <c r="F820" s="567"/>
      <c r="G820" s="568" t="s">
        <v>1762</v>
      </c>
      <c r="H820" s="568" t="s">
        <v>296</v>
      </c>
      <c r="I820" s="239" t="str">
        <f>IF(ISBLANK(regional!I445),"",regional!I445)</f>
        <v/>
      </c>
      <c r="K820" s="262" t="s">
        <v>4249</v>
      </c>
      <c r="L820" s="262" t="s">
        <v>4249</v>
      </c>
      <c r="M820" s="262" t="s">
        <v>4249</v>
      </c>
      <c r="N820" s="262" t="s">
        <v>4249</v>
      </c>
    </row>
    <row r="821" spans="1:14" ht="12.75" customHeight="1" x14ac:dyDescent="0.2">
      <c r="A821" s="567"/>
      <c r="B821" s="567"/>
      <c r="C821" s="567"/>
      <c r="D821" s="567" t="s">
        <v>1652</v>
      </c>
      <c r="E821" s="567"/>
      <c r="F821" s="567"/>
      <c r="G821" s="568" t="s">
        <v>1763</v>
      </c>
      <c r="H821" s="568" t="s">
        <v>296</v>
      </c>
      <c r="I821" s="239" t="str">
        <f>IF(ISBLANK(regional!I446),"",regional!I446)</f>
        <v/>
      </c>
      <c r="K821" s="262" t="s">
        <v>4249</v>
      </c>
      <c r="L821" s="262" t="s">
        <v>4249</v>
      </c>
      <c r="M821" s="262" t="s">
        <v>4249</v>
      </c>
      <c r="N821" s="262" t="s">
        <v>4249</v>
      </c>
    </row>
    <row r="822" spans="1:14" ht="12.75" customHeight="1" x14ac:dyDescent="0.2">
      <c r="A822" s="567" t="s">
        <v>1764</v>
      </c>
      <c r="B822" s="567"/>
      <c r="C822" s="567"/>
      <c r="D822" s="567"/>
      <c r="E822" s="567"/>
      <c r="F822" s="567"/>
      <c r="G822" s="568" t="s">
        <v>1765</v>
      </c>
      <c r="H822" s="568" t="s">
        <v>340</v>
      </c>
      <c r="I822" s="239" t="str">
        <f>IF(ISBLANK(regional!I447),"",regional!I447)</f>
        <v/>
      </c>
      <c r="K822" s="262" t="s">
        <v>4249</v>
      </c>
      <c r="L822" s="262" t="s">
        <v>4249</v>
      </c>
      <c r="M822" s="262" t="s">
        <v>4249</v>
      </c>
      <c r="N822" s="262" t="s">
        <v>4249</v>
      </c>
    </row>
    <row r="823" spans="1:14" ht="12.75" customHeight="1" x14ac:dyDescent="0.2">
      <c r="A823" s="567"/>
      <c r="B823" s="567" t="s">
        <v>1676</v>
      </c>
      <c r="C823" s="567"/>
      <c r="D823" s="567"/>
      <c r="E823" s="567"/>
      <c r="F823" s="567"/>
      <c r="G823" s="568" t="s">
        <v>1766</v>
      </c>
      <c r="H823" s="568" t="s">
        <v>873</v>
      </c>
      <c r="I823" s="239" t="str">
        <f>IF(ISBLANK(regional!I448),"",regional!I448)</f>
        <v/>
      </c>
      <c r="K823" s="262" t="s">
        <v>4249</v>
      </c>
      <c r="L823" s="262" t="s">
        <v>4249</v>
      </c>
      <c r="M823" s="262" t="s">
        <v>4249</v>
      </c>
      <c r="N823" s="262" t="s">
        <v>4249</v>
      </c>
    </row>
    <row r="824" spans="1:14" ht="12.75" customHeight="1" x14ac:dyDescent="0.2">
      <c r="A824" s="567"/>
      <c r="B824" s="567"/>
      <c r="C824" s="567" t="s">
        <v>1767</v>
      </c>
      <c r="D824" s="567"/>
      <c r="E824" s="567"/>
      <c r="F824" s="567"/>
      <c r="G824" s="567" t="s">
        <v>1768</v>
      </c>
      <c r="H824" s="568" t="s">
        <v>1680</v>
      </c>
      <c r="I824" s="239" t="str">
        <f>IF(ISBLANK(regional!I449),"",regional!I449)</f>
        <v/>
      </c>
      <c r="K824" s="262" t="s">
        <v>4249</v>
      </c>
      <c r="L824" s="262" t="s">
        <v>4249</v>
      </c>
      <c r="M824" s="262" t="s">
        <v>4249</v>
      </c>
      <c r="N824" s="262" t="s">
        <v>4249</v>
      </c>
    </row>
    <row r="825" spans="1:14" ht="12.75" customHeight="1" x14ac:dyDescent="0.2">
      <c r="A825" s="567" t="s">
        <v>1769</v>
      </c>
      <c r="B825" s="567"/>
      <c r="C825" s="567"/>
      <c r="D825" s="567"/>
      <c r="E825" s="567"/>
      <c r="F825" s="567"/>
      <c r="G825" s="568" t="s">
        <v>1770</v>
      </c>
      <c r="H825" s="568" t="s">
        <v>340</v>
      </c>
      <c r="I825" s="239" t="str">
        <f>IF(ISBLANK(regional!I450),"",regional!I450)</f>
        <v/>
      </c>
      <c r="K825" s="262">
        <v>0</v>
      </c>
      <c r="L825" s="262">
        <v>0</v>
      </c>
      <c r="M825" s="262">
        <v>0</v>
      </c>
      <c r="N825" s="262" t="s">
        <v>4249</v>
      </c>
    </row>
    <row r="826" spans="1:14" ht="12.75" customHeight="1" x14ac:dyDescent="0.2">
      <c r="A826" s="567"/>
      <c r="B826" s="567" t="s">
        <v>1676</v>
      </c>
      <c r="C826" s="567"/>
      <c r="D826" s="567"/>
      <c r="E826" s="567"/>
      <c r="F826" s="567"/>
      <c r="G826" s="568" t="s">
        <v>1771</v>
      </c>
      <c r="H826" s="568" t="s">
        <v>873</v>
      </c>
      <c r="I826" s="239" t="str">
        <f>IF(ISBLANK(regional!I451),"",regional!I451)</f>
        <v/>
      </c>
      <c r="K826" s="262" t="s">
        <v>4249</v>
      </c>
      <c r="L826" s="262" t="s">
        <v>4249</v>
      </c>
      <c r="M826" s="262" t="s">
        <v>4249</v>
      </c>
      <c r="N826" s="262" t="s">
        <v>4249</v>
      </c>
    </row>
    <row r="827" spans="1:14" ht="12.75" customHeight="1" x14ac:dyDescent="0.2">
      <c r="A827" s="567"/>
      <c r="B827" s="567"/>
      <c r="C827" s="567" t="s">
        <v>1772</v>
      </c>
      <c r="D827" s="567"/>
      <c r="E827" s="567"/>
      <c r="F827" s="567"/>
      <c r="G827" s="567" t="s">
        <v>1773</v>
      </c>
      <c r="H827" s="568" t="s">
        <v>1680</v>
      </c>
      <c r="I827" s="239" t="str">
        <f>IF(ISBLANK(regional!I452),"",regional!I452)</f>
        <v/>
      </c>
      <c r="K827" s="262" t="s">
        <v>4249</v>
      </c>
      <c r="L827" s="262" t="s">
        <v>4249</v>
      </c>
      <c r="M827" s="262" t="s">
        <v>4249</v>
      </c>
      <c r="N827" s="262" t="s">
        <v>4249</v>
      </c>
    </row>
    <row r="828" spans="1:14" ht="12.75" customHeight="1" x14ac:dyDescent="0.2">
      <c r="A828" s="567" t="s">
        <v>1774</v>
      </c>
      <c r="B828" s="567"/>
      <c r="C828" s="567"/>
      <c r="D828" s="567"/>
      <c r="E828" s="567"/>
      <c r="F828" s="567"/>
      <c r="G828" s="567" t="s">
        <v>1775</v>
      </c>
      <c r="H828" s="568" t="s">
        <v>340</v>
      </c>
      <c r="I828" s="239" t="str">
        <f>IF(ISBLANK(regional!I453),"",regional!I453)</f>
        <v/>
      </c>
      <c r="K828" s="262">
        <v>0</v>
      </c>
      <c r="L828" s="262">
        <v>0</v>
      </c>
      <c r="M828" s="262">
        <v>0</v>
      </c>
      <c r="N828" s="262" t="s">
        <v>4249</v>
      </c>
    </row>
    <row r="829" spans="1:14" ht="12.75" customHeight="1" x14ac:dyDescent="0.2">
      <c r="A829" s="567"/>
      <c r="B829" s="567" t="s">
        <v>1676</v>
      </c>
      <c r="C829" s="567"/>
      <c r="D829" s="567"/>
      <c r="E829" s="567"/>
      <c r="F829" s="567"/>
      <c r="G829" s="568" t="s">
        <v>1776</v>
      </c>
      <c r="H829" s="568" t="s">
        <v>873</v>
      </c>
      <c r="I829" s="239" t="str">
        <f>IF(ISBLANK(regional!I454),"",regional!I454)</f>
        <v/>
      </c>
      <c r="K829" s="262" t="s">
        <v>4249</v>
      </c>
      <c r="N829" s="262" t="s">
        <v>4249</v>
      </c>
    </row>
    <row r="830" spans="1:14" ht="12.75" customHeight="1" x14ac:dyDescent="0.2">
      <c r="A830" s="567"/>
      <c r="B830" s="567"/>
      <c r="C830" s="567" t="s">
        <v>1777</v>
      </c>
      <c r="D830" s="567"/>
      <c r="E830" s="567"/>
      <c r="F830" s="567"/>
      <c r="G830" s="568" t="s">
        <v>1778</v>
      </c>
      <c r="H830" s="568" t="s">
        <v>1680</v>
      </c>
      <c r="I830" s="239" t="str">
        <f>IF(ISBLANK(regional!I455),"",regional!I455)</f>
        <v/>
      </c>
      <c r="K830" s="262" t="s">
        <v>4249</v>
      </c>
      <c r="N830" s="262" t="s">
        <v>4249</v>
      </c>
    </row>
    <row r="831" spans="1:14" ht="12.75" customHeight="1" x14ac:dyDescent="0.2">
      <c r="A831" s="567"/>
      <c r="B831" s="567"/>
      <c r="C831" s="567"/>
      <c r="D831" s="567" t="s">
        <v>1648</v>
      </c>
      <c r="E831" s="567"/>
      <c r="F831" s="567"/>
      <c r="G831" s="568" t="s">
        <v>1779</v>
      </c>
      <c r="H831" s="568" t="s">
        <v>296</v>
      </c>
      <c r="I831" s="239" t="str">
        <f>IF(ISBLANK(regional!I456),"",regional!I456)</f>
        <v/>
      </c>
      <c r="K831" s="262" t="s">
        <v>4249</v>
      </c>
      <c r="N831" s="262" t="s">
        <v>4249</v>
      </c>
    </row>
    <row r="832" spans="1:14" ht="12.75" customHeight="1" x14ac:dyDescent="0.2">
      <c r="A832" s="567"/>
      <c r="B832" s="567"/>
      <c r="C832" s="567"/>
      <c r="D832" s="567" t="s">
        <v>1652</v>
      </c>
      <c r="E832" s="567"/>
      <c r="F832" s="567"/>
      <c r="G832" s="568" t="s">
        <v>1780</v>
      </c>
      <c r="H832" s="568" t="s">
        <v>296</v>
      </c>
      <c r="I832" s="239" t="str">
        <f>IF(ISBLANK(regional!I457),"",regional!I457)</f>
        <v/>
      </c>
      <c r="K832" s="262" t="s">
        <v>4249</v>
      </c>
      <c r="N832" s="262" t="s">
        <v>4249</v>
      </c>
    </row>
    <row r="833" spans="1:14" ht="12.75" customHeight="1" x14ac:dyDescent="0.2">
      <c r="A833" s="567" t="s">
        <v>1781</v>
      </c>
      <c r="B833" s="567"/>
      <c r="C833" s="567"/>
      <c r="D833" s="567"/>
      <c r="E833" s="567"/>
      <c r="F833" s="567"/>
      <c r="G833" s="567" t="s">
        <v>1782</v>
      </c>
      <c r="H833" s="568" t="s">
        <v>340</v>
      </c>
      <c r="I833" s="239" t="str">
        <f>IF(ISBLANK(regional!I458),"",regional!I458)</f>
        <v/>
      </c>
      <c r="K833" s="262" t="s">
        <v>4249</v>
      </c>
      <c r="N833" s="262" t="s">
        <v>4249</v>
      </c>
    </row>
    <row r="834" spans="1:14" ht="12.75" customHeight="1" x14ac:dyDescent="0.2">
      <c r="A834" s="567"/>
      <c r="B834" s="567" t="s">
        <v>1676</v>
      </c>
      <c r="C834" s="567"/>
      <c r="D834" s="567"/>
      <c r="E834" s="567"/>
      <c r="F834" s="567"/>
      <c r="G834" s="568" t="s">
        <v>1783</v>
      </c>
      <c r="H834" s="568" t="s">
        <v>873</v>
      </c>
      <c r="I834" s="239" t="str">
        <f>IF(ISBLANK(regional!I459),"",regional!I459)</f>
        <v/>
      </c>
      <c r="K834" s="262" t="s">
        <v>4249</v>
      </c>
      <c r="N834" s="262" t="s">
        <v>4249</v>
      </c>
    </row>
    <row r="835" spans="1:14" ht="12.75" customHeight="1" x14ac:dyDescent="0.2">
      <c r="A835" s="567" t="s">
        <v>1784</v>
      </c>
      <c r="B835" s="567"/>
      <c r="C835" s="567"/>
      <c r="D835" s="567"/>
      <c r="E835" s="567"/>
      <c r="F835" s="567"/>
      <c r="G835" s="567" t="s">
        <v>1785</v>
      </c>
      <c r="H835" s="568" t="s">
        <v>340</v>
      </c>
      <c r="I835" s="239" t="str">
        <f>IF(ISBLANK(regional!I460),"",regional!I460)</f>
        <v/>
      </c>
      <c r="K835" s="262">
        <v>0</v>
      </c>
      <c r="L835" s="262">
        <v>0</v>
      </c>
      <c r="M835" s="262">
        <v>0</v>
      </c>
      <c r="N835" s="262" t="s">
        <v>4249</v>
      </c>
    </row>
    <row r="836" spans="1:14" ht="12.75" customHeight="1" x14ac:dyDescent="0.2">
      <c r="A836" s="567"/>
      <c r="B836" s="567" t="s">
        <v>1676</v>
      </c>
      <c r="C836" s="567"/>
      <c r="D836" s="567"/>
      <c r="E836" s="567"/>
      <c r="F836" s="567"/>
      <c r="G836" s="568" t="s">
        <v>1786</v>
      </c>
      <c r="H836" s="568" t="s">
        <v>873</v>
      </c>
      <c r="I836" s="239" t="str">
        <f>IF(ISBLANK(regional!I461),"",regional!I461)</f>
        <v/>
      </c>
      <c r="K836" s="262" t="s">
        <v>4249</v>
      </c>
      <c r="L836" s="262" t="s">
        <v>4249</v>
      </c>
      <c r="M836" s="262" t="s">
        <v>4249</v>
      </c>
      <c r="N836" s="262" t="s">
        <v>4249</v>
      </c>
    </row>
    <row r="837" spans="1:14" ht="12.75" customHeight="1" x14ac:dyDescent="0.2">
      <c r="A837" s="567" t="s">
        <v>1787</v>
      </c>
      <c r="B837" s="567"/>
      <c r="C837" s="567"/>
      <c r="D837" s="567"/>
      <c r="E837" s="567"/>
      <c r="F837" s="567"/>
      <c r="G837" s="567" t="s">
        <v>1788</v>
      </c>
      <c r="H837" s="568" t="s">
        <v>340</v>
      </c>
      <c r="I837" s="239" t="str">
        <f>IF(ISBLANK(regional!I462),"",regional!I462)</f>
        <v/>
      </c>
      <c r="K837" s="262">
        <v>0</v>
      </c>
      <c r="L837" s="262">
        <v>0</v>
      </c>
      <c r="M837" s="262">
        <v>0</v>
      </c>
      <c r="N837" s="262" t="s">
        <v>4249</v>
      </c>
    </row>
    <row r="838" spans="1:14" ht="12.75" customHeight="1" x14ac:dyDescent="0.2">
      <c r="A838" s="567" t="s">
        <v>1789</v>
      </c>
      <c r="B838" s="567"/>
      <c r="C838" s="567"/>
      <c r="D838" s="567"/>
      <c r="E838" s="567"/>
      <c r="F838" s="567"/>
      <c r="G838" s="567" t="s">
        <v>1790</v>
      </c>
      <c r="H838" s="568" t="s">
        <v>340</v>
      </c>
      <c r="I838" s="239" t="str">
        <f>IF(ISBLANK(regional!I463),"",regional!I463)</f>
        <v/>
      </c>
      <c r="K838" s="262" t="s">
        <v>4249</v>
      </c>
      <c r="L838" s="262" t="s">
        <v>4249</v>
      </c>
      <c r="M838" s="262" t="s">
        <v>4249</v>
      </c>
      <c r="N838" s="262" t="s">
        <v>4249</v>
      </c>
    </row>
    <row r="839" spans="1:14" ht="12.75" customHeight="1" x14ac:dyDescent="0.2">
      <c r="A839" s="567" t="s">
        <v>1791</v>
      </c>
      <c r="B839" s="567"/>
      <c r="C839" s="567"/>
      <c r="D839" s="567"/>
      <c r="E839" s="567"/>
      <c r="F839" s="567"/>
      <c r="G839" s="567" t="s">
        <v>1792</v>
      </c>
      <c r="H839" s="568" t="s">
        <v>340</v>
      </c>
      <c r="I839" s="239" t="str">
        <f>IF(ISBLANK(regional!I464),"",regional!I464)</f>
        <v/>
      </c>
      <c r="K839" s="262">
        <v>0</v>
      </c>
      <c r="L839" s="262">
        <v>0</v>
      </c>
      <c r="M839" s="262">
        <v>0</v>
      </c>
      <c r="N839" s="262" t="s">
        <v>4249</v>
      </c>
    </row>
    <row r="840" spans="1:14" ht="12.75" customHeight="1" x14ac:dyDescent="0.2">
      <c r="A840" s="583" t="s">
        <v>1793</v>
      </c>
      <c r="B840" s="583"/>
      <c r="C840" s="583"/>
      <c r="D840" s="583"/>
      <c r="E840" s="583"/>
      <c r="F840" s="583"/>
      <c r="G840" s="582" t="s">
        <v>1794</v>
      </c>
      <c r="H840" s="582" t="s">
        <v>340</v>
      </c>
      <c r="I840" s="239" t="str">
        <f>IF(ISBLANK(regional!I465),"",regional!I465)</f>
        <v/>
      </c>
      <c r="K840" s="262" t="s">
        <v>4249</v>
      </c>
      <c r="L840" s="262" t="s">
        <v>4249</v>
      </c>
      <c r="M840" s="262" t="s">
        <v>4249</v>
      </c>
      <c r="N840" s="262" t="s">
        <v>4249</v>
      </c>
    </row>
    <row r="841" spans="1:14" ht="12.75" customHeight="1" x14ac:dyDescent="0.2">
      <c r="A841" s="567" t="s">
        <v>1796</v>
      </c>
      <c r="B841" s="567"/>
      <c r="C841" s="567"/>
      <c r="D841" s="567"/>
      <c r="E841" s="567"/>
      <c r="F841" s="567"/>
      <c r="G841" s="568" t="s">
        <v>1797</v>
      </c>
      <c r="H841" s="568" t="s">
        <v>340</v>
      </c>
      <c r="I841" s="239" t="str">
        <f>IF(ISBLANK(regional!I466),"",regional!I466)</f>
        <v/>
      </c>
      <c r="K841" s="262">
        <v>0</v>
      </c>
      <c r="L841" s="262" t="s">
        <v>4249</v>
      </c>
      <c r="M841" s="262" t="s">
        <v>4249</v>
      </c>
      <c r="N841" s="262" t="s">
        <v>4249</v>
      </c>
    </row>
    <row r="842" spans="1:14" ht="12.75" customHeight="1" x14ac:dyDescent="0.2">
      <c r="A842" s="567" t="s">
        <v>1798</v>
      </c>
      <c r="B842" s="567"/>
      <c r="C842" s="567"/>
      <c r="D842" s="567"/>
      <c r="E842" s="567"/>
      <c r="F842" s="567"/>
      <c r="G842" s="568" t="s">
        <v>1799</v>
      </c>
      <c r="H842" s="568" t="s">
        <v>340</v>
      </c>
      <c r="I842" s="239" t="str">
        <f>IF(ISBLANK(regional!I467),"",regional!I467)</f>
        <v/>
      </c>
      <c r="K842" s="262">
        <v>0</v>
      </c>
      <c r="L842" s="262" t="s">
        <v>4249</v>
      </c>
      <c r="M842" s="262" t="s">
        <v>4249</v>
      </c>
      <c r="N842" s="262" t="s">
        <v>4249</v>
      </c>
    </row>
    <row r="843" spans="1:14" ht="12.75" customHeight="1" x14ac:dyDescent="0.2">
      <c r="A843" s="567" t="s">
        <v>1800</v>
      </c>
      <c r="B843" s="567"/>
      <c r="C843" s="567"/>
      <c r="D843" s="567"/>
      <c r="E843" s="567"/>
      <c r="F843" s="567"/>
      <c r="G843" s="568" t="s">
        <v>1801</v>
      </c>
      <c r="H843" s="568" t="s">
        <v>340</v>
      </c>
      <c r="I843" s="239" t="str">
        <f>IF(ISBLANK(regional!I468),"",regional!I468)</f>
        <v/>
      </c>
      <c r="K843" s="262" t="s">
        <v>4249</v>
      </c>
      <c r="L843" s="262" t="s">
        <v>4249</v>
      </c>
      <c r="M843" s="262" t="s">
        <v>4249</v>
      </c>
      <c r="N843" s="262" t="s">
        <v>4249</v>
      </c>
    </row>
    <row r="844" spans="1:14" ht="12.75" customHeight="1" x14ac:dyDescent="0.2">
      <c r="A844" s="567" t="s">
        <v>1802</v>
      </c>
      <c r="B844" s="567"/>
      <c r="C844" s="567"/>
      <c r="D844" s="567"/>
      <c r="E844" s="567"/>
      <c r="F844" s="567"/>
      <c r="G844" s="568" t="s">
        <v>1803</v>
      </c>
      <c r="H844" s="568" t="s">
        <v>340</v>
      </c>
      <c r="I844" s="239" t="str">
        <f>IF(ISBLANK(regional!I469),"",regional!I469)</f>
        <v/>
      </c>
      <c r="K844" s="262">
        <v>0</v>
      </c>
      <c r="L844" s="262" t="s">
        <v>4249</v>
      </c>
      <c r="M844" s="262" t="s">
        <v>4249</v>
      </c>
      <c r="N844" s="262" t="s">
        <v>4249</v>
      </c>
    </row>
    <row r="845" spans="1:14" ht="12.75" customHeight="1" x14ac:dyDescent="0.2">
      <c r="A845" s="567" t="s">
        <v>1804</v>
      </c>
      <c r="B845" s="567"/>
      <c r="C845" s="567"/>
      <c r="D845" s="567"/>
      <c r="E845" s="567"/>
      <c r="F845" s="567"/>
      <c r="G845" s="568" t="s">
        <v>1805</v>
      </c>
      <c r="H845" s="568" t="s">
        <v>340</v>
      </c>
      <c r="I845" s="239" t="str">
        <f>IF(ISBLANK(regional!I470),"",regional!I470)</f>
        <v/>
      </c>
      <c r="K845" s="262">
        <v>0</v>
      </c>
      <c r="L845" s="262" t="s">
        <v>4249</v>
      </c>
      <c r="M845" s="262" t="s">
        <v>4249</v>
      </c>
      <c r="N845" s="262" t="s">
        <v>4249</v>
      </c>
    </row>
    <row r="846" spans="1:14" ht="12.75" customHeight="1" x14ac:dyDescent="0.2">
      <c r="A846" s="567" t="s">
        <v>1806</v>
      </c>
      <c r="B846" s="567"/>
      <c r="C846" s="567"/>
      <c r="D846" s="567"/>
      <c r="E846" s="567"/>
      <c r="F846" s="567"/>
      <c r="G846" s="568" t="s">
        <v>1807</v>
      </c>
      <c r="H846" s="568" t="s">
        <v>340</v>
      </c>
      <c r="I846" s="239" t="str">
        <f>IF(ISBLANK(regional!I471),"",regional!I471)</f>
        <v/>
      </c>
      <c r="K846" s="262" t="s">
        <v>4249</v>
      </c>
      <c r="L846" s="262" t="s">
        <v>4249</v>
      </c>
      <c r="M846" s="262" t="s">
        <v>4249</v>
      </c>
      <c r="N846" s="262" t="s">
        <v>4249</v>
      </c>
    </row>
    <row r="847" spans="1:14" ht="12.75" customHeight="1" x14ac:dyDescent="0.2">
      <c r="A847" s="567" t="s">
        <v>1808</v>
      </c>
      <c r="B847" s="567"/>
      <c r="C847" s="567"/>
      <c r="D847" s="567"/>
      <c r="E847" s="567"/>
      <c r="F847" s="567"/>
      <c r="G847" s="568" t="s">
        <v>1809</v>
      </c>
      <c r="H847" s="568" t="s">
        <v>340</v>
      </c>
      <c r="I847" s="239" t="str">
        <f>IF(ISBLANK(regional!I472),"",regional!I472)</f>
        <v/>
      </c>
      <c r="K847" s="262">
        <v>0</v>
      </c>
      <c r="L847" s="262" t="s">
        <v>4249</v>
      </c>
      <c r="M847" s="262" t="s">
        <v>4249</v>
      </c>
      <c r="N847" s="262" t="s">
        <v>4249</v>
      </c>
    </row>
    <row r="848" spans="1:14" ht="12.75" customHeight="1" x14ac:dyDescent="0.2">
      <c r="A848" s="567" t="s">
        <v>1810</v>
      </c>
      <c r="B848" s="567"/>
      <c r="C848" s="567"/>
      <c r="D848" s="567"/>
      <c r="E848" s="567"/>
      <c r="F848" s="567"/>
      <c r="G848" s="568" t="s">
        <v>1811</v>
      </c>
      <c r="H848" s="568" t="s">
        <v>340</v>
      </c>
      <c r="I848" s="239" t="str">
        <f>IF(ISBLANK(regional!I473),"",regional!I473)</f>
        <v/>
      </c>
      <c r="K848" s="262">
        <v>0</v>
      </c>
      <c r="L848" s="262" t="s">
        <v>4249</v>
      </c>
      <c r="M848" s="262" t="s">
        <v>4249</v>
      </c>
      <c r="N848" s="262" t="s">
        <v>4249</v>
      </c>
    </row>
    <row r="849" spans="1:14" ht="12.75" customHeight="1" x14ac:dyDescent="0.2">
      <c r="A849" s="567" t="s">
        <v>1812</v>
      </c>
      <c r="B849" s="567"/>
      <c r="C849" s="567"/>
      <c r="D849" s="567"/>
      <c r="E849" s="567"/>
      <c r="F849" s="567"/>
      <c r="G849" s="568" t="s">
        <v>1813</v>
      </c>
      <c r="H849" s="568" t="s">
        <v>340</v>
      </c>
      <c r="I849" s="239" t="str">
        <f>IF(ISBLANK(regional!I474),"",regional!I474)</f>
        <v/>
      </c>
      <c r="J849" s="228"/>
      <c r="K849" s="262">
        <v>0</v>
      </c>
      <c r="L849" s="262">
        <v>0</v>
      </c>
      <c r="M849" s="262">
        <v>0</v>
      </c>
      <c r="N849" s="262" t="s">
        <v>4249</v>
      </c>
    </row>
    <row r="850" spans="1:14" ht="12.75" customHeight="1" x14ac:dyDescent="0.2">
      <c r="A850" s="567" t="s">
        <v>1814</v>
      </c>
      <c r="B850" s="567"/>
      <c r="C850" s="567"/>
      <c r="D850" s="567"/>
      <c r="E850" s="567"/>
      <c r="F850" s="567"/>
      <c r="G850" s="568" t="s">
        <v>1815</v>
      </c>
      <c r="H850" s="568" t="s">
        <v>340</v>
      </c>
      <c r="I850" s="239" t="str">
        <f>IF(ISBLANK(regional!I475),"",regional!I475)</f>
        <v/>
      </c>
      <c r="J850" s="411"/>
      <c r="K850" s="262" t="s">
        <v>4249</v>
      </c>
      <c r="L850" s="262" t="s">
        <v>4249</v>
      </c>
      <c r="M850" s="262" t="s">
        <v>4249</v>
      </c>
      <c r="N850" s="262" t="s">
        <v>4249</v>
      </c>
    </row>
    <row r="851" spans="1:14" ht="12.75" customHeight="1" x14ac:dyDescent="0.2">
      <c r="A851" s="567" t="s">
        <v>1816</v>
      </c>
      <c r="B851" s="567"/>
      <c r="C851" s="567"/>
      <c r="D851" s="567"/>
      <c r="E851" s="567"/>
      <c r="F851" s="567"/>
      <c r="G851" s="568" t="s">
        <v>1817</v>
      </c>
      <c r="H851" s="568" t="s">
        <v>340</v>
      </c>
      <c r="I851" s="239" t="str">
        <f>IF(ISBLANK(regional!I476),"",regional!I476)</f>
        <v/>
      </c>
      <c r="J851" s="228"/>
      <c r="K851" s="262">
        <v>0</v>
      </c>
      <c r="L851" s="262">
        <v>0</v>
      </c>
      <c r="M851" s="262">
        <v>0</v>
      </c>
      <c r="N851" s="262" t="s">
        <v>4249</v>
      </c>
    </row>
    <row r="852" spans="1:14" ht="12.75" customHeight="1" x14ac:dyDescent="0.2">
      <c r="A852" s="567" t="s">
        <v>1818</v>
      </c>
      <c r="B852" s="567"/>
      <c r="C852" s="567"/>
      <c r="D852" s="567"/>
      <c r="E852" s="567"/>
      <c r="F852" s="567"/>
      <c r="G852" s="568" t="s">
        <v>1819</v>
      </c>
      <c r="H852" s="568" t="s">
        <v>340</v>
      </c>
      <c r="I852" s="239" t="str">
        <f>IF(ISBLANK(regional!I477),"",regional!I477)</f>
        <v/>
      </c>
      <c r="K852" s="262">
        <v>0</v>
      </c>
      <c r="L852" s="262">
        <v>0</v>
      </c>
      <c r="M852" s="262">
        <v>0</v>
      </c>
      <c r="N852" s="262" t="s">
        <v>4249</v>
      </c>
    </row>
    <row r="853" spans="1:14" ht="12.75" customHeight="1" x14ac:dyDescent="0.2">
      <c r="A853" s="567" t="s">
        <v>1820</v>
      </c>
      <c r="B853" s="567"/>
      <c r="C853" s="567"/>
      <c r="D853" s="567"/>
      <c r="E853" s="567"/>
      <c r="F853" s="567"/>
      <c r="G853" s="568" t="s">
        <v>1821</v>
      </c>
      <c r="H853" s="568" t="s">
        <v>340</v>
      </c>
      <c r="I853" s="239" t="str">
        <f>IF(ISBLANK(regional!I478),"",regional!I478)</f>
        <v/>
      </c>
      <c r="K853" s="262" t="s">
        <v>4249</v>
      </c>
      <c r="L853" s="262" t="s">
        <v>4249</v>
      </c>
      <c r="M853" s="262" t="s">
        <v>4249</v>
      </c>
      <c r="N853" s="262" t="s">
        <v>4249</v>
      </c>
    </row>
    <row r="854" spans="1:14" ht="12.75" customHeight="1" x14ac:dyDescent="0.2">
      <c r="A854" s="567" t="s">
        <v>1822</v>
      </c>
      <c r="B854" s="567"/>
      <c r="C854" s="567"/>
      <c r="D854" s="567"/>
      <c r="E854" s="567"/>
      <c r="F854" s="567"/>
      <c r="G854" s="568" t="s">
        <v>1823</v>
      </c>
      <c r="H854" s="568" t="s">
        <v>340</v>
      </c>
      <c r="I854" s="239" t="str">
        <f>IF(ISBLANK(regional!I479),"",regional!I479)</f>
        <v/>
      </c>
      <c r="K854" s="262">
        <v>0</v>
      </c>
      <c r="L854" s="262">
        <v>0</v>
      </c>
      <c r="M854" s="262">
        <v>0</v>
      </c>
      <c r="N854" s="262" t="s">
        <v>4249</v>
      </c>
    </row>
    <row r="855" spans="1:14" ht="12.75" customHeight="1" x14ac:dyDescent="0.2">
      <c r="A855" s="567" t="s">
        <v>1824</v>
      </c>
      <c r="B855" s="567"/>
      <c r="C855" s="567"/>
      <c r="D855" s="567"/>
      <c r="E855" s="567"/>
      <c r="F855" s="567"/>
      <c r="G855" s="568" t="s">
        <v>1825</v>
      </c>
      <c r="H855" s="568" t="s">
        <v>340</v>
      </c>
      <c r="I855" s="239" t="str">
        <f>IF(ISBLANK(regional!I480),"",regional!I480)</f>
        <v/>
      </c>
      <c r="K855" s="262">
        <v>0</v>
      </c>
      <c r="L855" s="262">
        <v>0</v>
      </c>
      <c r="M855" s="262">
        <v>0</v>
      </c>
      <c r="N855" s="262" t="s">
        <v>4249</v>
      </c>
    </row>
    <row r="856" spans="1:14" ht="12.75" customHeight="1" x14ac:dyDescent="0.2">
      <c r="A856" s="567" t="s">
        <v>1826</v>
      </c>
      <c r="B856" s="567"/>
      <c r="C856" s="567"/>
      <c r="D856" s="567"/>
      <c r="E856" s="567"/>
      <c r="F856" s="567"/>
      <c r="G856" s="568" t="s">
        <v>1827</v>
      </c>
      <c r="H856" s="568" t="s">
        <v>340</v>
      </c>
      <c r="I856" s="239" t="str">
        <f>IF(ISBLANK(regional!I481),"",regional!I481)</f>
        <v/>
      </c>
      <c r="K856" s="262" t="s">
        <v>4249</v>
      </c>
      <c r="L856" s="262" t="s">
        <v>4249</v>
      </c>
      <c r="M856" s="262" t="s">
        <v>4249</v>
      </c>
      <c r="N856" s="262" t="s">
        <v>4249</v>
      </c>
    </row>
    <row r="857" spans="1:14" ht="12.75" customHeight="1" x14ac:dyDescent="0.2">
      <c r="A857" s="567" t="s">
        <v>1828</v>
      </c>
      <c r="B857" s="567"/>
      <c r="C857" s="567"/>
      <c r="D857" s="567"/>
      <c r="E857" s="567"/>
      <c r="F857" s="567"/>
      <c r="G857" s="568" t="s">
        <v>1829</v>
      </c>
      <c r="H857" s="568" t="s">
        <v>340</v>
      </c>
      <c r="I857" s="239" t="str">
        <f>IF(ISBLANK(regional!I482),"",regional!I482)</f>
        <v/>
      </c>
      <c r="K857" s="262">
        <v>0</v>
      </c>
      <c r="L857" s="262">
        <v>0</v>
      </c>
      <c r="M857" s="262">
        <v>0</v>
      </c>
      <c r="N857" s="262" t="s">
        <v>4249</v>
      </c>
    </row>
    <row r="858" spans="1:14" ht="12.75" customHeight="1" x14ac:dyDescent="0.2">
      <c r="A858" s="583" t="s">
        <v>1830</v>
      </c>
      <c r="B858" s="583"/>
      <c r="C858" s="583"/>
      <c r="D858" s="583"/>
      <c r="E858" s="583"/>
      <c r="F858" s="583"/>
      <c r="G858" s="582" t="s">
        <v>1831</v>
      </c>
      <c r="H858" s="582" t="s">
        <v>340</v>
      </c>
      <c r="I858" s="239" t="str">
        <f>IF(ISBLANK(regional!I483),"",regional!I483)</f>
        <v/>
      </c>
      <c r="K858" s="262" t="s">
        <v>4249</v>
      </c>
      <c r="N858" s="262" t="s">
        <v>4249</v>
      </c>
    </row>
    <row r="859" spans="1:14" ht="12.75" customHeight="1" x14ac:dyDescent="0.2">
      <c r="A859" s="567" t="s">
        <v>1832</v>
      </c>
      <c r="B859" s="567"/>
      <c r="C859" s="567"/>
      <c r="D859" s="567"/>
      <c r="E859" s="567"/>
      <c r="F859" s="567"/>
      <c r="G859" s="568" t="s">
        <v>1833</v>
      </c>
      <c r="H859" s="568" t="s">
        <v>340</v>
      </c>
      <c r="I859" s="239" t="str">
        <f>IF(ISBLANK(regional!I484),"",regional!I484)</f>
        <v/>
      </c>
      <c r="K859" s="262" t="s">
        <v>4249</v>
      </c>
      <c r="N859" s="262" t="s">
        <v>4249</v>
      </c>
    </row>
    <row r="860" spans="1:14" ht="12.75" customHeight="1" x14ac:dyDescent="0.2">
      <c r="A860" s="567" t="s">
        <v>1834</v>
      </c>
      <c r="B860" s="567"/>
      <c r="C860" s="567"/>
      <c r="D860" s="567"/>
      <c r="E860" s="567"/>
      <c r="F860" s="567"/>
      <c r="G860" s="568" t="s">
        <v>1835</v>
      </c>
      <c r="H860" s="568" t="s">
        <v>340</v>
      </c>
      <c r="I860" s="239" t="str">
        <f>IF(ISBLANK(regional!I485),"",regional!I485)</f>
        <v/>
      </c>
      <c r="K860" s="262" t="s">
        <v>4249</v>
      </c>
      <c r="N860" s="262" t="s">
        <v>4249</v>
      </c>
    </row>
    <row r="861" spans="1:14" ht="12.75" customHeight="1" x14ac:dyDescent="0.2">
      <c r="A861" s="567" t="s">
        <v>1836</v>
      </c>
      <c r="B861" s="567"/>
      <c r="C861" s="567"/>
      <c r="D861" s="567"/>
      <c r="E861" s="567"/>
      <c r="F861" s="567"/>
      <c r="G861" s="568" t="s">
        <v>1837</v>
      </c>
      <c r="H861" s="568" t="s">
        <v>340</v>
      </c>
      <c r="I861" s="239" t="str">
        <f>IF(ISBLANK(regional!I486),"",regional!I486)</f>
        <v/>
      </c>
      <c r="K861" s="262" t="s">
        <v>4249</v>
      </c>
      <c r="N861" s="262" t="s">
        <v>4249</v>
      </c>
    </row>
    <row r="862" spans="1:14" ht="12.75" customHeight="1" x14ac:dyDescent="0.2">
      <c r="A862" s="567" t="s">
        <v>1838</v>
      </c>
      <c r="B862" s="567"/>
      <c r="C862" s="567"/>
      <c r="D862" s="567"/>
      <c r="E862" s="567"/>
      <c r="F862" s="567"/>
      <c r="G862" s="568" t="s">
        <v>1839</v>
      </c>
      <c r="H862" s="568" t="s">
        <v>340</v>
      </c>
      <c r="I862" s="239" t="str">
        <f>IF(ISBLANK(regional!I487),"",regional!I487)</f>
        <v/>
      </c>
      <c r="K862" s="262" t="s">
        <v>4249</v>
      </c>
      <c r="N862" s="262" t="s">
        <v>4249</v>
      </c>
    </row>
    <row r="863" spans="1:14" ht="12.75" customHeight="1" x14ac:dyDescent="0.2">
      <c r="A863" s="567" t="s">
        <v>1840</v>
      </c>
      <c r="B863" s="567"/>
      <c r="C863" s="567"/>
      <c r="D863" s="567"/>
      <c r="E863" s="567"/>
      <c r="F863" s="567"/>
      <c r="G863" s="568" t="s">
        <v>1841</v>
      </c>
      <c r="H863" s="568" t="s">
        <v>340</v>
      </c>
      <c r="I863" s="239" t="str">
        <f>IF(ISBLANK(regional!I488),"",regional!I488)</f>
        <v/>
      </c>
      <c r="K863" s="262" t="s">
        <v>4249</v>
      </c>
      <c r="N863" s="262" t="s">
        <v>4249</v>
      </c>
    </row>
    <row r="864" spans="1:14" ht="12.75" customHeight="1" x14ac:dyDescent="0.2">
      <c r="A864" s="567" t="s">
        <v>1842</v>
      </c>
      <c r="B864" s="567"/>
      <c r="C864" s="567"/>
      <c r="D864" s="567"/>
      <c r="E864" s="567"/>
      <c r="F864" s="567"/>
      <c r="G864" s="568" t="s">
        <v>1843</v>
      </c>
      <c r="H864" s="568" t="s">
        <v>340</v>
      </c>
      <c r="I864" s="239" t="str">
        <f>IF(ISBLANK(regional!I489),"",regional!I489)</f>
        <v/>
      </c>
      <c r="K864" s="262" t="s">
        <v>4249</v>
      </c>
      <c r="N864" s="262" t="s">
        <v>4249</v>
      </c>
    </row>
    <row r="865" spans="1:14" ht="12.75" customHeight="1" x14ac:dyDescent="0.2">
      <c r="A865" s="567" t="s">
        <v>1844</v>
      </c>
      <c r="B865" s="567"/>
      <c r="C865" s="567"/>
      <c r="D865" s="567"/>
      <c r="E865" s="567"/>
      <c r="F865" s="567"/>
      <c r="G865" s="568" t="s">
        <v>1845</v>
      </c>
      <c r="H865" s="568" t="s">
        <v>340</v>
      </c>
      <c r="I865" s="239" t="str">
        <f>IF(ISBLANK(regional!I490),"",regional!I490)</f>
        <v/>
      </c>
      <c r="K865" s="262" t="s">
        <v>4249</v>
      </c>
      <c r="N865" s="262" t="s">
        <v>4249</v>
      </c>
    </row>
    <row r="866" spans="1:14" ht="12.75" customHeight="1" x14ac:dyDescent="0.2">
      <c r="A866" s="567" t="s">
        <v>1846</v>
      </c>
      <c r="B866" s="567"/>
      <c r="C866" s="567"/>
      <c r="D866" s="567"/>
      <c r="E866" s="567"/>
      <c r="F866" s="567"/>
      <c r="G866" s="568" t="s">
        <v>1847</v>
      </c>
      <c r="H866" s="568" t="s">
        <v>340</v>
      </c>
      <c r="I866" s="239" t="str">
        <f>IF(ISBLANK(regional!I491),"",regional!I491)</f>
        <v/>
      </c>
      <c r="K866" s="262" t="s">
        <v>4249</v>
      </c>
      <c r="N866" s="262" t="s">
        <v>4249</v>
      </c>
    </row>
    <row r="867" spans="1:14" ht="12.75" customHeight="1" x14ac:dyDescent="0.2">
      <c r="A867" s="583" t="s">
        <v>1848</v>
      </c>
      <c r="B867" s="583"/>
      <c r="C867" s="583"/>
      <c r="D867" s="583"/>
      <c r="E867" s="583"/>
      <c r="F867" s="583"/>
      <c r="G867" s="582" t="s">
        <v>1849</v>
      </c>
      <c r="H867" s="582" t="s">
        <v>340</v>
      </c>
      <c r="I867" s="239" t="str">
        <f>IF(ISBLANK(regional!I492),"",regional!I492)</f>
        <v/>
      </c>
      <c r="K867" s="262" t="s">
        <v>4249</v>
      </c>
      <c r="N867" s="262" t="s">
        <v>4249</v>
      </c>
    </row>
    <row r="868" spans="1:14" ht="12.75" customHeight="1" x14ac:dyDescent="0.2">
      <c r="A868" s="567" t="s">
        <v>1851</v>
      </c>
      <c r="B868" s="567"/>
      <c r="C868" s="567"/>
      <c r="D868" s="567"/>
      <c r="E868" s="567"/>
      <c r="F868" s="567"/>
      <c r="G868" s="568" t="s">
        <v>1852</v>
      </c>
      <c r="H868" s="568" t="s">
        <v>340</v>
      </c>
      <c r="I868" s="239" t="str">
        <f>IF(ISBLANK(regional!I493),"",regional!I493)</f>
        <v/>
      </c>
      <c r="K868" s="262" t="s">
        <v>4249</v>
      </c>
      <c r="N868" s="262" t="s">
        <v>4249</v>
      </c>
    </row>
    <row r="869" spans="1:14" ht="12.75" customHeight="1" x14ac:dyDescent="0.2">
      <c r="A869" s="567" t="s">
        <v>1853</v>
      </c>
      <c r="B869" s="567"/>
      <c r="C869" s="567"/>
      <c r="D869" s="567"/>
      <c r="E869" s="567"/>
      <c r="F869" s="567"/>
      <c r="G869" s="568" t="s">
        <v>1854</v>
      </c>
      <c r="H869" s="568" t="s">
        <v>340</v>
      </c>
      <c r="I869" s="239" t="str">
        <f>IF(ISBLANK(regional!I494),"",regional!I494)</f>
        <v/>
      </c>
      <c r="K869" s="262" t="s">
        <v>4249</v>
      </c>
      <c r="N869" s="262" t="s">
        <v>4249</v>
      </c>
    </row>
    <row r="870" spans="1:14" ht="12.75" customHeight="1" x14ac:dyDescent="0.2">
      <c r="A870" s="567" t="s">
        <v>1855</v>
      </c>
      <c r="B870" s="567"/>
      <c r="C870" s="567"/>
      <c r="D870" s="567"/>
      <c r="E870" s="567"/>
      <c r="F870" s="567"/>
      <c r="G870" s="568" t="s">
        <v>1856</v>
      </c>
      <c r="H870" s="568" t="s">
        <v>340</v>
      </c>
      <c r="I870" s="239" t="str">
        <f>IF(ISBLANK(regional!I495),"",regional!I495)</f>
        <v/>
      </c>
      <c r="K870" s="262" t="s">
        <v>4249</v>
      </c>
      <c r="N870" s="262" t="s">
        <v>4249</v>
      </c>
    </row>
    <row r="871" spans="1:14" ht="12.75" customHeight="1" x14ac:dyDescent="0.2">
      <c r="A871" s="567" t="s">
        <v>1857</v>
      </c>
      <c r="B871" s="567"/>
      <c r="C871" s="567"/>
      <c r="D871" s="567"/>
      <c r="E871" s="567"/>
      <c r="F871" s="567"/>
      <c r="G871" s="568" t="s">
        <v>1858</v>
      </c>
      <c r="H871" s="568" t="s">
        <v>340</v>
      </c>
      <c r="I871" s="239" t="str">
        <f>IF(ISBLANK(regional!I496),"",regional!I496)</f>
        <v/>
      </c>
      <c r="K871" s="262" t="s">
        <v>4249</v>
      </c>
      <c r="N871" s="262" t="s">
        <v>4249</v>
      </c>
    </row>
    <row r="872" spans="1:14" ht="12.75" customHeight="1" x14ac:dyDescent="0.2">
      <c r="A872" s="567" t="s">
        <v>1859</v>
      </c>
      <c r="B872" s="567"/>
      <c r="C872" s="567"/>
      <c r="D872" s="567"/>
      <c r="E872" s="567"/>
      <c r="F872" s="567"/>
      <c r="G872" s="568" t="s">
        <v>1860</v>
      </c>
      <c r="H872" s="568" t="s">
        <v>340</v>
      </c>
      <c r="I872" s="239" t="str">
        <f>IF(ISBLANK(regional!I497),"",regional!I497)</f>
        <v/>
      </c>
      <c r="K872" s="262" t="s">
        <v>4249</v>
      </c>
      <c r="N872" s="262" t="s">
        <v>4249</v>
      </c>
    </row>
    <row r="873" spans="1:14" ht="12.75" customHeight="1" x14ac:dyDescent="0.2">
      <c r="A873" s="567" t="s">
        <v>1861</v>
      </c>
      <c r="B873" s="567"/>
      <c r="C873" s="567"/>
      <c r="D873" s="567"/>
      <c r="E873" s="567"/>
      <c r="F873" s="567"/>
      <c r="G873" s="568" t="s">
        <v>1862</v>
      </c>
      <c r="H873" s="568" t="s">
        <v>340</v>
      </c>
      <c r="I873" s="239" t="str">
        <f>IF(ISBLANK(regional!I498),"",regional!I498)</f>
        <v/>
      </c>
      <c r="K873" s="262" t="s">
        <v>4249</v>
      </c>
      <c r="N873" s="262" t="s">
        <v>4249</v>
      </c>
    </row>
    <row r="874" spans="1:14" ht="12.75" customHeight="1" x14ac:dyDescent="0.2">
      <c r="A874" s="567" t="s">
        <v>1863</v>
      </c>
      <c r="B874" s="567"/>
      <c r="C874" s="567"/>
      <c r="D874" s="567"/>
      <c r="E874" s="567"/>
      <c r="F874" s="567"/>
      <c r="G874" s="568" t="s">
        <v>1864</v>
      </c>
      <c r="H874" s="568" t="s">
        <v>340</v>
      </c>
      <c r="I874" s="239" t="str">
        <f>IF(ISBLANK(regional!I499),"",regional!I499)</f>
        <v/>
      </c>
      <c r="K874" s="262" t="s">
        <v>4249</v>
      </c>
      <c r="N874" s="262" t="s">
        <v>4249</v>
      </c>
    </row>
    <row r="875" spans="1:14" ht="12.75" customHeight="1" x14ac:dyDescent="0.2">
      <c r="A875" s="599" t="s">
        <v>1865</v>
      </c>
      <c r="B875" s="599"/>
      <c r="C875" s="599"/>
      <c r="D875" s="599"/>
      <c r="E875" s="599"/>
      <c r="F875" s="599"/>
      <c r="G875" s="602" t="s">
        <v>1866</v>
      </c>
      <c r="H875" s="602" t="s">
        <v>340</v>
      </c>
      <c r="I875" s="239" t="str">
        <f>IF(ISBLANK(regional!I500),"",regional!I500)</f>
        <v/>
      </c>
      <c r="K875" s="262" t="s">
        <v>4249</v>
      </c>
      <c r="N875" s="262" t="s">
        <v>4249</v>
      </c>
    </row>
    <row r="876" spans="1:14" ht="12.75" customHeight="1" x14ac:dyDescent="0.2">
      <c r="A876" s="583" t="s">
        <v>1867</v>
      </c>
      <c r="B876" s="583"/>
      <c r="C876" s="583"/>
      <c r="D876" s="583"/>
      <c r="E876" s="583"/>
      <c r="F876" s="583"/>
      <c r="G876" s="582" t="s">
        <v>1868</v>
      </c>
      <c r="H876" s="568" t="s">
        <v>340</v>
      </c>
      <c r="I876" s="239" t="str">
        <f>IF(ISBLANK(regional!I501),"",regional!I501)</f>
        <v/>
      </c>
      <c r="K876" s="262" t="s">
        <v>4249</v>
      </c>
      <c r="N876" s="262" t="s">
        <v>4249</v>
      </c>
    </row>
    <row r="877" spans="1:14" ht="12.75" customHeight="1" x14ac:dyDescent="0.2">
      <c r="A877" s="567" t="s">
        <v>1870</v>
      </c>
      <c r="B877" s="567"/>
      <c r="C877" s="567"/>
      <c r="D877" s="567"/>
      <c r="E877" s="567"/>
      <c r="F877" s="567"/>
      <c r="G877" s="568" t="s">
        <v>1871</v>
      </c>
      <c r="H877" s="568" t="s">
        <v>340</v>
      </c>
      <c r="I877" s="239" t="str">
        <f>IF(ISBLANK(regional!I502),"",regional!I502)</f>
        <v/>
      </c>
      <c r="K877" s="262" t="s">
        <v>4249</v>
      </c>
      <c r="N877" s="262" t="s">
        <v>4249</v>
      </c>
    </row>
    <row r="878" spans="1:14" ht="12.75" customHeight="1" x14ac:dyDescent="0.2">
      <c r="A878" s="567" t="s">
        <v>1872</v>
      </c>
      <c r="B878" s="567"/>
      <c r="C878" s="567"/>
      <c r="D878" s="567"/>
      <c r="E878" s="567"/>
      <c r="F878" s="567"/>
      <c r="G878" s="568" t="s">
        <v>1873</v>
      </c>
      <c r="H878" s="568" t="s">
        <v>340</v>
      </c>
      <c r="I878" s="239" t="str">
        <f>IF(ISBLANK(regional!I503),"",regional!I503)</f>
        <v/>
      </c>
      <c r="K878" s="262" t="s">
        <v>4249</v>
      </c>
      <c r="N878" s="262" t="s">
        <v>4249</v>
      </c>
    </row>
    <row r="879" spans="1:14" ht="12.75" customHeight="1" x14ac:dyDescent="0.2">
      <c r="A879" s="567" t="s">
        <v>1874</v>
      </c>
      <c r="B879" s="567"/>
      <c r="C879" s="567"/>
      <c r="D879" s="567"/>
      <c r="E879" s="567"/>
      <c r="F879" s="567"/>
      <c r="G879" s="568" t="s">
        <v>1875</v>
      </c>
      <c r="H879" s="568" t="s">
        <v>340</v>
      </c>
      <c r="I879" s="239" t="str">
        <f>IF(ISBLANK(regional!I504),"",regional!I504)</f>
        <v/>
      </c>
      <c r="K879" s="262" t="s">
        <v>4249</v>
      </c>
      <c r="N879" s="262" t="s">
        <v>4249</v>
      </c>
    </row>
    <row r="880" spans="1:14" ht="12.75" customHeight="1" x14ac:dyDescent="0.2">
      <c r="A880" s="567" t="s">
        <v>1876</v>
      </c>
      <c r="B880" s="567"/>
      <c r="C880" s="567"/>
      <c r="D880" s="567"/>
      <c r="E880" s="567"/>
      <c r="F880" s="567"/>
      <c r="G880" s="568" t="s">
        <v>1877</v>
      </c>
      <c r="H880" s="568" t="s">
        <v>340</v>
      </c>
      <c r="I880" s="239" t="str">
        <f>IF(ISBLANK(regional!I505),"",regional!I505)</f>
        <v/>
      </c>
      <c r="J880" s="826"/>
      <c r="K880" s="262" t="s">
        <v>4249</v>
      </c>
      <c r="N880" s="262" t="s">
        <v>4249</v>
      </c>
    </row>
    <row r="881" spans="1:14" ht="12.75" customHeight="1" x14ac:dyDescent="0.2">
      <c r="A881" s="567" t="s">
        <v>1878</v>
      </c>
      <c r="B881" s="567"/>
      <c r="C881" s="567"/>
      <c r="D881" s="567"/>
      <c r="E881" s="567"/>
      <c r="F881" s="567"/>
      <c r="G881" s="568" t="s">
        <v>1879</v>
      </c>
      <c r="H881" s="568" t="s">
        <v>340</v>
      </c>
      <c r="I881" s="239" t="str">
        <f>IF(ISBLANK(regional!I506),"",regional!I506)</f>
        <v/>
      </c>
      <c r="K881" s="262" t="s">
        <v>4249</v>
      </c>
      <c r="N881" s="262" t="s">
        <v>4249</v>
      </c>
    </row>
    <row r="882" spans="1:14" ht="12.75" customHeight="1" x14ac:dyDescent="0.2">
      <c r="A882" s="567" t="s">
        <v>1880</v>
      </c>
      <c r="B882" s="567"/>
      <c r="C882" s="567"/>
      <c r="D882" s="567"/>
      <c r="E882" s="567"/>
      <c r="F882" s="567"/>
      <c r="G882" s="568" t="s">
        <v>1881</v>
      </c>
      <c r="H882" s="568" t="s">
        <v>340</v>
      </c>
      <c r="I882" s="239" t="str">
        <f>IF(ISBLANK(regional!I507),"",regional!I507)</f>
        <v/>
      </c>
      <c r="K882" s="262" t="s">
        <v>4249</v>
      </c>
      <c r="N882" s="262" t="s">
        <v>4249</v>
      </c>
    </row>
    <row r="883" spans="1:14" ht="12.75" customHeight="1" x14ac:dyDescent="0.2">
      <c r="A883" s="567" t="s">
        <v>1883</v>
      </c>
      <c r="B883" s="567"/>
      <c r="C883" s="567"/>
      <c r="D883" s="567"/>
      <c r="E883" s="567"/>
      <c r="F883" s="567"/>
      <c r="G883" s="568" t="s">
        <v>1884</v>
      </c>
      <c r="H883" s="568" t="s">
        <v>340</v>
      </c>
      <c r="I883" s="239" t="str">
        <f>IF(ISBLANK(regional!I508),"",regional!I508)</f>
        <v/>
      </c>
      <c r="K883" s="262" t="s">
        <v>4249</v>
      </c>
      <c r="N883" s="262" t="s">
        <v>4249</v>
      </c>
    </row>
    <row r="884" spans="1:14" ht="12.75" customHeight="1" x14ac:dyDescent="0.2">
      <c r="A884" s="599" t="s">
        <v>1885</v>
      </c>
      <c r="B884" s="599"/>
      <c r="C884" s="599"/>
      <c r="D884" s="599"/>
      <c r="E884" s="599"/>
      <c r="F884" s="599"/>
      <c r="G884" s="602" t="s">
        <v>1886</v>
      </c>
      <c r="H884" s="602" t="s">
        <v>340</v>
      </c>
      <c r="I884" s="239" t="str">
        <f>IF(ISBLANK(regional!I509),"",regional!I509)</f>
        <v/>
      </c>
      <c r="K884" s="262" t="s">
        <v>4249</v>
      </c>
      <c r="N884" s="262" t="s">
        <v>4249</v>
      </c>
    </row>
    <row r="885" spans="1:14" ht="12.75" customHeight="1" x14ac:dyDescent="0.2">
      <c r="A885" s="487"/>
      <c r="B885" s="487"/>
      <c r="C885" s="487"/>
      <c r="D885" s="487"/>
      <c r="E885" s="487"/>
      <c r="F885" s="487"/>
      <c r="G885" s="651"/>
      <c r="H885" s="651"/>
      <c r="I885" s="239" t="str">
        <f>IF(ISBLANK(regional!I510),"",regional!I510)</f>
        <v/>
      </c>
      <c r="K885" s="262" t="s">
        <v>4249</v>
      </c>
      <c r="N885" s="262" t="s">
        <v>4249</v>
      </c>
    </row>
    <row r="886" spans="1:14" ht="12.75" customHeight="1" x14ac:dyDescent="0.2">
      <c r="A886" s="633" t="s">
        <v>1887</v>
      </c>
      <c r="B886" s="634"/>
      <c r="C886" s="634"/>
      <c r="D886" s="634"/>
      <c r="E886" s="634"/>
      <c r="F886" s="634"/>
      <c r="G886" s="633" t="s">
        <v>263</v>
      </c>
      <c r="H886" s="633" t="s">
        <v>279</v>
      </c>
      <c r="I886" s="239" t="str">
        <f>IF(ISBLANK(regional!I511),"",regional!I511)</f>
        <v>User input</v>
      </c>
      <c r="K886" s="262" t="s">
        <v>264</v>
      </c>
      <c r="N886" s="262" t="s">
        <v>264</v>
      </c>
    </row>
    <row r="887" spans="1:14" ht="12.75" customHeight="1" x14ac:dyDescent="0.2">
      <c r="A887" s="568" t="s">
        <v>1322</v>
      </c>
      <c r="B887" s="567"/>
      <c r="C887" s="567"/>
      <c r="D887" s="567"/>
      <c r="E887" s="567"/>
      <c r="F887" s="567"/>
      <c r="G887" s="568" t="s">
        <v>1888</v>
      </c>
      <c r="H887" s="568" t="s">
        <v>624</v>
      </c>
      <c r="I887" s="239" t="str">
        <f>IF(ISBLANK(regional!I512),"",regional!I512)</f>
        <v/>
      </c>
      <c r="K887" s="262" t="s">
        <v>4249</v>
      </c>
      <c r="N887" s="262" t="s">
        <v>4249</v>
      </c>
    </row>
    <row r="888" spans="1:14" ht="12.75" customHeight="1" x14ac:dyDescent="0.2">
      <c r="A888" s="568" t="s">
        <v>1322</v>
      </c>
      <c r="B888" s="567"/>
      <c r="C888" s="567"/>
      <c r="D888" s="567"/>
      <c r="E888" s="567"/>
      <c r="F888" s="567"/>
      <c r="G888" s="568" t="s">
        <v>1889</v>
      </c>
      <c r="H888" s="568" t="s">
        <v>624</v>
      </c>
      <c r="I888" s="239" t="str">
        <f>IF(ISBLANK(regional!I513),"",regional!I513)</f>
        <v/>
      </c>
      <c r="K888" s="262" t="s">
        <v>4249</v>
      </c>
      <c r="N888" s="262" t="s">
        <v>4249</v>
      </c>
    </row>
    <row r="889" spans="1:14" ht="12.75" customHeight="1" x14ac:dyDescent="0.2">
      <c r="A889" s="568" t="s">
        <v>1322</v>
      </c>
      <c r="B889" s="567"/>
      <c r="C889" s="567"/>
      <c r="D889" s="567"/>
      <c r="E889" s="567"/>
      <c r="F889" s="567"/>
      <c r="G889" s="568" t="s">
        <v>1890</v>
      </c>
      <c r="H889" s="568" t="s">
        <v>624</v>
      </c>
      <c r="I889" s="239" t="str">
        <f>IF(ISBLANK(regional!I514),"",regional!I514)</f>
        <v/>
      </c>
      <c r="K889" s="262" t="s">
        <v>4249</v>
      </c>
      <c r="N889" s="262" t="s">
        <v>4249</v>
      </c>
    </row>
    <row r="890" spans="1:14" ht="12.75" customHeight="1" x14ac:dyDescent="0.2">
      <c r="A890" s="568" t="s">
        <v>1324</v>
      </c>
      <c r="B890" s="567"/>
      <c r="C890" s="567"/>
      <c r="D890" s="567"/>
      <c r="E890" s="567"/>
      <c r="F890" s="567"/>
      <c r="G890" s="568" t="s">
        <v>1891</v>
      </c>
      <c r="H890" s="568" t="s">
        <v>624</v>
      </c>
      <c r="I890" s="239" t="str">
        <f>IF(ISBLANK(regional!I515),"",regional!I515)</f>
        <v/>
      </c>
      <c r="K890" s="262" t="s">
        <v>4249</v>
      </c>
      <c r="N890" s="262" t="s">
        <v>4249</v>
      </c>
    </row>
    <row r="891" spans="1:14" ht="12.75" customHeight="1" x14ac:dyDescent="0.2">
      <c r="A891" s="568" t="s">
        <v>1324</v>
      </c>
      <c r="B891" s="567"/>
      <c r="C891" s="567"/>
      <c r="D891" s="567"/>
      <c r="E891" s="567"/>
      <c r="F891" s="567"/>
      <c r="G891" s="568" t="s">
        <v>1893</v>
      </c>
      <c r="H891" s="568" t="s">
        <v>624</v>
      </c>
      <c r="I891" s="239" t="str">
        <f>IF(ISBLANK(regional!I516),"",regional!I516)</f>
        <v/>
      </c>
      <c r="K891" s="262" t="s">
        <v>4249</v>
      </c>
      <c r="N891" s="262" t="s">
        <v>4249</v>
      </c>
    </row>
    <row r="892" spans="1:14" ht="12.75" customHeight="1" x14ac:dyDescent="0.2">
      <c r="A892" s="568" t="s">
        <v>1324</v>
      </c>
      <c r="B892" s="567"/>
      <c r="C892" s="567"/>
      <c r="D892" s="567"/>
      <c r="E892" s="567"/>
      <c r="F892" s="567"/>
      <c r="G892" s="568" t="s">
        <v>1894</v>
      </c>
      <c r="H892" s="568" t="s">
        <v>624</v>
      </c>
      <c r="I892" s="239" t="str">
        <f>IF(ISBLANK(regional!I517),"",regional!I517)</f>
        <v/>
      </c>
      <c r="K892" s="262" t="s">
        <v>4249</v>
      </c>
      <c r="N892" s="262" t="s">
        <v>4249</v>
      </c>
    </row>
    <row r="893" spans="1:14" ht="12.75" customHeight="1" x14ac:dyDescent="0.2">
      <c r="A893" s="568" t="s">
        <v>1326</v>
      </c>
      <c r="B893" s="567"/>
      <c r="C893" s="567"/>
      <c r="D893" s="567"/>
      <c r="E893" s="567"/>
      <c r="F893" s="567"/>
      <c r="G893" s="568" t="s">
        <v>1895</v>
      </c>
      <c r="H893" s="568" t="s">
        <v>624</v>
      </c>
      <c r="I893" s="239" t="str">
        <f>IF(ISBLANK(regional!I518),"",regional!I518)</f>
        <v/>
      </c>
      <c r="K893" s="262" t="s">
        <v>4249</v>
      </c>
      <c r="N893" s="262" t="s">
        <v>4249</v>
      </c>
    </row>
    <row r="894" spans="1:14" ht="12.75" customHeight="1" x14ac:dyDescent="0.2">
      <c r="A894" s="568" t="s">
        <v>1326</v>
      </c>
      <c r="B894" s="567"/>
      <c r="C894" s="567"/>
      <c r="D894" s="567"/>
      <c r="E894" s="567"/>
      <c r="F894" s="567"/>
      <c r="G894" s="568" t="s">
        <v>1896</v>
      </c>
      <c r="H894" s="568" t="s">
        <v>624</v>
      </c>
      <c r="I894" s="239" t="str">
        <f>IF(ISBLANK(regional!I519),"",regional!I519)</f>
        <v/>
      </c>
      <c r="J894" s="826"/>
      <c r="K894" s="262" t="s">
        <v>4249</v>
      </c>
      <c r="N894" s="262" t="s">
        <v>4249</v>
      </c>
    </row>
    <row r="895" spans="1:14" ht="12.75" customHeight="1" x14ac:dyDescent="0.2">
      <c r="A895" s="568" t="s">
        <v>1326</v>
      </c>
      <c r="B895" s="567"/>
      <c r="C895" s="567"/>
      <c r="D895" s="567"/>
      <c r="E895" s="567"/>
      <c r="F895" s="567"/>
      <c r="G895" s="568" t="s">
        <v>1897</v>
      </c>
      <c r="H895" s="568" t="s">
        <v>624</v>
      </c>
      <c r="I895" s="239" t="str">
        <f>IF(ISBLANK(regional!I520),"",regional!I520)</f>
        <v/>
      </c>
      <c r="K895" s="262" t="s">
        <v>4249</v>
      </c>
      <c r="N895" s="262" t="s">
        <v>4249</v>
      </c>
    </row>
    <row r="896" spans="1:14" ht="12.75" customHeight="1" x14ac:dyDescent="0.2">
      <c r="A896" s="568" t="s">
        <v>1328</v>
      </c>
      <c r="B896" s="567"/>
      <c r="C896" s="567"/>
      <c r="D896" s="567"/>
      <c r="E896" s="567"/>
      <c r="F896" s="567"/>
      <c r="G896" s="568" t="s">
        <v>1898</v>
      </c>
      <c r="H896" s="568" t="s">
        <v>624</v>
      </c>
      <c r="I896" s="239" t="str">
        <f>IF(ISBLANK(regional!I521),"",regional!I521)</f>
        <v/>
      </c>
      <c r="K896" s="262" t="s">
        <v>4249</v>
      </c>
      <c r="N896" s="262" t="s">
        <v>4249</v>
      </c>
    </row>
    <row r="897" spans="1:14" ht="12.75" customHeight="1" x14ac:dyDescent="0.2">
      <c r="A897" s="568" t="s">
        <v>1328</v>
      </c>
      <c r="B897" s="567"/>
      <c r="C897" s="567"/>
      <c r="D897" s="567"/>
      <c r="E897" s="567"/>
      <c r="F897" s="567"/>
      <c r="G897" s="568" t="s">
        <v>1899</v>
      </c>
      <c r="H897" s="568" t="s">
        <v>624</v>
      </c>
      <c r="I897" s="239" t="str">
        <f>IF(ISBLANK(regional!I522),"",regional!I522)</f>
        <v/>
      </c>
      <c r="K897" s="262" t="s">
        <v>4249</v>
      </c>
      <c r="N897" s="262" t="s">
        <v>4249</v>
      </c>
    </row>
    <row r="898" spans="1:14" ht="12.75" customHeight="1" x14ac:dyDescent="0.2">
      <c r="A898" s="568" t="s">
        <v>1328</v>
      </c>
      <c r="B898" s="567"/>
      <c r="C898" s="567"/>
      <c r="D898" s="567"/>
      <c r="E898" s="567"/>
      <c r="F898" s="567"/>
      <c r="G898" s="568" t="s">
        <v>1900</v>
      </c>
      <c r="H898" s="568" t="s">
        <v>624</v>
      </c>
      <c r="I898" s="239" t="str">
        <f>IF(ISBLANK(regional!I523),"",regional!I523)</f>
        <v/>
      </c>
      <c r="K898" s="262" t="s">
        <v>4249</v>
      </c>
      <c r="N898" s="262" t="s">
        <v>4249</v>
      </c>
    </row>
    <row r="899" spans="1:14" ht="12.75" customHeight="1" x14ac:dyDescent="0.2">
      <c r="A899" s="568" t="s">
        <v>1330</v>
      </c>
      <c r="B899" s="567"/>
      <c r="C899" s="567"/>
      <c r="D899" s="567"/>
      <c r="E899" s="567"/>
      <c r="F899" s="567"/>
      <c r="G899" s="568" t="s">
        <v>1901</v>
      </c>
      <c r="H899" s="568" t="s">
        <v>624</v>
      </c>
      <c r="I899" s="239" t="str">
        <f>IF(ISBLANK(regional!I524),"",regional!I524)</f>
        <v/>
      </c>
      <c r="K899" s="262" t="s">
        <v>4249</v>
      </c>
      <c r="N899" s="262" t="s">
        <v>4249</v>
      </c>
    </row>
    <row r="900" spans="1:14" ht="12.75" customHeight="1" x14ac:dyDescent="0.2">
      <c r="A900" s="568" t="s">
        <v>1330</v>
      </c>
      <c r="B900" s="567"/>
      <c r="C900" s="567"/>
      <c r="D900" s="567"/>
      <c r="E900" s="567"/>
      <c r="F900" s="567"/>
      <c r="G900" s="568" t="s">
        <v>1902</v>
      </c>
      <c r="H900" s="568" t="s">
        <v>624</v>
      </c>
      <c r="I900" s="239" t="str">
        <f>IF(ISBLANK(regional!I525),"",regional!I525)</f>
        <v/>
      </c>
      <c r="K900" s="262" t="s">
        <v>4249</v>
      </c>
      <c r="N900" s="262" t="s">
        <v>4249</v>
      </c>
    </row>
    <row r="901" spans="1:14" ht="12.75" customHeight="1" x14ac:dyDescent="0.2">
      <c r="A901" s="568" t="s">
        <v>1330</v>
      </c>
      <c r="B901" s="567"/>
      <c r="C901" s="567"/>
      <c r="D901" s="567"/>
      <c r="E901" s="567"/>
      <c r="F901" s="567"/>
      <c r="G901" s="568" t="s">
        <v>1903</v>
      </c>
      <c r="H901" s="568" t="s">
        <v>624</v>
      </c>
      <c r="I901" s="239" t="str">
        <f>IF(ISBLANK(regional!I526),"",regional!I526)</f>
        <v/>
      </c>
      <c r="K901" s="262" t="s">
        <v>4249</v>
      </c>
      <c r="N901" s="262" t="s">
        <v>4249</v>
      </c>
    </row>
    <row r="902" spans="1:14" ht="12.75" customHeight="1" x14ac:dyDescent="0.2">
      <c r="A902" s="568" t="s">
        <v>1332</v>
      </c>
      <c r="B902" s="567"/>
      <c r="C902" s="567"/>
      <c r="D902" s="567"/>
      <c r="E902" s="567"/>
      <c r="F902" s="567"/>
      <c r="G902" s="568" t="s">
        <v>1904</v>
      </c>
      <c r="H902" s="568" t="s">
        <v>624</v>
      </c>
      <c r="I902" s="239" t="str">
        <f>IF(ISBLANK(regional!I527),"",regional!I527)</f>
        <v/>
      </c>
      <c r="K902" s="262" t="s">
        <v>4249</v>
      </c>
      <c r="N902" s="262" t="s">
        <v>4249</v>
      </c>
    </row>
    <row r="903" spans="1:14" ht="12.75" customHeight="1" x14ac:dyDescent="0.2">
      <c r="A903" s="568" t="s">
        <v>1332</v>
      </c>
      <c r="B903" s="567"/>
      <c r="C903" s="567"/>
      <c r="D903" s="567"/>
      <c r="E903" s="567"/>
      <c r="F903" s="567"/>
      <c r="G903" s="568" t="s">
        <v>1905</v>
      </c>
      <c r="H903" s="568" t="s">
        <v>624</v>
      </c>
      <c r="I903" s="239" t="str">
        <f>IF(ISBLANK(regional!I528),"",regional!I528)</f>
        <v/>
      </c>
      <c r="J903" s="228"/>
      <c r="K903" s="262" t="s">
        <v>4249</v>
      </c>
      <c r="N903" s="262" t="s">
        <v>4249</v>
      </c>
    </row>
    <row r="904" spans="1:14" ht="12.75" customHeight="1" x14ac:dyDescent="0.2">
      <c r="A904" s="568" t="s">
        <v>1332</v>
      </c>
      <c r="B904" s="567"/>
      <c r="C904" s="567"/>
      <c r="D904" s="567"/>
      <c r="E904" s="567"/>
      <c r="F904" s="567"/>
      <c r="G904" s="568" t="s">
        <v>1906</v>
      </c>
      <c r="H904" s="568" t="s">
        <v>624</v>
      </c>
      <c r="I904" s="239" t="str">
        <f>IF(ISBLANK(regional!I529),"",regional!I529)</f>
        <v/>
      </c>
      <c r="J904" s="411"/>
      <c r="K904" s="262" t="s">
        <v>4249</v>
      </c>
      <c r="N904" s="262" t="s">
        <v>4249</v>
      </c>
    </row>
    <row r="905" spans="1:14" ht="12.75" customHeight="1" x14ac:dyDescent="0.2">
      <c r="A905" s="568" t="s">
        <v>1334</v>
      </c>
      <c r="B905" s="567"/>
      <c r="C905" s="567"/>
      <c r="D905" s="567"/>
      <c r="E905" s="567"/>
      <c r="F905" s="567"/>
      <c r="G905" s="568" t="s">
        <v>1907</v>
      </c>
      <c r="H905" s="568" t="s">
        <v>624</v>
      </c>
      <c r="I905" s="239" t="str">
        <f>IF(ISBLANK(regional!I530),"",regional!I530)</f>
        <v/>
      </c>
      <c r="J905" s="228"/>
      <c r="K905" s="262" t="s">
        <v>4249</v>
      </c>
      <c r="N905" s="262" t="s">
        <v>4249</v>
      </c>
    </row>
    <row r="906" spans="1:14" ht="12.75" customHeight="1" x14ac:dyDescent="0.2">
      <c r="A906" s="568" t="s">
        <v>1334</v>
      </c>
      <c r="B906" s="567"/>
      <c r="C906" s="567"/>
      <c r="D906" s="567"/>
      <c r="E906" s="567"/>
      <c r="F906" s="567"/>
      <c r="G906" s="568" t="s">
        <v>1908</v>
      </c>
      <c r="H906" s="568" t="s">
        <v>624</v>
      </c>
      <c r="I906" s="239" t="str">
        <f>IF(ISBLANK(regional!I531),"",regional!I531)</f>
        <v/>
      </c>
      <c r="K906" s="262" t="s">
        <v>4249</v>
      </c>
      <c r="N906" s="262" t="s">
        <v>4249</v>
      </c>
    </row>
    <row r="907" spans="1:14" ht="12.75" customHeight="1" x14ac:dyDescent="0.2">
      <c r="A907" s="568" t="s">
        <v>1334</v>
      </c>
      <c r="B907" s="567"/>
      <c r="C907" s="567"/>
      <c r="D907" s="567"/>
      <c r="E907" s="567"/>
      <c r="F907" s="567"/>
      <c r="G907" s="568" t="s">
        <v>1909</v>
      </c>
      <c r="H907" s="568" t="s">
        <v>624</v>
      </c>
      <c r="I907" s="239" t="str">
        <f>IF(ISBLANK(regional!I532),"",regional!I532)</f>
        <v/>
      </c>
      <c r="K907" s="262" t="s">
        <v>4249</v>
      </c>
      <c r="N907" s="262" t="s">
        <v>4249</v>
      </c>
    </row>
    <row r="908" spans="1:14" ht="12.75" customHeight="1" x14ac:dyDescent="0.2">
      <c r="A908" s="568" t="s">
        <v>1336</v>
      </c>
      <c r="B908" s="567"/>
      <c r="C908" s="567"/>
      <c r="D908" s="567"/>
      <c r="E908" s="567"/>
      <c r="F908" s="567"/>
      <c r="G908" s="568" t="s">
        <v>1910</v>
      </c>
      <c r="H908" s="568" t="s">
        <v>624</v>
      </c>
      <c r="I908" s="239" t="str">
        <f>IF(ISBLANK(regional!I533),"",regional!I533)</f>
        <v/>
      </c>
      <c r="K908" s="262" t="s">
        <v>4249</v>
      </c>
      <c r="N908" s="262" t="s">
        <v>4249</v>
      </c>
    </row>
    <row r="909" spans="1:14" ht="12.75" customHeight="1" x14ac:dyDescent="0.2">
      <c r="A909" s="568" t="s">
        <v>1336</v>
      </c>
      <c r="B909" s="567"/>
      <c r="C909" s="567"/>
      <c r="D909" s="567"/>
      <c r="E909" s="567"/>
      <c r="F909" s="567"/>
      <c r="G909" s="568" t="s">
        <v>1911</v>
      </c>
      <c r="H909" s="568" t="s">
        <v>624</v>
      </c>
      <c r="I909" s="239" t="str">
        <f>IF(ISBLANK(regional!I534),"",regional!I534)</f>
        <v/>
      </c>
      <c r="K909" s="262" t="s">
        <v>4249</v>
      </c>
      <c r="N909" s="262" t="s">
        <v>4249</v>
      </c>
    </row>
    <row r="910" spans="1:14" ht="12.75" customHeight="1" x14ac:dyDescent="0.2">
      <c r="A910" s="568" t="s">
        <v>1336</v>
      </c>
      <c r="B910" s="567"/>
      <c r="C910" s="567"/>
      <c r="D910" s="567"/>
      <c r="E910" s="567"/>
      <c r="F910" s="567"/>
      <c r="G910" s="568" t="s">
        <v>1912</v>
      </c>
      <c r="H910" s="568" t="s">
        <v>624</v>
      </c>
      <c r="I910" s="239" t="str">
        <f>IF(ISBLANK(regional!I535),"",regional!I535)</f>
        <v/>
      </c>
      <c r="K910" s="262" t="s">
        <v>4249</v>
      </c>
      <c r="N910" s="262" t="s">
        <v>4249</v>
      </c>
    </row>
    <row r="911" spans="1:14" ht="12.75" customHeight="1" x14ac:dyDescent="0.2">
      <c r="A911" s="568" t="s">
        <v>1338</v>
      </c>
      <c r="B911" s="567"/>
      <c r="C911" s="567"/>
      <c r="D911" s="567"/>
      <c r="E911" s="567"/>
      <c r="F911" s="567"/>
      <c r="G911" s="568" t="s">
        <v>1913</v>
      </c>
      <c r="H911" s="568" t="s">
        <v>624</v>
      </c>
      <c r="I911" s="239" t="str">
        <f>IF(ISBLANK(regional!I536),"",regional!I536)</f>
        <v/>
      </c>
      <c r="K911" s="262" t="s">
        <v>4249</v>
      </c>
      <c r="N911" s="262" t="s">
        <v>4249</v>
      </c>
    </row>
    <row r="912" spans="1:14" ht="12.75" customHeight="1" x14ac:dyDescent="0.2">
      <c r="A912" s="568" t="s">
        <v>1338</v>
      </c>
      <c r="B912" s="567"/>
      <c r="C912" s="567"/>
      <c r="D912" s="567"/>
      <c r="E912" s="567"/>
      <c r="F912" s="567"/>
      <c r="G912" s="568" t="s">
        <v>1914</v>
      </c>
      <c r="H912" s="568" t="s">
        <v>624</v>
      </c>
      <c r="I912" s="239" t="str">
        <f>IF(ISBLANK(regional!I537),"",regional!I537)</f>
        <v/>
      </c>
      <c r="K912" s="262" t="s">
        <v>4249</v>
      </c>
      <c r="N912" s="262" t="s">
        <v>4249</v>
      </c>
    </row>
    <row r="913" spans="1:14" ht="12.75" customHeight="1" x14ac:dyDescent="0.2">
      <c r="A913" s="568" t="s">
        <v>1338</v>
      </c>
      <c r="B913" s="567"/>
      <c r="C913" s="567"/>
      <c r="D913" s="567"/>
      <c r="E913" s="567"/>
      <c r="F913" s="567"/>
      <c r="G913" s="568" t="s">
        <v>1915</v>
      </c>
      <c r="H913" s="568" t="s">
        <v>624</v>
      </c>
      <c r="I913" s="239" t="str">
        <f>IF(ISBLANK(regional!I538),"",regional!I538)</f>
        <v/>
      </c>
      <c r="K913" s="262" t="s">
        <v>4249</v>
      </c>
      <c r="N913" s="262" t="s">
        <v>4249</v>
      </c>
    </row>
    <row r="914" spans="1:14" ht="12.75" customHeight="1" x14ac:dyDescent="0.2">
      <c r="A914" s="568" t="s">
        <v>1340</v>
      </c>
      <c r="B914" s="567"/>
      <c r="C914" s="567"/>
      <c r="D914" s="567"/>
      <c r="E914" s="567"/>
      <c r="F914" s="567"/>
      <c r="G914" s="568" t="s">
        <v>1916</v>
      </c>
      <c r="H914" s="568" t="s">
        <v>624</v>
      </c>
      <c r="I914" s="239" t="str">
        <f>IF(ISBLANK(regional!I539),"",regional!I539)</f>
        <v/>
      </c>
      <c r="K914" s="262" t="s">
        <v>4249</v>
      </c>
      <c r="N914" s="262" t="s">
        <v>4249</v>
      </c>
    </row>
    <row r="915" spans="1:14" ht="12.75" customHeight="1" x14ac:dyDescent="0.2">
      <c r="A915" s="568" t="s">
        <v>1340</v>
      </c>
      <c r="B915" s="567"/>
      <c r="C915" s="567"/>
      <c r="D915" s="567"/>
      <c r="E915" s="567"/>
      <c r="F915" s="567"/>
      <c r="G915" s="568" t="s">
        <v>1917</v>
      </c>
      <c r="H915" s="568" t="s">
        <v>624</v>
      </c>
      <c r="I915" s="239" t="str">
        <f>IF(ISBLANK(regional!I540),"",regional!I540)</f>
        <v/>
      </c>
      <c r="K915" s="262" t="s">
        <v>4249</v>
      </c>
      <c r="N915" s="262" t="s">
        <v>4249</v>
      </c>
    </row>
    <row r="916" spans="1:14" ht="12.75" customHeight="1" x14ac:dyDescent="0.2">
      <c r="A916" s="568" t="s">
        <v>1340</v>
      </c>
      <c r="B916" s="567"/>
      <c r="C916" s="567"/>
      <c r="D916" s="567"/>
      <c r="E916" s="567"/>
      <c r="F916" s="567"/>
      <c r="G916" s="568" t="s">
        <v>1918</v>
      </c>
      <c r="H916" s="568" t="s">
        <v>624</v>
      </c>
      <c r="I916" s="239" t="str">
        <f>IF(ISBLANK(regional!I541),"",regional!I541)</f>
        <v/>
      </c>
      <c r="K916" s="262" t="s">
        <v>4249</v>
      </c>
      <c r="N916" s="262" t="s">
        <v>4249</v>
      </c>
    </row>
    <row r="917" spans="1:14" ht="12.75" customHeight="1" x14ac:dyDescent="0.2">
      <c r="A917" s="567"/>
      <c r="B917" s="567" t="s">
        <v>1919</v>
      </c>
      <c r="C917" s="567"/>
      <c r="D917" s="567"/>
      <c r="E917" s="567"/>
      <c r="F917" s="567"/>
      <c r="G917" s="568" t="s">
        <v>1920</v>
      </c>
      <c r="H917" s="568" t="s">
        <v>340</v>
      </c>
      <c r="I917" s="239" t="str">
        <f>IF(ISBLANK(regional!I542),"",regional!I542)</f>
        <v/>
      </c>
      <c r="K917" s="262" t="s">
        <v>4249</v>
      </c>
      <c r="N917" s="262" t="s">
        <v>4249</v>
      </c>
    </row>
    <row r="918" spans="1:14" ht="12.75" customHeight="1" x14ac:dyDescent="0.2">
      <c r="A918" s="567"/>
      <c r="B918" s="567" t="s">
        <v>1922</v>
      </c>
      <c r="C918" s="567"/>
      <c r="D918" s="567"/>
      <c r="E918" s="567"/>
      <c r="F918" s="567"/>
      <c r="G918" s="568" t="s">
        <v>1923</v>
      </c>
      <c r="H918" s="568" t="s">
        <v>340</v>
      </c>
      <c r="I918" s="239" t="str">
        <f>IF(ISBLANK(regional!I543),"",regional!I543)</f>
        <v/>
      </c>
      <c r="K918" s="262" t="s">
        <v>4249</v>
      </c>
      <c r="N918" s="262" t="s">
        <v>4249</v>
      </c>
    </row>
    <row r="919" spans="1:14" ht="12.75" customHeight="1" x14ac:dyDescent="0.2">
      <c r="A919" s="567"/>
      <c r="B919" s="567" t="s">
        <v>1924</v>
      </c>
      <c r="C919" s="567"/>
      <c r="D919" s="567"/>
      <c r="E919" s="567"/>
      <c r="F919" s="567"/>
      <c r="G919" s="568" t="s">
        <v>1925</v>
      </c>
      <c r="H919" s="568" t="s">
        <v>340</v>
      </c>
      <c r="I919" s="239" t="str">
        <f>IF(ISBLANK(regional!I544),"",regional!I544)</f>
        <v/>
      </c>
      <c r="K919" s="262" t="s">
        <v>4249</v>
      </c>
      <c r="N919" s="262" t="s">
        <v>4249</v>
      </c>
    </row>
    <row r="920" spans="1:14" ht="12.75" customHeight="1" x14ac:dyDescent="0.2">
      <c r="A920" s="567"/>
      <c r="B920" s="567" t="s">
        <v>1926</v>
      </c>
      <c r="C920" s="567"/>
      <c r="D920" s="567"/>
      <c r="E920" s="567"/>
      <c r="F920" s="567"/>
      <c r="G920" s="568" t="s">
        <v>1927</v>
      </c>
      <c r="H920" s="568" t="s">
        <v>340</v>
      </c>
      <c r="I920" s="239" t="str">
        <f>IF(ISBLANK(regional!I545),"",regional!I545)</f>
        <v/>
      </c>
      <c r="K920" s="262" t="s">
        <v>4249</v>
      </c>
      <c r="N920" s="262" t="s">
        <v>4249</v>
      </c>
    </row>
    <row r="921" spans="1:14" ht="12.75" customHeight="1" x14ac:dyDescent="0.2">
      <c r="A921" s="567"/>
      <c r="B921" s="567" t="s">
        <v>1929</v>
      </c>
      <c r="C921" s="567"/>
      <c r="D921" s="567"/>
      <c r="E921" s="567"/>
      <c r="F921" s="567"/>
      <c r="G921" s="568" t="s">
        <v>1930</v>
      </c>
      <c r="H921" s="568" t="s">
        <v>340</v>
      </c>
      <c r="I921" s="239" t="str">
        <f>IF(ISBLANK(regional!I546),"",regional!I546)</f>
        <v/>
      </c>
      <c r="K921" s="262" t="s">
        <v>4249</v>
      </c>
      <c r="N921" s="262" t="s">
        <v>4249</v>
      </c>
    </row>
    <row r="922" spans="1:14" ht="12.75" customHeight="1" x14ac:dyDescent="0.2">
      <c r="A922" s="567"/>
      <c r="B922" s="567" t="s">
        <v>1931</v>
      </c>
      <c r="C922" s="567"/>
      <c r="D922" s="567"/>
      <c r="E922" s="567"/>
      <c r="F922" s="567"/>
      <c r="G922" s="568" t="s">
        <v>1932</v>
      </c>
      <c r="H922" s="568" t="s">
        <v>340</v>
      </c>
      <c r="I922" s="239" t="str">
        <f>IF(ISBLANK(regional!I547),"",regional!I547)</f>
        <v/>
      </c>
      <c r="K922" s="262" t="s">
        <v>4249</v>
      </c>
      <c r="N922" s="262" t="s">
        <v>4249</v>
      </c>
    </row>
    <row r="923" spans="1:14" ht="12.75" customHeight="1" x14ac:dyDescent="0.2">
      <c r="C923" s="172"/>
      <c r="D923" s="183"/>
      <c r="I923" s="795"/>
    </row>
    <row r="924" spans="1:14" ht="12.75" customHeight="1" x14ac:dyDescent="0.2">
      <c r="A924" s="280" t="s">
        <v>1933</v>
      </c>
      <c r="B924" s="17"/>
      <c r="C924" s="17"/>
      <c r="D924" s="17"/>
      <c r="E924" s="17"/>
      <c r="F924" s="17"/>
      <c r="G924" s="38"/>
      <c r="H924" s="17"/>
      <c r="I924" s="796" t="str">
        <f>IF(global!$I142="","",global!$I142)</f>
        <v/>
      </c>
      <c r="K924" s="262" t="s">
        <v>4249</v>
      </c>
      <c r="N924" s="262" t="s">
        <v>4249</v>
      </c>
    </row>
    <row r="925" spans="1:14" ht="12.75" customHeight="1" x14ac:dyDescent="0.2">
      <c r="A925" s="17"/>
      <c r="B925" s="17"/>
      <c r="C925" s="17"/>
      <c r="D925" s="17"/>
      <c r="E925" s="17"/>
      <c r="F925" s="17"/>
      <c r="G925" s="17"/>
      <c r="H925" s="17"/>
      <c r="I925" s="796" t="str">
        <f>IF(global!$I141="","",global!$I141)</f>
        <v/>
      </c>
      <c r="K925" s="262" t="s">
        <v>4249</v>
      </c>
      <c r="N925" s="262" t="s">
        <v>4249</v>
      </c>
    </row>
    <row r="926" spans="1:14" ht="12.75" customHeight="1" x14ac:dyDescent="0.2">
      <c r="A926" s="147" t="s">
        <v>954</v>
      </c>
      <c r="B926" s="147"/>
      <c r="C926" s="147"/>
      <c r="D926" s="147"/>
      <c r="E926" s="147"/>
      <c r="F926" s="147"/>
      <c r="G926" s="148" t="s">
        <v>263</v>
      </c>
      <c r="H926" s="148" t="s">
        <v>279</v>
      </c>
      <c r="I926" s="545"/>
      <c r="J926" s="545"/>
    </row>
    <row r="927" spans="1:14" ht="12.75" customHeight="1" x14ac:dyDescent="0.2">
      <c r="A927" s="17"/>
      <c r="B927" s="17"/>
      <c r="C927" s="38"/>
      <c r="D927" s="38"/>
      <c r="E927" s="17"/>
      <c r="F927" s="17"/>
      <c r="G927" s="17"/>
      <c r="H927" s="17"/>
      <c r="I927" s="17"/>
      <c r="J927" s="228"/>
    </row>
    <row r="928" spans="1:14" ht="12.75" customHeight="1" x14ac:dyDescent="0.2">
      <c r="A928" s="38" t="s">
        <v>955</v>
      </c>
      <c r="B928" s="17"/>
      <c r="C928" s="17"/>
      <c r="D928" s="17"/>
      <c r="E928" s="17"/>
      <c r="F928" s="17"/>
      <c r="G928" s="38" t="s">
        <v>1934</v>
      </c>
      <c r="H928" s="17" t="s">
        <v>957</v>
      </c>
      <c r="I928" s="239" t="str">
        <f>IF(ISBLANK(continental!I5),"",continental!I5)</f>
        <v/>
      </c>
      <c r="J928" s="228"/>
      <c r="K928" s="262" t="s">
        <v>4249</v>
      </c>
      <c r="N928" s="262" t="s">
        <v>4249</v>
      </c>
    </row>
    <row r="929" spans="1:14" ht="12.75" customHeight="1" x14ac:dyDescent="0.2">
      <c r="A929" s="568" t="s">
        <v>1935</v>
      </c>
      <c r="B929" s="567"/>
      <c r="C929" s="567"/>
      <c r="D929" s="567"/>
      <c r="E929" s="567"/>
      <c r="F929" s="567"/>
      <c r="G929" s="568" t="s">
        <v>1936</v>
      </c>
      <c r="H929" s="567" t="s">
        <v>957</v>
      </c>
      <c r="I929" s="239" t="str">
        <f>IF(ISBLANK(continental!I6),"",continental!I6)</f>
        <v/>
      </c>
      <c r="J929" s="228"/>
      <c r="K929" s="262" t="s">
        <v>4249</v>
      </c>
      <c r="N929" s="262" t="s">
        <v>4249</v>
      </c>
    </row>
    <row r="930" spans="1:14" ht="12.75" customHeight="1" x14ac:dyDescent="0.2">
      <c r="A930" s="38" t="s">
        <v>962</v>
      </c>
      <c r="B930" s="17"/>
      <c r="C930" s="17"/>
      <c r="D930" s="17"/>
      <c r="E930" s="17"/>
      <c r="F930" s="17"/>
      <c r="G930" s="38" t="s">
        <v>1937</v>
      </c>
      <c r="H930" s="38" t="s">
        <v>957</v>
      </c>
      <c r="I930" s="239" t="str">
        <f>IF(ISBLANK(continental!I7),"",continental!I7)</f>
        <v/>
      </c>
      <c r="J930" s="228"/>
      <c r="K930" s="262" t="s">
        <v>4249</v>
      </c>
      <c r="N930" s="262" t="s">
        <v>4249</v>
      </c>
    </row>
    <row r="931" spans="1:14" ht="12.75" customHeight="1" x14ac:dyDescent="0.2">
      <c r="A931" s="38" t="s">
        <v>964</v>
      </c>
      <c r="B931" s="17"/>
      <c r="C931" s="17"/>
      <c r="D931" s="17"/>
      <c r="E931" s="17"/>
      <c r="F931" s="17"/>
      <c r="G931" s="38" t="s">
        <v>1938</v>
      </c>
      <c r="H931" s="17" t="s">
        <v>957</v>
      </c>
      <c r="I931" s="239" t="str">
        <f>IF(ISBLANK(continental!I8),"",continental!I8)</f>
        <v/>
      </c>
      <c r="J931" s="411"/>
      <c r="K931" s="262" t="s">
        <v>4249</v>
      </c>
      <c r="N931" s="262" t="s">
        <v>4249</v>
      </c>
    </row>
    <row r="932" spans="1:14" ht="12.75" customHeight="1" x14ac:dyDescent="0.2">
      <c r="A932" s="38" t="s">
        <v>966</v>
      </c>
      <c r="B932" s="17"/>
      <c r="C932" s="17"/>
      <c r="D932" s="17"/>
      <c r="E932" s="17"/>
      <c r="F932" s="17"/>
      <c r="G932" s="38" t="s">
        <v>1939</v>
      </c>
      <c r="H932" s="17" t="s">
        <v>957</v>
      </c>
      <c r="I932" s="239" t="str">
        <f>IF(ISBLANK(continental!I9),"",continental!I9)</f>
        <v/>
      </c>
      <c r="J932" s="831"/>
      <c r="K932" s="262" t="s">
        <v>4249</v>
      </c>
      <c r="N932" s="262" t="s">
        <v>4249</v>
      </c>
    </row>
    <row r="933" spans="1:14" ht="12.75" customHeight="1" x14ac:dyDescent="0.2">
      <c r="A933" s="568" t="s">
        <v>1940</v>
      </c>
      <c r="B933" s="567"/>
      <c r="C933" s="567"/>
      <c r="D933" s="567"/>
      <c r="E933" s="567"/>
      <c r="F933" s="567"/>
      <c r="G933" s="568" t="s">
        <v>1941</v>
      </c>
      <c r="H933" s="567" t="s">
        <v>957</v>
      </c>
      <c r="I933" s="239" t="str">
        <f>IF(ISBLANK(continental!I10),"",continental!I10)</f>
        <v/>
      </c>
      <c r="K933" s="262" t="s">
        <v>4249</v>
      </c>
      <c r="N933" s="262" t="s">
        <v>4249</v>
      </c>
    </row>
    <row r="934" spans="1:14" ht="12.75" customHeight="1" x14ac:dyDescent="0.2">
      <c r="A934" s="38" t="s">
        <v>970</v>
      </c>
      <c r="B934" s="17"/>
      <c r="C934" s="17"/>
      <c r="D934" s="17"/>
      <c r="E934" s="17"/>
      <c r="F934" s="17"/>
      <c r="G934" s="38" t="s">
        <v>1942</v>
      </c>
      <c r="H934" s="17" t="s">
        <v>957</v>
      </c>
      <c r="I934" s="239" t="str">
        <f>IF(ISBLANK(continental!I11),"",continental!I11)</f>
        <v/>
      </c>
      <c r="K934" s="262" t="s">
        <v>4249</v>
      </c>
      <c r="N934" s="262" t="s">
        <v>4249</v>
      </c>
    </row>
    <row r="935" spans="1:14" ht="12.75" customHeight="1" x14ac:dyDescent="0.2">
      <c r="A935" s="38" t="s">
        <v>972</v>
      </c>
      <c r="B935" s="17"/>
      <c r="C935" s="17"/>
      <c r="D935" s="17"/>
      <c r="E935" s="17"/>
      <c r="F935" s="17"/>
      <c r="G935" s="38" t="s">
        <v>1943</v>
      </c>
      <c r="H935" s="17" t="s">
        <v>957</v>
      </c>
      <c r="I935" s="239" t="str">
        <f>IF(ISBLANK(continental!I12),"",continental!I12)</f>
        <v/>
      </c>
      <c r="K935" s="262" t="s">
        <v>4249</v>
      </c>
      <c r="N935" s="262" t="s">
        <v>4249</v>
      </c>
    </row>
    <row r="936" spans="1:14" ht="12.75" customHeight="1" x14ac:dyDescent="0.2">
      <c r="A936" s="38" t="s">
        <v>974</v>
      </c>
      <c r="B936" s="17"/>
      <c r="C936" s="17"/>
      <c r="D936" s="17"/>
      <c r="E936" s="17"/>
      <c r="F936" s="17"/>
      <c r="G936" s="38" t="s">
        <v>1944</v>
      </c>
      <c r="H936" s="17" t="s">
        <v>957</v>
      </c>
      <c r="I936" s="239" t="str">
        <f>IF(ISBLANK(continental!I13),"",continental!I13)</f>
        <v/>
      </c>
      <c r="K936" s="262" t="s">
        <v>4249</v>
      </c>
      <c r="N936" s="262" t="s">
        <v>4249</v>
      </c>
    </row>
    <row r="937" spans="1:14" ht="12.75" customHeight="1" x14ac:dyDescent="0.2">
      <c r="A937" s="38" t="s">
        <v>976</v>
      </c>
      <c r="B937" s="17"/>
      <c r="C937" s="17"/>
      <c r="D937" s="17"/>
      <c r="E937" s="17"/>
      <c r="F937" s="17"/>
      <c r="G937" s="38" t="s">
        <v>1945</v>
      </c>
      <c r="H937" s="17" t="s">
        <v>957</v>
      </c>
      <c r="I937" s="239" t="str">
        <f>IF(ISBLANK(continental!I14),"",continental!I14)</f>
        <v/>
      </c>
      <c r="K937" s="262" t="s">
        <v>4249</v>
      </c>
      <c r="N937" s="262" t="s">
        <v>4249</v>
      </c>
    </row>
    <row r="938" spans="1:14" ht="12.75" customHeight="1" x14ac:dyDescent="0.2">
      <c r="A938" s="38" t="s">
        <v>978</v>
      </c>
      <c r="B938" s="17"/>
      <c r="C938" s="17"/>
      <c r="D938" s="17"/>
      <c r="E938" s="17"/>
      <c r="F938" s="17"/>
      <c r="G938" s="38" t="s">
        <v>1946</v>
      </c>
      <c r="H938" s="17" t="s">
        <v>957</v>
      </c>
      <c r="I938" s="239" t="str">
        <f>IF(ISBLANK(continental!I15),"",continental!I15)</f>
        <v/>
      </c>
      <c r="K938" s="262" t="s">
        <v>4249</v>
      </c>
      <c r="N938" s="262" t="s">
        <v>4249</v>
      </c>
    </row>
    <row r="939" spans="1:14" ht="12.75" customHeight="1" x14ac:dyDescent="0.2">
      <c r="A939" s="38"/>
      <c r="B939" s="146" t="s">
        <v>1947</v>
      </c>
      <c r="C939" s="17"/>
      <c r="D939" s="17"/>
      <c r="E939" s="17"/>
      <c r="F939" s="17"/>
      <c r="G939" s="38" t="s">
        <v>1948</v>
      </c>
      <c r="H939" s="17" t="s">
        <v>679</v>
      </c>
      <c r="I939" s="239" t="str">
        <f>IF(ISBLANK(continental!I16),"",continental!I16)</f>
        <v/>
      </c>
      <c r="K939" s="262" t="s">
        <v>4249</v>
      </c>
      <c r="N939" s="262" t="s">
        <v>4249</v>
      </c>
    </row>
    <row r="940" spans="1:14" ht="12.75" customHeight="1" x14ac:dyDescent="0.2">
      <c r="A940" s="38"/>
      <c r="B940" s="38" t="s">
        <v>982</v>
      </c>
      <c r="C940" s="17"/>
      <c r="D940" s="17"/>
      <c r="E940" s="17"/>
      <c r="F940" s="17"/>
      <c r="G940" s="146" t="s">
        <v>1949</v>
      </c>
      <c r="H940" s="38" t="s">
        <v>296</v>
      </c>
      <c r="I940" s="239" t="str">
        <f>IF(ISBLANK(continental!I17),"",continental!I17)</f>
        <v/>
      </c>
      <c r="K940" s="262" t="s">
        <v>4249</v>
      </c>
      <c r="N940" s="262" t="s">
        <v>4249</v>
      </c>
    </row>
    <row r="941" spans="1:14" ht="12.75" customHeight="1" x14ac:dyDescent="0.2">
      <c r="A941" s="38"/>
      <c r="B941" s="38" t="s">
        <v>984</v>
      </c>
      <c r="C941" s="17"/>
      <c r="D941" s="17"/>
      <c r="E941" s="17"/>
      <c r="F941" s="17"/>
      <c r="G941" s="146" t="s">
        <v>1950</v>
      </c>
      <c r="H941" s="17" t="s">
        <v>296</v>
      </c>
      <c r="I941" s="239" t="str">
        <f>IF(ISBLANK(continental!I18),"",continental!I18)</f>
        <v/>
      </c>
      <c r="K941" s="262" t="s">
        <v>4249</v>
      </c>
      <c r="N941" s="262" t="s">
        <v>4249</v>
      </c>
    </row>
    <row r="942" spans="1:14" ht="12.75" customHeight="1" x14ac:dyDescent="0.2">
      <c r="A942" s="38"/>
      <c r="B942" s="38" t="s">
        <v>986</v>
      </c>
      <c r="C942" s="17"/>
      <c r="D942" s="17"/>
      <c r="E942" s="17"/>
      <c r="F942" s="17"/>
      <c r="G942" s="146" t="s">
        <v>1951</v>
      </c>
      <c r="H942" s="17" t="s">
        <v>296</v>
      </c>
      <c r="I942" s="239" t="str">
        <f>IF(ISBLANK(continental!I19),"",continental!I19)</f>
        <v/>
      </c>
      <c r="K942" s="262" t="s">
        <v>4249</v>
      </c>
      <c r="N942" s="262" t="s">
        <v>4249</v>
      </c>
    </row>
    <row r="943" spans="1:14" ht="12.75" customHeight="1" x14ac:dyDescent="0.2">
      <c r="A943" s="38"/>
      <c r="B943" s="38" t="s">
        <v>988</v>
      </c>
      <c r="C943" s="17"/>
      <c r="D943" s="17"/>
      <c r="E943" s="17"/>
      <c r="F943" s="17"/>
      <c r="G943" s="146" t="s">
        <v>1952</v>
      </c>
      <c r="H943" s="17" t="s">
        <v>296</v>
      </c>
      <c r="I943" s="239" t="str">
        <f>IF(ISBLANK(continental!I20),"",continental!I20)</f>
        <v/>
      </c>
      <c r="K943" s="262" t="s">
        <v>4249</v>
      </c>
      <c r="N943" s="262" t="s">
        <v>4249</v>
      </c>
    </row>
    <row r="944" spans="1:14" ht="12.75" customHeight="1" x14ac:dyDescent="0.2">
      <c r="A944" s="38"/>
      <c r="B944" s="38" t="s">
        <v>990</v>
      </c>
      <c r="C944" s="17"/>
      <c r="D944" s="17"/>
      <c r="E944" s="17"/>
      <c r="F944" s="17"/>
      <c r="G944" s="146" t="s">
        <v>1953</v>
      </c>
      <c r="H944" s="17" t="s">
        <v>296</v>
      </c>
      <c r="I944" s="239" t="str">
        <f>IF(ISBLANK(continental!I21),"",continental!I21)</f>
        <v/>
      </c>
      <c r="K944" s="262" t="s">
        <v>4249</v>
      </c>
      <c r="N944" s="262" t="s">
        <v>4249</v>
      </c>
    </row>
    <row r="945" spans="1:14" ht="12.75" customHeight="1" x14ac:dyDescent="0.2">
      <c r="A945" s="38"/>
      <c r="B945" s="38" t="s">
        <v>992</v>
      </c>
      <c r="C945" s="17"/>
      <c r="D945" s="17"/>
      <c r="E945" s="17"/>
      <c r="F945" s="17"/>
      <c r="G945" s="146" t="s">
        <v>1954</v>
      </c>
      <c r="H945" s="17" t="s">
        <v>296</v>
      </c>
      <c r="I945" s="239" t="str">
        <f>IF(ISBLANK(continental!I22),"",continental!I22)</f>
        <v/>
      </c>
      <c r="K945" s="262" t="s">
        <v>4249</v>
      </c>
      <c r="N945" s="262" t="s">
        <v>4249</v>
      </c>
    </row>
    <row r="946" spans="1:14" ht="12.75" customHeight="1" x14ac:dyDescent="0.2">
      <c r="A946" s="38"/>
      <c r="B946" s="17"/>
      <c r="C946" s="38" t="s">
        <v>994</v>
      </c>
      <c r="D946" s="146"/>
      <c r="E946" s="146"/>
      <c r="F946" s="17"/>
      <c r="G946" s="146" t="s">
        <v>1955</v>
      </c>
      <c r="H946" s="17" t="s">
        <v>820</v>
      </c>
      <c r="I946" s="239" t="str">
        <f>IF(ISBLANK(continental!I23),"",continental!I23)</f>
        <v/>
      </c>
      <c r="K946" s="262" t="s">
        <v>4249</v>
      </c>
      <c r="N946" s="262" t="s">
        <v>4249</v>
      </c>
    </row>
    <row r="947" spans="1:14" ht="12.75" customHeight="1" x14ac:dyDescent="0.2">
      <c r="A947" s="38"/>
      <c r="B947" s="17"/>
      <c r="C947" s="38" t="s">
        <v>996</v>
      </c>
      <c r="D947" s="146"/>
      <c r="E947" s="146"/>
      <c r="F947" s="17"/>
      <c r="G947" s="146" t="s">
        <v>1956</v>
      </c>
      <c r="H947" s="38" t="s">
        <v>820</v>
      </c>
      <c r="I947" s="239" t="str">
        <f>IF(ISBLANK(continental!I24),"",continental!I24)</f>
        <v/>
      </c>
      <c r="K947" s="262" t="s">
        <v>4249</v>
      </c>
      <c r="N947" s="262" t="s">
        <v>4249</v>
      </c>
    </row>
    <row r="948" spans="1:14" ht="12.75" customHeight="1" x14ac:dyDescent="0.2">
      <c r="A948" s="38"/>
      <c r="B948" s="17"/>
      <c r="C948" s="38" t="s">
        <v>998</v>
      </c>
      <c r="D948" s="146"/>
      <c r="E948" s="146"/>
      <c r="F948" s="17"/>
      <c r="G948" s="146" t="s">
        <v>1957</v>
      </c>
      <c r="H948" s="17" t="s">
        <v>820</v>
      </c>
      <c r="I948" s="239" t="str">
        <f>IF(ISBLANK(continental!I25),"",continental!I25)</f>
        <v/>
      </c>
      <c r="K948" s="262" t="s">
        <v>4249</v>
      </c>
      <c r="N948" s="262" t="s">
        <v>4249</v>
      </c>
    </row>
    <row r="949" spans="1:14" ht="12.75" customHeight="1" x14ac:dyDescent="0.2">
      <c r="A949" s="38"/>
      <c r="B949" s="17"/>
      <c r="C949" s="38" t="s">
        <v>1000</v>
      </c>
      <c r="D949" s="146"/>
      <c r="E949" s="146"/>
      <c r="F949" s="17"/>
      <c r="G949" s="146" t="s">
        <v>1958</v>
      </c>
      <c r="H949" s="17" t="s">
        <v>820</v>
      </c>
      <c r="I949" s="239" t="str">
        <f>IF(ISBLANK(continental!I26),"",continental!I26)</f>
        <v/>
      </c>
      <c r="K949" s="262" t="s">
        <v>4249</v>
      </c>
      <c r="N949" s="262" t="s">
        <v>4249</v>
      </c>
    </row>
    <row r="950" spans="1:14" ht="12.75" customHeight="1" x14ac:dyDescent="0.2">
      <c r="A950" s="568"/>
      <c r="B950" s="567"/>
      <c r="C950" s="568" t="s">
        <v>1959</v>
      </c>
      <c r="D950" s="680"/>
      <c r="E950" s="680"/>
      <c r="F950" s="567"/>
      <c r="G950" s="680" t="s">
        <v>1960</v>
      </c>
      <c r="H950" s="567" t="s">
        <v>1004</v>
      </c>
      <c r="I950" s="239" t="str">
        <f>IF(ISBLANK(continental!I27),"",continental!I27)</f>
        <v/>
      </c>
      <c r="K950" s="262" t="s">
        <v>4249</v>
      </c>
      <c r="N950" s="262" t="s">
        <v>4249</v>
      </c>
    </row>
    <row r="951" spans="1:14" ht="12.75" customHeight="1" x14ac:dyDescent="0.2">
      <c r="A951" s="38"/>
      <c r="B951" s="17"/>
      <c r="C951" s="38" t="s">
        <v>1005</v>
      </c>
      <c r="D951" s="146"/>
      <c r="E951" s="146"/>
      <c r="F951" s="17"/>
      <c r="G951" s="146" t="s">
        <v>1961</v>
      </c>
      <c r="H951" s="17" t="s">
        <v>1004</v>
      </c>
      <c r="I951" s="239" t="str">
        <f>IF(ISBLANK(continental!I28),"",continental!I28)</f>
        <v/>
      </c>
      <c r="K951" s="262" t="s">
        <v>4249</v>
      </c>
      <c r="N951" s="262" t="s">
        <v>4249</v>
      </c>
    </row>
    <row r="952" spans="1:14" ht="12.75" customHeight="1" x14ac:dyDescent="0.2">
      <c r="A952" s="38"/>
      <c r="B952" s="17"/>
      <c r="C952" s="38" t="s">
        <v>1007</v>
      </c>
      <c r="D952" s="146"/>
      <c r="E952" s="146"/>
      <c r="F952" s="17"/>
      <c r="G952" s="146" t="s">
        <v>1962</v>
      </c>
      <c r="H952" s="17" t="s">
        <v>1004</v>
      </c>
      <c r="I952" s="239" t="str">
        <f>IF(ISBLANK(continental!I29),"",continental!I29)</f>
        <v/>
      </c>
      <c r="K952" s="262" t="s">
        <v>4249</v>
      </c>
      <c r="N952" s="262" t="s">
        <v>4249</v>
      </c>
    </row>
    <row r="953" spans="1:14" ht="12.75" customHeight="1" x14ac:dyDescent="0.2">
      <c r="A953" s="38"/>
      <c r="B953" s="17"/>
      <c r="C953" s="38" t="s">
        <v>1009</v>
      </c>
      <c r="D953" s="146"/>
      <c r="E953" s="146"/>
      <c r="F953" s="17"/>
      <c r="G953" s="146" t="s">
        <v>1963</v>
      </c>
      <c r="H953" s="17" t="s">
        <v>820</v>
      </c>
      <c r="I953" s="239" t="str">
        <f>IF(ISBLANK(continental!I30),"",continental!I30)</f>
        <v/>
      </c>
      <c r="K953" s="262" t="s">
        <v>4249</v>
      </c>
      <c r="N953" s="262" t="s">
        <v>4249</v>
      </c>
    </row>
    <row r="954" spans="1:14" ht="12.75" customHeight="1" x14ac:dyDescent="0.2">
      <c r="A954" s="38"/>
      <c r="B954" s="17"/>
      <c r="C954" s="38" t="s">
        <v>1964</v>
      </c>
      <c r="D954" s="146"/>
      <c r="E954" s="146"/>
      <c r="F954" s="17"/>
      <c r="G954" s="146" t="s">
        <v>1965</v>
      </c>
      <c r="H954" s="17" t="s">
        <v>820</v>
      </c>
      <c r="I954" s="239" t="str">
        <f>IF(ISBLANK(continental!I31),"",continental!I31)</f>
        <v/>
      </c>
      <c r="K954" s="262" t="s">
        <v>4249</v>
      </c>
      <c r="N954" s="262" t="s">
        <v>4249</v>
      </c>
    </row>
    <row r="955" spans="1:14" ht="12.75" customHeight="1" x14ac:dyDescent="0.2">
      <c r="A955" s="38"/>
      <c r="B955" s="17"/>
      <c r="C955" s="38" t="s">
        <v>1013</v>
      </c>
      <c r="D955" s="146"/>
      <c r="E955" s="146"/>
      <c r="F955" s="17"/>
      <c r="G955" s="146" t="s">
        <v>1966</v>
      </c>
      <c r="H955" s="17" t="s">
        <v>820</v>
      </c>
      <c r="I955" s="239" t="str">
        <f>IF(ISBLANK(continental!I32),"",continental!I32)</f>
        <v/>
      </c>
      <c r="K955" s="262" t="s">
        <v>4249</v>
      </c>
      <c r="N955" s="262" t="s">
        <v>4249</v>
      </c>
    </row>
    <row r="956" spans="1:14" ht="12.75" customHeight="1" x14ac:dyDescent="0.2">
      <c r="A956" s="567"/>
      <c r="B956" s="567"/>
      <c r="C956" s="567" t="s">
        <v>1015</v>
      </c>
      <c r="D956" s="567"/>
      <c r="E956" s="567"/>
      <c r="F956" s="567"/>
      <c r="G956" s="568" t="s">
        <v>1967</v>
      </c>
      <c r="H956" s="568" t="s">
        <v>1017</v>
      </c>
      <c r="I956" s="239" t="str">
        <f>IF(ISBLANK(continental!I33),"",continental!I33)</f>
        <v/>
      </c>
      <c r="K956" s="262" t="s">
        <v>4249</v>
      </c>
      <c r="N956" s="262" t="s">
        <v>4249</v>
      </c>
    </row>
    <row r="957" spans="1:14" ht="12.75" customHeight="1" x14ac:dyDescent="0.2">
      <c r="A957" s="17"/>
      <c r="B957" s="17"/>
      <c r="C957" s="17" t="s">
        <v>1019</v>
      </c>
      <c r="D957" s="17"/>
      <c r="E957" s="17"/>
      <c r="F957" s="17"/>
      <c r="G957" s="38" t="s">
        <v>1968</v>
      </c>
      <c r="H957" s="38" t="s">
        <v>1017</v>
      </c>
      <c r="I957" s="239" t="str">
        <f>IF(ISBLANK(continental!I34),"",continental!I34)</f>
        <v/>
      </c>
      <c r="K957" s="262" t="s">
        <v>4249</v>
      </c>
      <c r="N957" s="262" t="s">
        <v>4249</v>
      </c>
    </row>
    <row r="958" spans="1:14" ht="12.75" customHeight="1" x14ac:dyDescent="0.2">
      <c r="A958" s="17"/>
      <c r="B958" s="17"/>
      <c r="C958" s="17" t="s">
        <v>1022</v>
      </c>
      <c r="D958" s="17"/>
      <c r="E958" s="17"/>
      <c r="F958" s="17"/>
      <c r="G958" s="38" t="s">
        <v>1969</v>
      </c>
      <c r="H958" s="38" t="s">
        <v>1017</v>
      </c>
      <c r="I958" s="239" t="str">
        <f>IF(ISBLANK(continental!I35),"",continental!I35)</f>
        <v/>
      </c>
      <c r="K958" s="262" t="s">
        <v>4249</v>
      </c>
      <c r="N958" s="262" t="s">
        <v>4249</v>
      </c>
    </row>
    <row r="959" spans="1:14" ht="12.75" customHeight="1" x14ac:dyDescent="0.2">
      <c r="A959" s="38"/>
      <c r="B959" s="17"/>
      <c r="C959" s="38" t="s">
        <v>1024</v>
      </c>
      <c r="D959" s="146"/>
      <c r="E959" s="146"/>
      <c r="F959" s="17"/>
      <c r="G959" s="146" t="s">
        <v>1970</v>
      </c>
      <c r="H959" s="17" t="s">
        <v>1017</v>
      </c>
      <c r="I959" s="239" t="str">
        <f>IF(ISBLANK(continental!I36),"",continental!I36)</f>
        <v/>
      </c>
      <c r="K959" s="262" t="s">
        <v>4249</v>
      </c>
      <c r="N959" s="262" t="s">
        <v>4249</v>
      </c>
    </row>
    <row r="960" spans="1:14" ht="12.75" customHeight="1" x14ac:dyDescent="0.2">
      <c r="A960" s="38"/>
      <c r="B960" s="17"/>
      <c r="C960" s="38" t="s">
        <v>1026</v>
      </c>
      <c r="D960" s="146"/>
      <c r="E960" s="146"/>
      <c r="F960" s="17"/>
      <c r="G960" s="146" t="s">
        <v>1971</v>
      </c>
      <c r="H960" s="17" t="s">
        <v>1017</v>
      </c>
      <c r="I960" s="239" t="str">
        <f>IF(ISBLANK(continental!I37),"",continental!I37)</f>
        <v/>
      </c>
      <c r="K960" s="262" t="s">
        <v>4249</v>
      </c>
      <c r="N960" s="262" t="s">
        <v>4249</v>
      </c>
    </row>
    <row r="961" spans="1:220" ht="12.75" customHeight="1" x14ac:dyDescent="0.2">
      <c r="A961" s="38"/>
      <c r="B961" s="17"/>
      <c r="C961" s="38" t="s">
        <v>1028</v>
      </c>
      <c r="D961" s="146"/>
      <c r="E961" s="146"/>
      <c r="F961" s="17"/>
      <c r="G961" s="146" t="s">
        <v>1972</v>
      </c>
      <c r="H961" s="17" t="s">
        <v>1017</v>
      </c>
      <c r="I961" s="239" t="str">
        <f>IF(ISBLANK(continental!I38),"",continental!I38)</f>
        <v/>
      </c>
      <c r="K961" s="262" t="s">
        <v>4249</v>
      </c>
      <c r="N961" s="262" t="s">
        <v>4249</v>
      </c>
      <c r="HL961" s="22"/>
    </row>
    <row r="962" spans="1:220" ht="12.75" customHeight="1" x14ac:dyDescent="0.2">
      <c r="A962" s="38"/>
      <c r="B962" s="17"/>
      <c r="C962" s="38" t="s">
        <v>1030</v>
      </c>
      <c r="D962" s="146"/>
      <c r="E962" s="146"/>
      <c r="F962" s="17"/>
      <c r="G962" s="146" t="s">
        <v>1973</v>
      </c>
      <c r="H962" s="17" t="s">
        <v>1017</v>
      </c>
      <c r="I962" s="239" t="str">
        <f>IF(ISBLANK(continental!I39),"",continental!I39)</f>
        <v/>
      </c>
      <c r="K962" s="262" t="s">
        <v>4249</v>
      </c>
      <c r="N962" s="262" t="s">
        <v>4249</v>
      </c>
    </row>
    <row r="963" spans="1:220" ht="12.75" customHeight="1" x14ac:dyDescent="0.2">
      <c r="A963" s="38"/>
      <c r="B963" s="17"/>
      <c r="C963" s="38" t="s">
        <v>1032</v>
      </c>
      <c r="D963" s="146"/>
      <c r="E963" s="146"/>
      <c r="F963" s="17"/>
      <c r="G963" s="146" t="s">
        <v>1974</v>
      </c>
      <c r="H963" s="17" t="s">
        <v>1017</v>
      </c>
      <c r="I963" s="239" t="str">
        <f>IF(ISBLANK(continental!I40),"",continental!I40)</f>
        <v/>
      </c>
      <c r="K963" s="262" t="s">
        <v>4249</v>
      </c>
      <c r="N963" s="262" t="s">
        <v>4249</v>
      </c>
    </row>
    <row r="964" spans="1:220" ht="12.75" customHeight="1" x14ac:dyDescent="0.2">
      <c r="A964" s="38"/>
      <c r="B964" s="17"/>
      <c r="C964" s="38" t="s">
        <v>1034</v>
      </c>
      <c r="D964" s="146"/>
      <c r="E964" s="146"/>
      <c r="F964" s="17"/>
      <c r="G964" s="146" t="s">
        <v>1975</v>
      </c>
      <c r="H964" s="17" t="s">
        <v>1017</v>
      </c>
      <c r="I964" s="239" t="str">
        <f>IF(ISBLANK(continental!I41),"",continental!I41)</f>
        <v/>
      </c>
      <c r="K964" s="262" t="s">
        <v>4249</v>
      </c>
      <c r="N964" s="262" t="s">
        <v>4249</v>
      </c>
    </row>
    <row r="965" spans="1:220" ht="12.75" customHeight="1" x14ac:dyDescent="0.2">
      <c r="A965" s="38"/>
      <c r="B965" s="17"/>
      <c r="C965" s="38" t="s">
        <v>1036</v>
      </c>
      <c r="D965" s="146"/>
      <c r="E965" s="146"/>
      <c r="F965" s="17"/>
      <c r="G965" s="146" t="s">
        <v>1976</v>
      </c>
      <c r="H965" s="17" t="s">
        <v>1017</v>
      </c>
      <c r="I965" s="239" t="str">
        <f>IF(ISBLANK(continental!I42),"",continental!I42)</f>
        <v/>
      </c>
      <c r="K965" s="262" t="s">
        <v>4249</v>
      </c>
      <c r="N965" s="262" t="s">
        <v>4249</v>
      </c>
    </row>
    <row r="966" spans="1:220" ht="12.75" customHeight="1" x14ac:dyDescent="0.2">
      <c r="A966" s="38"/>
      <c r="B966" s="17"/>
      <c r="C966" s="38" t="s">
        <v>1038</v>
      </c>
      <c r="D966" s="146"/>
      <c r="E966" s="146"/>
      <c r="F966" s="17"/>
      <c r="G966" s="146" t="s">
        <v>1977</v>
      </c>
      <c r="H966" s="17" t="s">
        <v>1017</v>
      </c>
      <c r="I966" s="239" t="str">
        <f>IF(ISBLANK(continental!I43),"",continental!I43)</f>
        <v/>
      </c>
      <c r="J966" s="228"/>
      <c r="K966" s="262" t="s">
        <v>4249</v>
      </c>
      <c r="N966" s="262" t="s">
        <v>4249</v>
      </c>
    </row>
    <row r="967" spans="1:220" ht="12.75" customHeight="1" x14ac:dyDescent="0.2">
      <c r="A967" s="38"/>
      <c r="B967" s="17"/>
      <c r="C967" s="38" t="s">
        <v>1040</v>
      </c>
      <c r="D967" s="146"/>
      <c r="E967" s="146"/>
      <c r="F967" s="17"/>
      <c r="G967" s="146" t="s">
        <v>1978</v>
      </c>
      <c r="H967" s="17" t="s">
        <v>1017</v>
      </c>
      <c r="I967" s="239" t="str">
        <f>IF(ISBLANK(continental!I44),"",continental!I44)</f>
        <v/>
      </c>
      <c r="J967" s="411"/>
      <c r="K967" s="262" t="s">
        <v>4249</v>
      </c>
      <c r="N967" s="262" t="s">
        <v>4249</v>
      </c>
    </row>
    <row r="968" spans="1:220" ht="12.75" customHeight="1" x14ac:dyDescent="0.2">
      <c r="A968" s="38"/>
      <c r="B968" s="17"/>
      <c r="C968" s="38" t="s">
        <v>1042</v>
      </c>
      <c r="D968" s="146"/>
      <c r="E968" s="146"/>
      <c r="F968" s="17"/>
      <c r="G968" s="146" t="s">
        <v>1979</v>
      </c>
      <c r="H968" s="17" t="s">
        <v>1017</v>
      </c>
      <c r="I968" s="239" t="str">
        <f>IF(ISBLANK(continental!I45),"",continental!I45)</f>
        <v/>
      </c>
      <c r="J968" s="228"/>
      <c r="K968" s="262" t="s">
        <v>4249</v>
      </c>
      <c r="N968" s="262" t="s">
        <v>4249</v>
      </c>
    </row>
    <row r="969" spans="1:220" ht="12.75" customHeight="1" x14ac:dyDescent="0.2">
      <c r="A969" s="38"/>
      <c r="B969" s="17"/>
      <c r="C969" s="38" t="s">
        <v>1044</v>
      </c>
      <c r="D969" s="146"/>
      <c r="E969" s="146"/>
      <c r="F969" s="17"/>
      <c r="G969" s="146" t="s">
        <v>1980</v>
      </c>
      <c r="H969" s="17" t="s">
        <v>1017</v>
      </c>
      <c r="I969" s="239" t="str">
        <f>IF(ISBLANK(continental!I46),"",continental!I46)</f>
        <v/>
      </c>
      <c r="K969" s="262" t="s">
        <v>4249</v>
      </c>
      <c r="N969" s="262" t="s">
        <v>4249</v>
      </c>
    </row>
    <row r="970" spans="1:220" ht="12.75" customHeight="1" x14ac:dyDescent="0.2">
      <c r="A970" s="38"/>
      <c r="B970" s="17"/>
      <c r="C970" s="38"/>
      <c r="D970" s="146"/>
      <c r="E970" s="146"/>
      <c r="F970" s="17"/>
      <c r="G970" s="146"/>
      <c r="H970" s="146"/>
      <c r="I970" s="239" t="str">
        <f>IF(ISBLANK(continental!I47),"",continental!I47)</f>
        <v/>
      </c>
      <c r="K970" s="262" t="s">
        <v>4249</v>
      </c>
      <c r="N970" s="262" t="s">
        <v>4249</v>
      </c>
    </row>
    <row r="971" spans="1:220" ht="12.75" customHeight="1" x14ac:dyDescent="0.2">
      <c r="A971" s="38" t="s">
        <v>1981</v>
      </c>
      <c r="B971" s="17"/>
      <c r="C971" s="17"/>
      <c r="D971" s="17"/>
      <c r="E971" s="17"/>
      <c r="F971" s="17"/>
      <c r="G971" s="38" t="s">
        <v>1982</v>
      </c>
      <c r="H971" s="38" t="s">
        <v>624</v>
      </c>
      <c r="I971" s="239" t="str">
        <f>IF(ISBLANK(continental!I48),"",continental!I48)</f>
        <v/>
      </c>
      <c r="K971" s="262" t="s">
        <v>4249</v>
      </c>
      <c r="N971" s="262" t="s">
        <v>4249</v>
      </c>
    </row>
    <row r="972" spans="1:220" ht="12.75" customHeight="1" x14ac:dyDescent="0.2">
      <c r="A972" s="38" t="s">
        <v>1983</v>
      </c>
      <c r="B972" s="17"/>
      <c r="C972" s="17"/>
      <c r="D972" s="17"/>
      <c r="E972" s="17"/>
      <c r="F972" s="17"/>
      <c r="G972" s="38" t="s">
        <v>1984</v>
      </c>
      <c r="H972" s="38" t="s">
        <v>624</v>
      </c>
      <c r="I972" s="239" t="str">
        <f>IF(ISBLANK(continental!I49),"",continental!I49)</f>
        <v/>
      </c>
      <c r="K972" s="262" t="s">
        <v>4249</v>
      </c>
      <c r="N972" s="262" t="s">
        <v>4249</v>
      </c>
    </row>
    <row r="973" spans="1:220" ht="12.75" customHeight="1" x14ac:dyDescent="0.2">
      <c r="A973" s="38"/>
      <c r="B973" s="38"/>
      <c r="C973" s="38" t="s">
        <v>1985</v>
      </c>
      <c r="D973" s="17"/>
      <c r="E973" s="17"/>
      <c r="F973" s="17"/>
      <c r="G973" s="38" t="s">
        <v>1986</v>
      </c>
      <c r="H973" s="17" t="s">
        <v>1051</v>
      </c>
      <c r="I973" s="239" t="str">
        <f>IF(ISBLANK(continental!I50),"",continental!I50)</f>
        <v/>
      </c>
      <c r="K973" s="262" t="s">
        <v>4249</v>
      </c>
      <c r="N973" s="262" t="s">
        <v>4249</v>
      </c>
    </row>
    <row r="974" spans="1:220" ht="12.75" customHeight="1" x14ac:dyDescent="0.2">
      <c r="A974" s="38"/>
      <c r="B974" s="17"/>
      <c r="C974" s="38"/>
      <c r="D974" s="146"/>
      <c r="E974" s="146"/>
      <c r="F974" s="17"/>
      <c r="G974" s="146"/>
      <c r="H974" s="146"/>
      <c r="I974" s="239" t="str">
        <f>IF(ISBLANK(continental!I51),"",continental!I51)</f>
        <v/>
      </c>
      <c r="K974" s="262" t="s">
        <v>4249</v>
      </c>
      <c r="N974" s="262" t="s">
        <v>4249</v>
      </c>
    </row>
    <row r="975" spans="1:220" ht="12.75" customHeight="1" x14ac:dyDescent="0.2">
      <c r="A975" s="38" t="s">
        <v>1987</v>
      </c>
      <c r="B975" s="17"/>
      <c r="C975" s="17"/>
      <c r="D975" s="17"/>
      <c r="E975" s="17"/>
      <c r="F975" s="17"/>
      <c r="G975" s="38" t="s">
        <v>1988</v>
      </c>
      <c r="H975" s="38" t="s">
        <v>624</v>
      </c>
      <c r="I975" s="239" t="str">
        <f>IF(ISBLANK(continental!I52),"",continental!I52)</f>
        <v/>
      </c>
      <c r="K975" s="262" t="s">
        <v>4249</v>
      </c>
      <c r="N975" s="262" t="s">
        <v>4249</v>
      </c>
    </row>
    <row r="976" spans="1:220" ht="12.75" customHeight="1" x14ac:dyDescent="0.2">
      <c r="A976" s="38" t="s">
        <v>1989</v>
      </c>
      <c r="B976" s="17"/>
      <c r="C976" s="17"/>
      <c r="D976" s="17"/>
      <c r="E976" s="17"/>
      <c r="F976" s="17"/>
      <c r="G976" s="38" t="s">
        <v>1990</v>
      </c>
      <c r="H976" s="38" t="s">
        <v>624</v>
      </c>
      <c r="I976" s="239" t="str">
        <f>IF(ISBLANK(continental!I53),"",continental!I53)</f>
        <v/>
      </c>
      <c r="K976" s="262" t="s">
        <v>4249</v>
      </c>
      <c r="N976" s="262" t="s">
        <v>4249</v>
      </c>
    </row>
    <row r="977" spans="1:14" ht="12.75" customHeight="1" x14ac:dyDescent="0.2">
      <c r="A977" s="38" t="s">
        <v>1991</v>
      </c>
      <c r="B977" s="17"/>
      <c r="C977" s="17"/>
      <c r="D977" s="17"/>
      <c r="E977" s="17"/>
      <c r="F977" s="17"/>
      <c r="G977" s="38" t="s">
        <v>1992</v>
      </c>
      <c r="H977" s="38" t="s">
        <v>624</v>
      </c>
      <c r="I977" s="239" t="str">
        <f>IF(ISBLANK(continental!I54),"",continental!I54)</f>
        <v/>
      </c>
      <c r="K977" s="262" t="s">
        <v>4249</v>
      </c>
      <c r="N977" s="262" t="s">
        <v>4249</v>
      </c>
    </row>
    <row r="978" spans="1:14" ht="12.75" customHeight="1" x14ac:dyDescent="0.2">
      <c r="A978" s="38" t="s">
        <v>1993</v>
      </c>
      <c r="B978" s="17"/>
      <c r="C978" s="17"/>
      <c r="D978" s="17"/>
      <c r="E978" s="17"/>
      <c r="F978" s="17"/>
      <c r="G978" s="38" t="s">
        <v>1994</v>
      </c>
      <c r="H978" s="38" t="s">
        <v>624</v>
      </c>
      <c r="I978" s="239" t="str">
        <f>IF(ISBLANK(continental!I55),"",continental!I55)</f>
        <v/>
      </c>
      <c r="K978" s="262" t="s">
        <v>4249</v>
      </c>
      <c r="N978" s="262" t="s">
        <v>4249</v>
      </c>
    </row>
    <row r="979" spans="1:14" ht="12.75" customHeight="1" x14ac:dyDescent="0.2">
      <c r="A979" s="38" t="s">
        <v>1995</v>
      </c>
      <c r="B979" s="17"/>
      <c r="C979" s="17"/>
      <c r="D979" s="17"/>
      <c r="E979" s="17"/>
      <c r="F979" s="17"/>
      <c r="G979" s="38" t="s">
        <v>1996</v>
      </c>
      <c r="H979" s="38" t="s">
        <v>624</v>
      </c>
      <c r="I979" s="239" t="str">
        <f>IF(ISBLANK(continental!I56),"",continental!I56)</f>
        <v/>
      </c>
      <c r="K979" s="262" t="s">
        <v>4249</v>
      </c>
      <c r="N979" s="262" t="s">
        <v>4249</v>
      </c>
    </row>
    <row r="980" spans="1:14" ht="12.75" customHeight="1" x14ac:dyDescent="0.2">
      <c r="A980" s="38"/>
      <c r="B980" s="38" t="s">
        <v>1997</v>
      </c>
      <c r="C980" s="17"/>
      <c r="D980" s="17"/>
      <c r="E980" s="146"/>
      <c r="F980" s="146"/>
      <c r="G980" s="146" t="s">
        <v>1998</v>
      </c>
      <c r="H980" s="38" t="s">
        <v>1065</v>
      </c>
      <c r="I980" s="239" t="str">
        <f>IF(ISBLANK(continental!I57),"",continental!I57)</f>
        <v/>
      </c>
      <c r="K980" s="262" t="s">
        <v>4249</v>
      </c>
      <c r="N980" s="262" t="s">
        <v>4249</v>
      </c>
    </row>
    <row r="981" spans="1:14" ht="12.75" customHeight="1" x14ac:dyDescent="0.2">
      <c r="A981" s="38"/>
      <c r="B981" s="38" t="s">
        <v>1999</v>
      </c>
      <c r="C981" s="17"/>
      <c r="D981" s="17"/>
      <c r="E981" s="146"/>
      <c r="F981" s="146"/>
      <c r="G981" s="146" t="s">
        <v>2000</v>
      </c>
      <c r="H981" s="38" t="s">
        <v>1065</v>
      </c>
      <c r="I981" s="239" t="str">
        <f>IF(ISBLANK(continental!I58),"",continental!I58)</f>
        <v/>
      </c>
      <c r="K981" s="262" t="s">
        <v>4249</v>
      </c>
      <c r="N981" s="262" t="s">
        <v>4249</v>
      </c>
    </row>
    <row r="982" spans="1:14" ht="12.75" customHeight="1" x14ac:dyDescent="0.2">
      <c r="A982" s="38"/>
      <c r="B982" s="38" t="s">
        <v>2001</v>
      </c>
      <c r="C982" s="17"/>
      <c r="D982" s="17"/>
      <c r="E982" s="146"/>
      <c r="F982" s="146"/>
      <c r="G982" s="146" t="s">
        <v>2002</v>
      </c>
      <c r="H982" s="38" t="s">
        <v>1065</v>
      </c>
      <c r="I982" s="239" t="str">
        <f>IF(ISBLANK(continental!I59),"",continental!I59)</f>
        <v/>
      </c>
      <c r="K982" s="262" t="s">
        <v>4249</v>
      </c>
      <c r="N982" s="262" t="s">
        <v>4249</v>
      </c>
    </row>
    <row r="983" spans="1:14" ht="12.75" customHeight="1" x14ac:dyDescent="0.2">
      <c r="A983" s="38"/>
      <c r="B983" s="38" t="s">
        <v>2003</v>
      </c>
      <c r="C983" s="17"/>
      <c r="D983" s="17"/>
      <c r="E983" s="146"/>
      <c r="F983" s="146"/>
      <c r="G983" s="146" t="s">
        <v>2004</v>
      </c>
      <c r="H983" s="17" t="s">
        <v>1065</v>
      </c>
      <c r="I983" s="239" t="str">
        <f>IF(ISBLANK(continental!I60),"",continental!I60)</f>
        <v/>
      </c>
      <c r="K983" s="262" t="s">
        <v>4249</v>
      </c>
      <c r="N983" s="262" t="s">
        <v>4249</v>
      </c>
    </row>
    <row r="984" spans="1:14" ht="12.75" customHeight="1" x14ac:dyDescent="0.2">
      <c r="A984" s="38"/>
      <c r="B984" s="38" t="s">
        <v>2005</v>
      </c>
      <c r="C984" s="17"/>
      <c r="D984" s="17"/>
      <c r="E984" s="146"/>
      <c r="F984" s="146"/>
      <c r="G984" s="146" t="s">
        <v>2006</v>
      </c>
      <c r="H984" s="17" t="s">
        <v>1065</v>
      </c>
      <c r="I984" s="239" t="str">
        <f>IF(ISBLANK(continental!I61),"",continental!I61)</f>
        <v/>
      </c>
      <c r="K984" s="262" t="s">
        <v>4249</v>
      </c>
      <c r="N984" s="262" t="s">
        <v>4249</v>
      </c>
    </row>
    <row r="985" spans="1:14" ht="12.75" customHeight="1" x14ac:dyDescent="0.2">
      <c r="A985" s="38" t="s">
        <v>2007</v>
      </c>
      <c r="B985" s="17"/>
      <c r="C985" s="17"/>
      <c r="D985" s="17"/>
      <c r="E985" s="17"/>
      <c r="F985" s="17"/>
      <c r="G985" s="38" t="s">
        <v>2008</v>
      </c>
      <c r="H985" s="38" t="s">
        <v>624</v>
      </c>
      <c r="I985" s="239" t="str">
        <f>IF(ISBLANK(continental!I62),"",continental!I62)</f>
        <v/>
      </c>
      <c r="K985" s="262" t="s">
        <v>4249</v>
      </c>
      <c r="N985" s="262" t="s">
        <v>4249</v>
      </c>
    </row>
    <row r="986" spans="1:14" ht="12.75" customHeight="1" x14ac:dyDescent="0.2">
      <c r="A986" s="38" t="s">
        <v>2009</v>
      </c>
      <c r="B986" s="17"/>
      <c r="C986" s="17"/>
      <c r="D986" s="17"/>
      <c r="E986" s="17"/>
      <c r="F986" s="17"/>
      <c r="G986" s="38" t="s">
        <v>2010</v>
      </c>
      <c r="H986" s="38" t="s">
        <v>624</v>
      </c>
      <c r="I986" s="239" t="str">
        <f>IF(ISBLANK(continental!I63),"",continental!I63)</f>
        <v/>
      </c>
      <c r="K986" s="262" t="s">
        <v>4249</v>
      </c>
      <c r="N986" s="262" t="s">
        <v>4249</v>
      </c>
    </row>
    <row r="987" spans="1:14" ht="12.75" customHeight="1" x14ac:dyDescent="0.2">
      <c r="A987" s="38"/>
      <c r="B987" s="38" t="s">
        <v>2011</v>
      </c>
      <c r="C987" s="17"/>
      <c r="D987" s="17"/>
      <c r="E987" s="17"/>
      <c r="F987" s="17"/>
      <c r="G987" s="146" t="s">
        <v>2012</v>
      </c>
      <c r="H987" s="17" t="s">
        <v>1065</v>
      </c>
      <c r="I987" s="239" t="str">
        <f>IF(ISBLANK(continental!I64),"",continental!I64)</f>
        <v/>
      </c>
      <c r="K987" s="262" t="s">
        <v>4249</v>
      </c>
      <c r="N987" s="262" t="s">
        <v>4249</v>
      </c>
    </row>
    <row r="988" spans="1:14" ht="12.75" customHeight="1" x14ac:dyDescent="0.2">
      <c r="A988" s="38"/>
      <c r="B988" s="38" t="s">
        <v>2013</v>
      </c>
      <c r="C988" s="17"/>
      <c r="D988" s="17"/>
      <c r="E988" s="146"/>
      <c r="F988" s="146"/>
      <c r="G988" s="146" t="s">
        <v>2014</v>
      </c>
      <c r="H988" s="17" t="s">
        <v>1065</v>
      </c>
      <c r="I988" s="239" t="str">
        <f>IF(ISBLANK(continental!I65),"",continental!I65)</f>
        <v/>
      </c>
      <c r="K988" s="262" t="s">
        <v>4249</v>
      </c>
      <c r="N988" s="262" t="s">
        <v>4249</v>
      </c>
    </row>
    <row r="989" spans="1:14" ht="12.75" customHeight="1" x14ac:dyDescent="0.2">
      <c r="A989" s="38"/>
      <c r="B989" s="38"/>
      <c r="C989" s="38" t="s">
        <v>2015</v>
      </c>
      <c r="D989" s="17"/>
      <c r="E989" s="17"/>
      <c r="F989" s="17"/>
      <c r="G989" s="38" t="s">
        <v>2016</v>
      </c>
      <c r="H989" s="38" t="s">
        <v>1051</v>
      </c>
      <c r="I989" s="239" t="str">
        <f>IF(ISBLANK(continental!I66),"",continental!I66)</f>
        <v/>
      </c>
      <c r="K989" s="262" t="s">
        <v>4249</v>
      </c>
      <c r="N989" s="262" t="s">
        <v>4249</v>
      </c>
    </row>
    <row r="990" spans="1:14" ht="12.75" customHeight="1" x14ac:dyDescent="0.2">
      <c r="A990" s="17"/>
      <c r="B990" s="17"/>
      <c r="C990" s="17"/>
      <c r="D990" s="17"/>
      <c r="E990" s="17"/>
      <c r="F990" s="17"/>
      <c r="G990" s="17"/>
      <c r="H990" s="17"/>
      <c r="I990" s="239" t="str">
        <f>IF(ISBLANK(continental!I67),"",continental!I67)</f>
        <v/>
      </c>
      <c r="K990" s="262" t="s">
        <v>4249</v>
      </c>
      <c r="N990" s="262" t="s">
        <v>4249</v>
      </c>
    </row>
    <row r="991" spans="1:14" ht="12.75" customHeight="1" x14ac:dyDescent="0.2">
      <c r="A991" s="148" t="s">
        <v>2017</v>
      </c>
      <c r="B991" s="147"/>
      <c r="C991" s="147"/>
      <c r="D991" s="147"/>
      <c r="E991" s="147"/>
      <c r="F991" s="147"/>
      <c r="G991" s="148" t="s">
        <v>263</v>
      </c>
      <c r="H991" s="148" t="s">
        <v>279</v>
      </c>
      <c r="I991" s="239" t="str">
        <f>IF(ISBLANK(continental!I68),"",continental!I68)</f>
        <v>User input</v>
      </c>
      <c r="K991" s="262" t="s">
        <v>264</v>
      </c>
      <c r="N991" s="262" t="s">
        <v>264</v>
      </c>
    </row>
    <row r="992" spans="1:14" ht="12.75" customHeight="1" x14ac:dyDescent="0.2">
      <c r="A992" s="169"/>
      <c r="B992" s="170"/>
      <c r="C992" s="171"/>
      <c r="D992" s="171"/>
      <c r="E992" s="169"/>
      <c r="F992" s="169"/>
      <c r="G992" s="169"/>
      <c r="H992" s="171"/>
      <c r="I992" s="239" t="str">
        <f>IF(ISBLANK(continental!I69),"",continental!I69)</f>
        <v/>
      </c>
      <c r="K992" s="262" t="s">
        <v>4249</v>
      </c>
      <c r="N992" s="262" t="s">
        <v>4249</v>
      </c>
    </row>
    <row r="993" spans="1:14" ht="12.75" customHeight="1" x14ac:dyDescent="0.2">
      <c r="A993" s="5"/>
      <c r="B993" s="38" t="s">
        <v>2018</v>
      </c>
      <c r="C993" s="38"/>
      <c r="D993" s="38"/>
      <c r="E993" s="38"/>
      <c r="F993" s="38"/>
      <c r="G993" s="38" t="s">
        <v>2019</v>
      </c>
      <c r="H993" s="38" t="s">
        <v>296</v>
      </c>
      <c r="I993" s="239" t="str">
        <f>IF(ISBLANK(continental!I70),"",continental!I70)</f>
        <v/>
      </c>
      <c r="K993" s="262" t="s">
        <v>4249</v>
      </c>
      <c r="N993" s="262" t="s">
        <v>4249</v>
      </c>
    </row>
    <row r="994" spans="1:14" ht="12.75" customHeight="1" x14ac:dyDescent="0.2">
      <c r="A994" s="17"/>
      <c r="B994" s="17" t="s">
        <v>2020</v>
      </c>
      <c r="C994" s="17"/>
      <c r="D994" s="17"/>
      <c r="E994" s="17"/>
      <c r="F994" s="17"/>
      <c r="G994" s="17" t="s">
        <v>2021</v>
      </c>
      <c r="H994" s="17" t="s">
        <v>296</v>
      </c>
      <c r="I994" s="239" t="str">
        <f>IF(ISBLANK(continental!I71),"",continental!I71)</f>
        <v/>
      </c>
      <c r="K994" s="262" t="s">
        <v>4249</v>
      </c>
      <c r="N994" s="262" t="s">
        <v>4249</v>
      </c>
    </row>
    <row r="995" spans="1:14" ht="12.75" customHeight="1" x14ac:dyDescent="0.2">
      <c r="A995" s="17"/>
      <c r="B995" s="17" t="s">
        <v>2022</v>
      </c>
      <c r="C995" s="17"/>
      <c r="D995" s="17"/>
      <c r="E995" s="17"/>
      <c r="F995" s="17"/>
      <c r="G995" s="17" t="s">
        <v>2023</v>
      </c>
      <c r="H995" s="17" t="s">
        <v>296</v>
      </c>
      <c r="I995" s="239" t="str">
        <f>IF(ISBLANK(continental!I72),"",continental!I72)</f>
        <v/>
      </c>
      <c r="K995" s="262" t="s">
        <v>4249</v>
      </c>
      <c r="N995" s="262" t="s">
        <v>4249</v>
      </c>
    </row>
    <row r="996" spans="1:14" ht="12.75" customHeight="1" x14ac:dyDescent="0.2">
      <c r="A996" s="17"/>
      <c r="B996" s="17"/>
      <c r="C996" s="38" t="s">
        <v>2024</v>
      </c>
      <c r="D996" s="38"/>
      <c r="E996" s="38"/>
      <c r="F996" s="38"/>
      <c r="G996" s="38" t="s">
        <v>2025</v>
      </c>
      <c r="H996" s="38" t="s">
        <v>296</v>
      </c>
      <c r="I996" s="239" t="str">
        <f>IF(ISBLANK(continental!I73),"",continental!I73)</f>
        <v/>
      </c>
      <c r="K996" s="262" t="s">
        <v>4249</v>
      </c>
      <c r="N996" s="262" t="s">
        <v>4249</v>
      </c>
    </row>
    <row r="997" spans="1:14" ht="12.75" customHeight="1" x14ac:dyDescent="0.25">
      <c r="A997" s="17"/>
      <c r="B997" s="17"/>
      <c r="C997" s="17" t="s">
        <v>2026</v>
      </c>
      <c r="D997" s="17"/>
      <c r="E997" s="17"/>
      <c r="F997" s="17"/>
      <c r="G997" s="17" t="s">
        <v>2027</v>
      </c>
      <c r="H997" s="17" t="s">
        <v>1088</v>
      </c>
      <c r="I997" s="239" t="str">
        <f>IF(ISBLANK(continental!I74),"",continental!I74)</f>
        <v/>
      </c>
      <c r="K997" s="262" t="s">
        <v>4249</v>
      </c>
      <c r="N997" s="262" t="s">
        <v>4249</v>
      </c>
    </row>
    <row r="998" spans="1:14" ht="12.75" customHeight="1" x14ac:dyDescent="0.25">
      <c r="A998" s="17"/>
      <c r="B998" s="17"/>
      <c r="C998" s="17" t="s">
        <v>2028</v>
      </c>
      <c r="D998" s="17"/>
      <c r="E998" s="17"/>
      <c r="F998" s="17"/>
      <c r="G998" s="17" t="s">
        <v>2029</v>
      </c>
      <c r="H998" s="17" t="s">
        <v>1091</v>
      </c>
      <c r="I998" s="239" t="str">
        <f>IF(ISBLANK(continental!I75),"",continental!I75)</f>
        <v/>
      </c>
      <c r="K998" s="262" t="s">
        <v>4249</v>
      </c>
      <c r="N998" s="262" t="s">
        <v>4249</v>
      </c>
    </row>
    <row r="999" spans="1:14" ht="12.75" customHeight="1" x14ac:dyDescent="0.2">
      <c r="A999" s="38"/>
      <c r="B999" s="38" t="s">
        <v>2030</v>
      </c>
      <c r="C999" s="146"/>
      <c r="D999" s="17"/>
      <c r="E999" s="17"/>
      <c r="F999" s="17"/>
      <c r="G999" s="146" t="s">
        <v>2031</v>
      </c>
      <c r="H999" s="38" t="s">
        <v>296</v>
      </c>
      <c r="I999" s="239" t="str">
        <f>IF(ISBLANK(continental!I76),"",continental!I76)</f>
        <v/>
      </c>
      <c r="K999" s="262" t="s">
        <v>4249</v>
      </c>
      <c r="N999" s="262" t="s">
        <v>4249</v>
      </c>
    </row>
    <row r="1000" spans="1:14" ht="12.75" customHeight="1" x14ac:dyDescent="0.2">
      <c r="A1000" s="38"/>
      <c r="B1000" s="17"/>
      <c r="C1000" s="38" t="s">
        <v>1095</v>
      </c>
      <c r="D1000" s="17"/>
      <c r="E1000" s="17"/>
      <c r="F1000" s="17"/>
      <c r="G1000" s="146" t="s">
        <v>2032</v>
      </c>
      <c r="H1000" s="38" t="s">
        <v>1097</v>
      </c>
      <c r="I1000" s="239" t="str">
        <f>IF(ISBLANK(continental!I77),"",continental!I77)</f>
        <v/>
      </c>
      <c r="J1000" s="228"/>
      <c r="K1000" s="262" t="s">
        <v>4249</v>
      </c>
      <c r="N1000" s="262" t="s">
        <v>4249</v>
      </c>
    </row>
    <row r="1001" spans="1:14" ht="12.75" customHeight="1" x14ac:dyDescent="0.2">
      <c r="A1001" s="38"/>
      <c r="B1001" s="17"/>
      <c r="C1001" s="38" t="s">
        <v>1099</v>
      </c>
      <c r="D1001" s="17"/>
      <c r="E1001" s="17"/>
      <c r="F1001" s="17"/>
      <c r="G1001" s="146" t="s">
        <v>2033</v>
      </c>
      <c r="H1001" s="38" t="s">
        <v>296</v>
      </c>
      <c r="I1001" s="239" t="str">
        <f>IF(ISBLANK(continental!I78),"",continental!I78)</f>
        <v/>
      </c>
      <c r="J1001" s="411"/>
      <c r="K1001" s="262" t="s">
        <v>4249</v>
      </c>
      <c r="N1001" s="262" t="s">
        <v>4249</v>
      </c>
    </row>
    <row r="1002" spans="1:14" ht="12.75" customHeight="1" x14ac:dyDescent="0.2">
      <c r="A1002" s="38"/>
      <c r="B1002" s="17"/>
      <c r="C1002" s="38" t="s">
        <v>730</v>
      </c>
      <c r="D1002" s="17"/>
      <c r="E1002" s="17"/>
      <c r="F1002" s="17"/>
      <c r="G1002" s="146" t="s">
        <v>762</v>
      </c>
      <c r="H1002" s="38" t="s">
        <v>586</v>
      </c>
      <c r="I1002" s="239" t="str">
        <f>IF(ISBLANK(input!I311),"",input!I311)</f>
        <v/>
      </c>
      <c r="J1002" s="228"/>
      <c r="K1002" s="262" t="s">
        <v>4249</v>
      </c>
      <c r="N1002" s="262" t="s">
        <v>4249</v>
      </c>
    </row>
    <row r="1003" spans="1:14" ht="12.75" customHeight="1" x14ac:dyDescent="0.2">
      <c r="A1003" s="38"/>
      <c r="B1003" s="17"/>
      <c r="C1003" s="38" t="s">
        <v>1101</v>
      </c>
      <c r="D1003" s="17"/>
      <c r="E1003" s="17"/>
      <c r="F1003" s="17"/>
      <c r="G1003" s="146" t="s">
        <v>2034</v>
      </c>
      <c r="H1003" s="38" t="s">
        <v>1103</v>
      </c>
      <c r="I1003" s="239" t="str">
        <f>IF(ISBLANK(continental!I79),"",continental!I79)</f>
        <v/>
      </c>
      <c r="K1003" s="262" t="s">
        <v>4249</v>
      </c>
      <c r="N1003" s="262" t="s">
        <v>4249</v>
      </c>
    </row>
    <row r="1004" spans="1:14" ht="12.75" customHeight="1" x14ac:dyDescent="0.2">
      <c r="A1004" s="38"/>
      <c r="B1004" s="17"/>
      <c r="C1004" s="38" t="s">
        <v>721</v>
      </c>
      <c r="D1004" s="17"/>
      <c r="E1004" s="17"/>
      <c r="F1004" s="17"/>
      <c r="G1004" s="146" t="s">
        <v>759</v>
      </c>
      <c r="H1004" s="38" t="s">
        <v>723</v>
      </c>
      <c r="I1004" s="239" t="str">
        <f>IF(ISBLANK(input!I308),"",input!I308)</f>
        <v/>
      </c>
      <c r="K1004" s="262" t="s">
        <v>4249</v>
      </c>
      <c r="N1004" s="262" t="s">
        <v>4249</v>
      </c>
    </row>
    <row r="1005" spans="1:14" ht="12.75" customHeight="1" x14ac:dyDescent="0.2">
      <c r="A1005" s="38"/>
      <c r="B1005" s="38" t="s">
        <v>2035</v>
      </c>
      <c r="C1005" s="146"/>
      <c r="D1005" s="17"/>
      <c r="E1005" s="17"/>
      <c r="F1005" s="17"/>
      <c r="G1005" s="146" t="s">
        <v>2036</v>
      </c>
      <c r="H1005" s="38" t="s">
        <v>296</v>
      </c>
      <c r="I1005" s="239" t="str">
        <f>IF(ISBLANK(continental!I80),"",continental!I80)</f>
        <v/>
      </c>
      <c r="K1005" s="262" t="s">
        <v>4249</v>
      </c>
      <c r="N1005" s="262" t="s">
        <v>4249</v>
      </c>
    </row>
    <row r="1006" spans="1:14" ht="12.75" customHeight="1" x14ac:dyDescent="0.2">
      <c r="A1006" s="38"/>
      <c r="B1006" s="17"/>
      <c r="C1006" s="38" t="s">
        <v>1095</v>
      </c>
      <c r="D1006" s="17"/>
      <c r="E1006" s="17"/>
      <c r="F1006" s="17"/>
      <c r="G1006" s="146" t="s">
        <v>2037</v>
      </c>
      <c r="H1006" s="38" t="s">
        <v>1103</v>
      </c>
      <c r="I1006" s="239" t="str">
        <f>IF(ISBLANK(continental!I81),"",continental!I81)</f>
        <v/>
      </c>
      <c r="K1006" s="262" t="s">
        <v>4249</v>
      </c>
      <c r="N1006" s="262" t="s">
        <v>4249</v>
      </c>
    </row>
    <row r="1007" spans="1:14" ht="12.75" customHeight="1" x14ac:dyDescent="0.2">
      <c r="A1007" s="38"/>
      <c r="B1007" s="17"/>
      <c r="C1007" s="38" t="s">
        <v>1099</v>
      </c>
      <c r="D1007" s="17"/>
      <c r="E1007" s="17"/>
      <c r="F1007" s="17"/>
      <c r="G1007" s="146" t="s">
        <v>2038</v>
      </c>
      <c r="H1007" s="38" t="s">
        <v>296</v>
      </c>
      <c r="I1007" s="239" t="str">
        <f>IF(ISBLANK(continental!I82),"",continental!I82)</f>
        <v/>
      </c>
      <c r="K1007" s="262" t="s">
        <v>4249</v>
      </c>
      <c r="N1007" s="262" t="s">
        <v>4249</v>
      </c>
    </row>
    <row r="1008" spans="1:14" ht="12.75" customHeight="1" x14ac:dyDescent="0.2">
      <c r="A1008" s="38"/>
      <c r="B1008" s="17"/>
      <c r="C1008" s="38" t="s">
        <v>730</v>
      </c>
      <c r="D1008" s="17"/>
      <c r="E1008" s="17"/>
      <c r="F1008" s="17"/>
      <c r="G1008" s="146" t="s">
        <v>763</v>
      </c>
      <c r="H1008" s="38" t="s">
        <v>723</v>
      </c>
      <c r="I1008" s="239" t="str">
        <f>IF(ISBLANK(input!I312),"",input!I312)</f>
        <v/>
      </c>
      <c r="K1008" s="262" t="s">
        <v>4249</v>
      </c>
      <c r="N1008" s="262" t="s">
        <v>4249</v>
      </c>
    </row>
    <row r="1009" spans="1:14" ht="12.75" customHeight="1" x14ac:dyDescent="0.2">
      <c r="A1009" s="38"/>
      <c r="B1009" s="17"/>
      <c r="C1009" s="38" t="s">
        <v>1101</v>
      </c>
      <c r="D1009" s="17"/>
      <c r="E1009" s="17"/>
      <c r="F1009" s="17"/>
      <c r="G1009" s="146" t="s">
        <v>2039</v>
      </c>
      <c r="H1009" s="38" t="s">
        <v>1103</v>
      </c>
      <c r="I1009" s="239" t="str">
        <f>IF(ISBLANK(continental!I83),"",continental!I83)</f>
        <v/>
      </c>
      <c r="K1009" s="262" t="s">
        <v>4249</v>
      </c>
      <c r="N1009" s="262" t="s">
        <v>4249</v>
      </c>
    </row>
    <row r="1010" spans="1:14" ht="12.75" customHeight="1" x14ac:dyDescent="0.2">
      <c r="A1010" s="38"/>
      <c r="B1010" s="17"/>
      <c r="C1010" s="38" t="s">
        <v>721</v>
      </c>
      <c r="D1010" s="17"/>
      <c r="E1010" s="17"/>
      <c r="F1010" s="17"/>
      <c r="G1010" s="146" t="s">
        <v>760</v>
      </c>
      <c r="H1010" s="38" t="s">
        <v>723</v>
      </c>
      <c r="I1010" s="239" t="str">
        <f>IF(ISBLANK(input!I309),"",input!I309)</f>
        <v/>
      </c>
      <c r="K1010" s="262" t="s">
        <v>4249</v>
      </c>
      <c r="N1010" s="262" t="s">
        <v>4249</v>
      </c>
    </row>
    <row r="1011" spans="1:14" ht="12.75" customHeight="1" x14ac:dyDescent="0.2">
      <c r="A1011" s="38"/>
      <c r="B1011" s="38" t="s">
        <v>2040</v>
      </c>
      <c r="C1011" s="146"/>
      <c r="D1011" s="17"/>
      <c r="E1011" s="17"/>
      <c r="F1011" s="17"/>
      <c r="G1011" s="146" t="s">
        <v>2041</v>
      </c>
      <c r="H1011" s="38" t="s">
        <v>296</v>
      </c>
      <c r="I1011" s="239" t="str">
        <f>IF(ISBLANK(continental!I84),"",continental!I84)</f>
        <v/>
      </c>
      <c r="K1011" s="262" t="s">
        <v>4249</v>
      </c>
      <c r="N1011" s="262" t="s">
        <v>4249</v>
      </c>
    </row>
    <row r="1012" spans="1:14" ht="12.75" customHeight="1" x14ac:dyDescent="0.2">
      <c r="A1012" s="38"/>
      <c r="B1012" s="17"/>
      <c r="C1012" s="38" t="s">
        <v>1095</v>
      </c>
      <c r="D1012" s="17"/>
      <c r="E1012" s="17"/>
      <c r="F1012" s="17"/>
      <c r="G1012" s="146" t="s">
        <v>2042</v>
      </c>
      <c r="H1012" s="38" t="s">
        <v>1103</v>
      </c>
      <c r="I1012" s="239" t="str">
        <f>IF(ISBLANK(continental!I85),"",continental!I85)</f>
        <v/>
      </c>
      <c r="K1012" s="262" t="s">
        <v>4249</v>
      </c>
      <c r="N1012" s="262" t="s">
        <v>4249</v>
      </c>
    </row>
    <row r="1013" spans="1:14" ht="12.75" customHeight="1" x14ac:dyDescent="0.2">
      <c r="A1013" s="38"/>
      <c r="B1013" s="17"/>
      <c r="C1013" s="38" t="s">
        <v>1099</v>
      </c>
      <c r="D1013" s="17"/>
      <c r="E1013" s="17"/>
      <c r="F1013" s="17"/>
      <c r="G1013" s="146" t="s">
        <v>2043</v>
      </c>
      <c r="H1013" s="38" t="s">
        <v>296</v>
      </c>
      <c r="I1013" s="239" t="str">
        <f>IF(ISBLANK(continental!I86),"",continental!I86)</f>
        <v/>
      </c>
      <c r="K1013" s="262" t="s">
        <v>4249</v>
      </c>
      <c r="N1013" s="262" t="s">
        <v>4249</v>
      </c>
    </row>
    <row r="1014" spans="1:14" ht="12.75" customHeight="1" x14ac:dyDescent="0.2">
      <c r="A1014" s="38"/>
      <c r="B1014" s="17"/>
      <c r="C1014" s="38" t="s">
        <v>732</v>
      </c>
      <c r="D1014" s="17"/>
      <c r="E1014" s="17"/>
      <c r="F1014" s="17"/>
      <c r="G1014" s="146" t="s">
        <v>764</v>
      </c>
      <c r="H1014" s="38" t="s">
        <v>723</v>
      </c>
      <c r="I1014" s="239" t="str">
        <f>IF(ISBLANK(input!I313),"",input!I313)</f>
        <v/>
      </c>
      <c r="K1014" s="262" t="s">
        <v>4249</v>
      </c>
      <c r="N1014" s="262" t="s">
        <v>4249</v>
      </c>
    </row>
    <row r="1015" spans="1:14" ht="12.75" customHeight="1" x14ac:dyDescent="0.2">
      <c r="A1015" s="38"/>
      <c r="B1015" s="17"/>
      <c r="C1015" s="38" t="s">
        <v>1101</v>
      </c>
      <c r="D1015" s="17"/>
      <c r="E1015" s="17"/>
      <c r="F1015" s="17"/>
      <c r="G1015" s="146" t="s">
        <v>2044</v>
      </c>
      <c r="H1015" s="38" t="s">
        <v>1103</v>
      </c>
      <c r="I1015" s="239" t="str">
        <f>IF(ISBLANK(continental!I87),"",continental!I87)</f>
        <v/>
      </c>
      <c r="K1015" s="262" t="s">
        <v>4249</v>
      </c>
      <c r="N1015" s="262" t="s">
        <v>4249</v>
      </c>
    </row>
    <row r="1016" spans="1:14" ht="12.75" customHeight="1" x14ac:dyDescent="0.2">
      <c r="A1016" s="38"/>
      <c r="B1016" s="17"/>
      <c r="C1016" s="38" t="s">
        <v>721</v>
      </c>
      <c r="D1016" s="17"/>
      <c r="E1016" s="17"/>
      <c r="F1016" s="17"/>
      <c r="G1016" s="146" t="s">
        <v>761</v>
      </c>
      <c r="H1016" s="38" t="s">
        <v>723</v>
      </c>
      <c r="I1016" s="239" t="str">
        <f>IF(ISBLANK(input!I310),"",input!I310)</f>
        <v/>
      </c>
      <c r="K1016" s="262" t="s">
        <v>4249</v>
      </c>
      <c r="N1016" s="262" t="s">
        <v>4249</v>
      </c>
    </row>
    <row r="1017" spans="1:14" ht="12.75" customHeight="1" x14ac:dyDescent="0.2">
      <c r="A1017" s="568"/>
      <c r="B1017" s="568" t="s">
        <v>1114</v>
      </c>
      <c r="C1017" s="680"/>
      <c r="D1017" s="567"/>
      <c r="E1017" s="567"/>
      <c r="F1017" s="567"/>
      <c r="G1017" s="680" t="s">
        <v>2045</v>
      </c>
      <c r="H1017" s="568" t="s">
        <v>296</v>
      </c>
      <c r="I1017" s="239" t="str">
        <f>IF(ISBLANK(continental!I88),"",continental!I88)</f>
        <v/>
      </c>
      <c r="K1017" s="262" t="s">
        <v>4249</v>
      </c>
      <c r="N1017" s="262" t="s">
        <v>4249</v>
      </c>
    </row>
    <row r="1018" spans="1:14" ht="12.75" customHeight="1" x14ac:dyDescent="0.2">
      <c r="A1018" s="568"/>
      <c r="B1018" s="567"/>
      <c r="C1018" s="568" t="s">
        <v>1116</v>
      </c>
      <c r="D1018" s="567"/>
      <c r="E1018" s="567"/>
      <c r="F1018" s="567"/>
      <c r="G1018" s="680" t="s">
        <v>2046</v>
      </c>
      <c r="H1018" s="568" t="s">
        <v>1103</v>
      </c>
      <c r="I1018" s="239" t="str">
        <f>IF(ISBLANK(continental!I89),"",continental!I89)</f>
        <v/>
      </c>
      <c r="K1018" s="262" t="s">
        <v>4249</v>
      </c>
      <c r="N1018" s="262" t="s">
        <v>4249</v>
      </c>
    </row>
    <row r="1019" spans="1:14" ht="12.75" customHeight="1" x14ac:dyDescent="0.2">
      <c r="A1019" s="568"/>
      <c r="B1019" s="567"/>
      <c r="C1019" s="568" t="s">
        <v>1118</v>
      </c>
      <c r="D1019" s="567"/>
      <c r="E1019" s="567"/>
      <c r="F1019" s="567"/>
      <c r="G1019" s="680" t="s">
        <v>2047</v>
      </c>
      <c r="H1019" s="568" t="s">
        <v>296</v>
      </c>
      <c r="I1019" s="239" t="str">
        <f>IF(ISBLANK(continental!I90),"",continental!I90)</f>
        <v/>
      </c>
      <c r="K1019" s="262" t="s">
        <v>4249</v>
      </c>
      <c r="N1019" s="262" t="s">
        <v>4249</v>
      </c>
    </row>
    <row r="1020" spans="1:14" ht="12.75" customHeight="1" x14ac:dyDescent="0.2">
      <c r="A1020" s="38"/>
      <c r="B1020" s="38" t="s">
        <v>1120</v>
      </c>
      <c r="C1020" s="146"/>
      <c r="D1020" s="17"/>
      <c r="E1020" s="17"/>
      <c r="F1020" s="17"/>
      <c r="G1020" s="146" t="s">
        <v>2048</v>
      </c>
      <c r="H1020" s="38" t="s">
        <v>296</v>
      </c>
      <c r="I1020" s="239" t="str">
        <f>IF(ISBLANK(continental!I91),"",continental!I91)</f>
        <v/>
      </c>
      <c r="K1020" s="262" t="s">
        <v>4249</v>
      </c>
      <c r="N1020" s="262" t="s">
        <v>4249</v>
      </c>
    </row>
    <row r="1021" spans="1:14" ht="12.75" customHeight="1" x14ac:dyDescent="0.2">
      <c r="A1021" s="38"/>
      <c r="B1021" s="17"/>
      <c r="C1021" s="38" t="s">
        <v>1122</v>
      </c>
      <c r="D1021" s="17"/>
      <c r="E1021" s="17"/>
      <c r="F1021" s="17"/>
      <c r="G1021" s="146" t="s">
        <v>2049</v>
      </c>
      <c r="H1021" s="38" t="s">
        <v>1103</v>
      </c>
      <c r="I1021" s="239" t="str">
        <f>IF(ISBLANK(continental!I92),"",continental!I92)</f>
        <v/>
      </c>
      <c r="K1021" s="262" t="s">
        <v>4249</v>
      </c>
      <c r="N1021" s="262" t="s">
        <v>4249</v>
      </c>
    </row>
    <row r="1022" spans="1:14" ht="12.75" customHeight="1" x14ac:dyDescent="0.2">
      <c r="A1022" s="38"/>
      <c r="B1022" s="17"/>
      <c r="C1022" s="38" t="s">
        <v>1124</v>
      </c>
      <c r="D1022" s="17"/>
      <c r="E1022" s="17"/>
      <c r="F1022" s="17"/>
      <c r="G1022" s="146" t="s">
        <v>2050</v>
      </c>
      <c r="H1022" s="38" t="s">
        <v>296</v>
      </c>
      <c r="I1022" s="239" t="str">
        <f>IF(ISBLANK(continental!I93),"",continental!I93)</f>
        <v/>
      </c>
      <c r="K1022" s="262" t="s">
        <v>4249</v>
      </c>
      <c r="N1022" s="262" t="s">
        <v>4249</v>
      </c>
    </row>
    <row r="1023" spans="1:14" ht="12.75" customHeight="1" x14ac:dyDescent="0.2">
      <c r="A1023" s="38"/>
      <c r="B1023" s="38" t="s">
        <v>1126</v>
      </c>
      <c r="C1023" s="146"/>
      <c r="D1023" s="17"/>
      <c r="E1023" s="17"/>
      <c r="F1023" s="17"/>
      <c r="G1023" s="146" t="s">
        <v>2051</v>
      </c>
      <c r="H1023" s="38" t="s">
        <v>296</v>
      </c>
      <c r="I1023" s="239" t="str">
        <f>IF(ISBLANK(continental!I94),"",continental!I94)</f>
        <v/>
      </c>
      <c r="K1023" s="262" t="s">
        <v>4249</v>
      </c>
      <c r="N1023" s="262" t="s">
        <v>4249</v>
      </c>
    </row>
    <row r="1024" spans="1:14" ht="12.75" customHeight="1" x14ac:dyDescent="0.2">
      <c r="A1024" s="38"/>
      <c r="B1024" s="17"/>
      <c r="C1024" s="38" t="s">
        <v>1128</v>
      </c>
      <c r="D1024" s="17"/>
      <c r="E1024" s="17"/>
      <c r="F1024" s="17"/>
      <c r="G1024" s="146" t="s">
        <v>2052</v>
      </c>
      <c r="H1024" s="38" t="s">
        <v>1103</v>
      </c>
      <c r="I1024" s="239" t="str">
        <f>IF(ISBLANK(continental!I95),"",continental!I95)</f>
        <v/>
      </c>
      <c r="K1024" s="262" t="s">
        <v>4249</v>
      </c>
      <c r="N1024" s="262" t="s">
        <v>4249</v>
      </c>
    </row>
    <row r="1025" spans="1:14" ht="12.75" customHeight="1" x14ac:dyDescent="0.2">
      <c r="A1025" s="38"/>
      <c r="B1025" s="17"/>
      <c r="C1025" s="38" t="s">
        <v>1130</v>
      </c>
      <c r="D1025" s="17"/>
      <c r="E1025" s="17"/>
      <c r="F1025" s="17"/>
      <c r="G1025" s="146" t="s">
        <v>2053</v>
      </c>
      <c r="H1025" s="38" t="s">
        <v>296</v>
      </c>
      <c r="I1025" s="239" t="str">
        <f>IF(ISBLANK(continental!I96),"",continental!I96)</f>
        <v/>
      </c>
      <c r="K1025" s="262" t="s">
        <v>4249</v>
      </c>
      <c r="N1025" s="262" t="s">
        <v>4249</v>
      </c>
    </row>
    <row r="1026" spans="1:14" ht="12.75" customHeight="1" x14ac:dyDescent="0.2">
      <c r="A1026" s="38"/>
      <c r="B1026" s="38" t="s">
        <v>1132</v>
      </c>
      <c r="C1026" s="146"/>
      <c r="D1026" s="17"/>
      <c r="E1026" s="17"/>
      <c r="F1026" s="17"/>
      <c r="G1026" s="146" t="s">
        <v>2054</v>
      </c>
      <c r="H1026" s="38" t="s">
        <v>296</v>
      </c>
      <c r="I1026" s="239" t="str">
        <f>IF(ISBLANK(continental!I97),"",continental!I97)</f>
        <v/>
      </c>
      <c r="K1026" s="262" t="s">
        <v>4249</v>
      </c>
      <c r="N1026" s="262" t="s">
        <v>4249</v>
      </c>
    </row>
    <row r="1027" spans="1:14" ht="12.75" customHeight="1" x14ac:dyDescent="0.2">
      <c r="A1027" s="38"/>
      <c r="B1027" s="38" t="s">
        <v>2055</v>
      </c>
      <c r="C1027" s="146"/>
      <c r="D1027" s="17"/>
      <c r="E1027" s="17"/>
      <c r="F1027" s="17"/>
      <c r="G1027" s="146" t="s">
        <v>2056</v>
      </c>
      <c r="H1027" s="38" t="s">
        <v>296</v>
      </c>
      <c r="I1027" s="239" t="str">
        <f>IF(ISBLANK(continental!I98),"",continental!I98)</f>
        <v/>
      </c>
      <c r="K1027" s="262" t="s">
        <v>4249</v>
      </c>
      <c r="N1027" s="262" t="s">
        <v>4249</v>
      </c>
    </row>
    <row r="1028" spans="1:14" ht="12.75" customHeight="1" x14ac:dyDescent="0.2">
      <c r="A1028" s="38"/>
      <c r="B1028" s="38" t="s">
        <v>2057</v>
      </c>
      <c r="C1028" s="146"/>
      <c r="D1028" s="17"/>
      <c r="E1028" s="17"/>
      <c r="F1028" s="17"/>
      <c r="G1028" s="146" t="s">
        <v>2058</v>
      </c>
      <c r="H1028" s="38" t="s">
        <v>296</v>
      </c>
      <c r="I1028" s="239" t="str">
        <f>IF(ISBLANK(continental!I99),"",continental!I99)</f>
        <v/>
      </c>
      <c r="K1028" s="262" t="s">
        <v>4249</v>
      </c>
      <c r="N1028" s="262" t="s">
        <v>4249</v>
      </c>
    </row>
    <row r="1029" spans="1:14" ht="12.75" customHeight="1" x14ac:dyDescent="0.2">
      <c r="A1029" s="38"/>
      <c r="B1029" s="17"/>
      <c r="C1029" s="38" t="s">
        <v>1138</v>
      </c>
      <c r="D1029" s="17"/>
      <c r="E1029" s="17"/>
      <c r="F1029" s="17"/>
      <c r="G1029" s="146" t="s">
        <v>2059</v>
      </c>
      <c r="H1029" s="38" t="s">
        <v>1103</v>
      </c>
      <c r="I1029" s="239" t="str">
        <f>IF(ISBLANK(continental!I100),"",continental!I100)</f>
        <v/>
      </c>
      <c r="K1029" s="262" t="s">
        <v>4249</v>
      </c>
      <c r="N1029" s="262" t="s">
        <v>4249</v>
      </c>
    </row>
    <row r="1030" spans="1:14" ht="12.75" customHeight="1" x14ac:dyDescent="0.2">
      <c r="A1030" s="38"/>
      <c r="B1030" s="17"/>
      <c r="C1030" s="38" t="s">
        <v>1140</v>
      </c>
      <c r="D1030" s="17"/>
      <c r="E1030" s="17"/>
      <c r="F1030" s="17"/>
      <c r="G1030" s="146" t="s">
        <v>2060</v>
      </c>
      <c r="H1030" s="38" t="s">
        <v>296</v>
      </c>
      <c r="I1030" s="239" t="str">
        <f>IF(ISBLANK(continental!I101),"",continental!I101)</f>
        <v/>
      </c>
      <c r="K1030" s="262" t="s">
        <v>4249</v>
      </c>
      <c r="N1030" s="262" t="s">
        <v>4249</v>
      </c>
    </row>
    <row r="1031" spans="1:14" ht="12.75" customHeight="1" x14ac:dyDescent="0.2">
      <c r="A1031" s="38"/>
      <c r="B1031" s="38" t="s">
        <v>1142</v>
      </c>
      <c r="C1031" s="146"/>
      <c r="D1031" s="17"/>
      <c r="E1031" s="17"/>
      <c r="F1031" s="17"/>
      <c r="G1031" s="146" t="s">
        <v>2061</v>
      </c>
      <c r="H1031" s="38" t="s">
        <v>296</v>
      </c>
      <c r="I1031" s="239" t="str">
        <f>IF(ISBLANK(continental!I102),"",continental!I102)</f>
        <v/>
      </c>
      <c r="K1031" s="262" t="s">
        <v>4249</v>
      </c>
      <c r="N1031" s="262" t="s">
        <v>4249</v>
      </c>
    </row>
    <row r="1032" spans="1:14" ht="12.75" customHeight="1" x14ac:dyDescent="0.2">
      <c r="A1032" s="38"/>
      <c r="B1032" s="38" t="s">
        <v>2062</v>
      </c>
      <c r="C1032" s="146"/>
      <c r="D1032" s="17"/>
      <c r="E1032" s="17"/>
      <c r="F1032" s="17"/>
      <c r="G1032" s="146" t="s">
        <v>2063</v>
      </c>
      <c r="H1032" s="38" t="s">
        <v>296</v>
      </c>
      <c r="I1032" s="239" t="str">
        <f>IF(ISBLANK(continental!I103),"",continental!I103)</f>
        <v/>
      </c>
      <c r="K1032" s="262" t="s">
        <v>4249</v>
      </c>
      <c r="N1032" s="262" t="s">
        <v>4249</v>
      </c>
    </row>
    <row r="1033" spans="1:14" ht="12.75" customHeight="1" x14ac:dyDescent="0.2">
      <c r="A1033" s="38"/>
      <c r="B1033" s="38" t="s">
        <v>2064</v>
      </c>
      <c r="C1033" s="146"/>
      <c r="D1033" s="17"/>
      <c r="E1033" s="17"/>
      <c r="F1033" s="17"/>
      <c r="G1033" s="146" t="s">
        <v>2065</v>
      </c>
      <c r="H1033" s="38" t="s">
        <v>296</v>
      </c>
      <c r="I1033" s="239" t="str">
        <f>IF(ISBLANK(continental!I104),"",continental!I104)</f>
        <v/>
      </c>
      <c r="K1033" s="262" t="s">
        <v>4249</v>
      </c>
      <c r="N1033" s="262" t="s">
        <v>4249</v>
      </c>
    </row>
    <row r="1034" spans="1:14" ht="12.75" customHeight="1" x14ac:dyDescent="0.2">
      <c r="A1034" s="38"/>
      <c r="B1034" s="17"/>
      <c r="C1034" s="38" t="s">
        <v>1148</v>
      </c>
      <c r="D1034" s="17"/>
      <c r="E1034" s="17"/>
      <c r="F1034" s="17"/>
      <c r="G1034" s="146" t="s">
        <v>2066</v>
      </c>
      <c r="H1034" s="38" t="s">
        <v>1103</v>
      </c>
      <c r="I1034" s="239" t="str">
        <f>IF(ISBLANK(continental!I105),"",continental!I105)</f>
        <v/>
      </c>
      <c r="K1034" s="262" t="s">
        <v>4249</v>
      </c>
      <c r="N1034" s="262" t="s">
        <v>4249</v>
      </c>
    </row>
    <row r="1035" spans="1:14" ht="12.75" customHeight="1" x14ac:dyDescent="0.2">
      <c r="A1035" s="38"/>
      <c r="B1035" s="17"/>
      <c r="C1035" s="38" t="s">
        <v>1150</v>
      </c>
      <c r="D1035" s="17"/>
      <c r="E1035" s="17"/>
      <c r="F1035" s="17"/>
      <c r="G1035" s="146" t="s">
        <v>2067</v>
      </c>
      <c r="H1035" s="38" t="s">
        <v>296</v>
      </c>
      <c r="I1035" s="239" t="str">
        <f>IF(ISBLANK(continental!I106),"",continental!I106)</f>
        <v/>
      </c>
      <c r="K1035" s="262" t="s">
        <v>4249</v>
      </c>
      <c r="N1035" s="262" t="s">
        <v>4249</v>
      </c>
    </row>
    <row r="1036" spans="1:14" ht="12.75" customHeight="1" x14ac:dyDescent="0.2">
      <c r="A1036" s="38"/>
      <c r="B1036" s="38" t="s">
        <v>1152</v>
      </c>
      <c r="C1036" s="146"/>
      <c r="D1036" s="17"/>
      <c r="E1036" s="17"/>
      <c r="F1036" s="17"/>
      <c r="G1036" s="146" t="s">
        <v>2068</v>
      </c>
      <c r="H1036" s="38" t="s">
        <v>296</v>
      </c>
      <c r="I1036" s="239" t="str">
        <f>IF(ISBLANK(continental!I107),"",continental!I107)</f>
        <v/>
      </c>
      <c r="K1036" s="262" t="s">
        <v>4249</v>
      </c>
      <c r="N1036" s="262" t="s">
        <v>4249</v>
      </c>
    </row>
    <row r="1037" spans="1:14" ht="12.75" customHeight="1" x14ac:dyDescent="0.2">
      <c r="A1037" s="38"/>
      <c r="B1037" s="38" t="s">
        <v>2069</v>
      </c>
      <c r="C1037" s="146"/>
      <c r="D1037" s="17"/>
      <c r="E1037" s="17"/>
      <c r="F1037" s="17"/>
      <c r="G1037" s="146" t="s">
        <v>2070</v>
      </c>
      <c r="H1037" s="38" t="s">
        <v>296</v>
      </c>
      <c r="I1037" s="239" t="str">
        <f>IF(ISBLANK(continental!I108),"",continental!I108)</f>
        <v/>
      </c>
      <c r="K1037" s="262" t="s">
        <v>4249</v>
      </c>
      <c r="N1037" s="262" t="s">
        <v>4249</v>
      </c>
    </row>
    <row r="1038" spans="1:14" ht="12.75" customHeight="1" x14ac:dyDescent="0.2">
      <c r="A1038" s="38"/>
      <c r="B1038" s="38" t="s">
        <v>2071</v>
      </c>
      <c r="C1038" s="146"/>
      <c r="D1038" s="17"/>
      <c r="E1038" s="17"/>
      <c r="F1038" s="17"/>
      <c r="G1038" s="146" t="s">
        <v>2072</v>
      </c>
      <c r="H1038" s="38" t="s">
        <v>296</v>
      </c>
      <c r="I1038" s="239" t="str">
        <f>IF(ISBLANK(continental!I109),"",continental!I109)</f>
        <v/>
      </c>
      <c r="K1038" s="262" t="s">
        <v>4249</v>
      </c>
      <c r="N1038" s="262" t="s">
        <v>4249</v>
      </c>
    </row>
    <row r="1039" spans="1:14" ht="12.75" customHeight="1" x14ac:dyDescent="0.2">
      <c r="A1039" s="38"/>
      <c r="B1039" s="17"/>
      <c r="C1039" s="38" t="s">
        <v>1158</v>
      </c>
      <c r="D1039" s="17"/>
      <c r="E1039" s="17"/>
      <c r="F1039" s="17"/>
      <c r="G1039" s="146" t="s">
        <v>2073</v>
      </c>
      <c r="H1039" s="38" t="s">
        <v>1103</v>
      </c>
      <c r="I1039" s="239" t="str">
        <f>IF(ISBLANK(continental!I110),"",continental!I110)</f>
        <v/>
      </c>
      <c r="K1039" s="262" t="s">
        <v>4249</v>
      </c>
      <c r="N1039" s="262" t="s">
        <v>4249</v>
      </c>
    </row>
    <row r="1040" spans="1:14" ht="12.75" customHeight="1" x14ac:dyDescent="0.2">
      <c r="A1040" s="38"/>
      <c r="B1040" s="17"/>
      <c r="C1040" s="38" t="s">
        <v>1160</v>
      </c>
      <c r="D1040" s="17"/>
      <c r="E1040" s="17"/>
      <c r="F1040" s="17"/>
      <c r="G1040" s="146" t="s">
        <v>2074</v>
      </c>
      <c r="H1040" s="38" t="s">
        <v>296</v>
      </c>
      <c r="I1040" s="239" t="str">
        <f>IF(ISBLANK(continental!I111),"",continental!I111)</f>
        <v/>
      </c>
      <c r="K1040" s="262" t="s">
        <v>4249</v>
      </c>
      <c r="N1040" s="262" t="s">
        <v>4249</v>
      </c>
    </row>
    <row r="1041" spans="1:14" ht="12.75" customHeight="1" x14ac:dyDescent="0.2">
      <c r="A1041" s="17"/>
      <c r="B1041" s="17"/>
      <c r="C1041" s="17"/>
      <c r="D1041" s="17"/>
      <c r="E1041" s="17"/>
      <c r="F1041" s="17"/>
      <c r="G1041" s="17"/>
      <c r="H1041" s="17"/>
      <c r="I1041" s="239" t="str">
        <f>IF(ISBLANK(continental!I112),"",continental!I112)</f>
        <v/>
      </c>
      <c r="K1041" s="262" t="s">
        <v>4249</v>
      </c>
      <c r="N1041" s="262" t="s">
        <v>4249</v>
      </c>
    </row>
    <row r="1042" spans="1:14" ht="12.75" customHeight="1" x14ac:dyDescent="0.2">
      <c r="A1042" s="148" t="s">
        <v>1162</v>
      </c>
      <c r="B1042" s="147"/>
      <c r="C1042" s="147"/>
      <c r="D1042" s="147"/>
      <c r="E1042" s="147"/>
      <c r="F1042" s="147"/>
      <c r="G1042" s="148" t="s">
        <v>263</v>
      </c>
      <c r="H1042" s="148" t="s">
        <v>279</v>
      </c>
      <c r="I1042" s="239" t="str">
        <f>IF(ISBLANK(continental!I113),"",continental!I113)</f>
        <v>User input</v>
      </c>
      <c r="K1042" s="262" t="s">
        <v>264</v>
      </c>
      <c r="N1042" s="262" t="s">
        <v>264</v>
      </c>
    </row>
    <row r="1043" spans="1:14" ht="12.75" customHeight="1" x14ac:dyDescent="0.2">
      <c r="A1043" s="17"/>
      <c r="B1043" s="17"/>
      <c r="C1043" s="17"/>
      <c r="D1043" s="17"/>
      <c r="E1043" s="17"/>
      <c r="F1043" s="17"/>
      <c r="G1043" s="17"/>
      <c r="H1043" s="17"/>
      <c r="I1043" s="239" t="str">
        <f>IF(ISBLANK(continental!I114),"",continental!I114)</f>
        <v/>
      </c>
      <c r="K1043" s="262" t="s">
        <v>4249</v>
      </c>
      <c r="N1043" s="262" t="s">
        <v>4249</v>
      </c>
    </row>
    <row r="1044" spans="1:14" ht="12.75" customHeight="1" x14ac:dyDescent="0.2">
      <c r="A1044" s="38" t="s">
        <v>2075</v>
      </c>
      <c r="B1044" s="17"/>
      <c r="C1044" s="17"/>
      <c r="D1044" s="17"/>
      <c r="E1044" s="17"/>
      <c r="F1044" s="17"/>
      <c r="G1044" s="38" t="s">
        <v>2076</v>
      </c>
      <c r="H1044" s="38" t="s">
        <v>624</v>
      </c>
      <c r="I1044" s="239" t="str">
        <f>IF(ISBLANK(continental!I115),"",continental!I115)</f>
        <v/>
      </c>
      <c r="K1044" s="262" t="s">
        <v>4249</v>
      </c>
      <c r="N1044" s="262" t="s">
        <v>4249</v>
      </c>
    </row>
    <row r="1045" spans="1:14" ht="12.75" customHeight="1" x14ac:dyDescent="0.2">
      <c r="A1045" s="38" t="s">
        <v>2077</v>
      </c>
      <c r="B1045" s="17"/>
      <c r="C1045" s="17"/>
      <c r="D1045" s="17"/>
      <c r="E1045" s="17"/>
      <c r="F1045" s="17"/>
      <c r="G1045" s="38" t="s">
        <v>2078</v>
      </c>
      <c r="H1045" s="38" t="s">
        <v>624</v>
      </c>
      <c r="I1045" s="239" t="str">
        <f>IF(ISBLANK(continental!I116),"",continental!I116)</f>
        <v/>
      </c>
      <c r="K1045" s="262" t="s">
        <v>4249</v>
      </c>
      <c r="N1045" s="262" t="s">
        <v>4249</v>
      </c>
    </row>
    <row r="1046" spans="1:14" ht="12.75" customHeight="1" x14ac:dyDescent="0.2">
      <c r="A1046" s="38" t="s">
        <v>2079</v>
      </c>
      <c r="B1046" s="17"/>
      <c r="C1046" s="17"/>
      <c r="D1046" s="17"/>
      <c r="E1046" s="17"/>
      <c r="F1046" s="17"/>
      <c r="G1046" s="38" t="s">
        <v>2080</v>
      </c>
      <c r="H1046" s="38" t="s">
        <v>624</v>
      </c>
      <c r="I1046" s="239" t="str">
        <f>IF(ISBLANK(continental!I117),"",continental!I117)</f>
        <v/>
      </c>
      <c r="K1046" s="262" t="s">
        <v>4249</v>
      </c>
      <c r="N1046" s="262" t="s">
        <v>4249</v>
      </c>
    </row>
    <row r="1047" spans="1:14" ht="12.75" customHeight="1" x14ac:dyDescent="0.2">
      <c r="A1047" s="38" t="s">
        <v>2081</v>
      </c>
      <c r="B1047" s="17"/>
      <c r="C1047" s="17"/>
      <c r="D1047" s="17"/>
      <c r="E1047" s="17"/>
      <c r="F1047" s="17"/>
      <c r="G1047" s="38" t="s">
        <v>2082</v>
      </c>
      <c r="H1047" s="38" t="s">
        <v>624</v>
      </c>
      <c r="I1047" s="239" t="str">
        <f>IF(ISBLANK(continental!I118),"",continental!I118)</f>
        <v/>
      </c>
      <c r="K1047" s="262" t="s">
        <v>4249</v>
      </c>
      <c r="N1047" s="262" t="s">
        <v>4249</v>
      </c>
    </row>
    <row r="1048" spans="1:14" ht="12.75" customHeight="1" x14ac:dyDescent="0.2">
      <c r="A1048" s="38" t="s">
        <v>2083</v>
      </c>
      <c r="B1048" s="17"/>
      <c r="C1048" s="17"/>
      <c r="D1048" s="17"/>
      <c r="E1048" s="17"/>
      <c r="F1048" s="17"/>
      <c r="G1048" s="38" t="s">
        <v>2084</v>
      </c>
      <c r="H1048" s="38" t="s">
        <v>624</v>
      </c>
      <c r="I1048" s="239" t="str">
        <f>IF(ISBLANK(continental!I119),"",continental!I119)</f>
        <v/>
      </c>
      <c r="K1048" s="262" t="s">
        <v>4249</v>
      </c>
      <c r="N1048" s="262" t="s">
        <v>4249</v>
      </c>
    </row>
    <row r="1049" spans="1:14" ht="12.75" customHeight="1" x14ac:dyDescent="0.2">
      <c r="A1049" s="38" t="s">
        <v>2085</v>
      </c>
      <c r="B1049" s="17"/>
      <c r="C1049" s="17"/>
      <c r="D1049" s="17"/>
      <c r="E1049" s="17"/>
      <c r="F1049" s="17"/>
      <c r="G1049" s="38" t="s">
        <v>2086</v>
      </c>
      <c r="H1049" s="38" t="s">
        <v>624</v>
      </c>
      <c r="I1049" s="239" t="str">
        <f>IF(ISBLANK(continental!I120),"",continental!I120)</f>
        <v/>
      </c>
      <c r="K1049" s="262" t="s">
        <v>4249</v>
      </c>
      <c r="N1049" s="262" t="s">
        <v>4249</v>
      </c>
    </row>
    <row r="1050" spans="1:14" ht="12.75" customHeight="1" x14ac:dyDescent="0.2">
      <c r="A1050" s="38" t="s">
        <v>2087</v>
      </c>
      <c r="B1050" s="17"/>
      <c r="C1050" s="17"/>
      <c r="D1050" s="17"/>
      <c r="E1050" s="17"/>
      <c r="F1050" s="17"/>
      <c r="G1050" s="38" t="s">
        <v>2088</v>
      </c>
      <c r="H1050" s="38" t="s">
        <v>624</v>
      </c>
      <c r="I1050" s="239" t="str">
        <f>IF(ISBLANK(continental!I121),"",continental!I121)</f>
        <v/>
      </c>
      <c r="K1050" s="262" t="s">
        <v>4249</v>
      </c>
      <c r="N1050" s="262" t="s">
        <v>4249</v>
      </c>
    </row>
    <row r="1051" spans="1:14" ht="12.75" customHeight="1" x14ac:dyDescent="0.2">
      <c r="A1051" s="38" t="s">
        <v>2087</v>
      </c>
      <c r="B1051" s="17"/>
      <c r="C1051" s="17"/>
      <c r="D1051" s="17"/>
      <c r="E1051" s="17"/>
      <c r="F1051" s="17"/>
      <c r="G1051" s="38" t="s">
        <v>2089</v>
      </c>
      <c r="H1051" s="38" t="s">
        <v>624</v>
      </c>
      <c r="I1051" s="239" t="str">
        <f>IF(ISBLANK(continental!I122),"",continental!I122)</f>
        <v/>
      </c>
      <c r="K1051" s="262" t="s">
        <v>4249</v>
      </c>
      <c r="N1051" s="262" t="s">
        <v>4249</v>
      </c>
    </row>
    <row r="1052" spans="1:14" ht="12.75" customHeight="1" x14ac:dyDescent="0.2">
      <c r="A1052" s="38" t="s">
        <v>2090</v>
      </c>
      <c r="B1052" s="17"/>
      <c r="C1052" s="17"/>
      <c r="D1052" s="17"/>
      <c r="E1052" s="17"/>
      <c r="F1052" s="17"/>
      <c r="G1052" s="38" t="s">
        <v>2091</v>
      </c>
      <c r="H1052" s="38" t="s">
        <v>624</v>
      </c>
      <c r="I1052" s="239" t="str">
        <f>IF(ISBLANK(continental!I123),"",continental!I123)</f>
        <v/>
      </c>
      <c r="K1052" s="262" t="s">
        <v>4249</v>
      </c>
      <c r="N1052" s="262" t="s">
        <v>4249</v>
      </c>
    </row>
    <row r="1053" spans="1:14" ht="12.75" customHeight="1" x14ac:dyDescent="0.2">
      <c r="A1053" s="38" t="s">
        <v>2092</v>
      </c>
      <c r="B1053" s="17"/>
      <c r="C1053" s="17"/>
      <c r="D1053" s="17"/>
      <c r="E1053" s="17"/>
      <c r="F1053" s="17"/>
      <c r="G1053" s="38" t="s">
        <v>2093</v>
      </c>
      <c r="H1053" s="38" t="s">
        <v>624</v>
      </c>
      <c r="I1053" s="239" t="str">
        <f>IF(ISBLANK(continental!I124),"",continental!I124)</f>
        <v/>
      </c>
      <c r="K1053" s="262" t="s">
        <v>4249</v>
      </c>
      <c r="N1053" s="262" t="s">
        <v>4249</v>
      </c>
    </row>
    <row r="1054" spans="1:14" ht="12.75" customHeight="1" x14ac:dyDescent="0.2">
      <c r="A1054" s="38" t="s">
        <v>2094</v>
      </c>
      <c r="B1054" s="17"/>
      <c r="C1054" s="17"/>
      <c r="D1054" s="17"/>
      <c r="E1054" s="17"/>
      <c r="F1054" s="17"/>
      <c r="G1054" s="38" t="s">
        <v>2095</v>
      </c>
      <c r="H1054" s="38" t="s">
        <v>624</v>
      </c>
      <c r="I1054" s="239" t="str">
        <f>IF(ISBLANK(continental!I125),"",continental!I125)</f>
        <v/>
      </c>
      <c r="J1054" s="228"/>
      <c r="K1054" s="262" t="s">
        <v>4249</v>
      </c>
      <c r="N1054" s="262" t="s">
        <v>4249</v>
      </c>
    </row>
    <row r="1055" spans="1:14" ht="12.75" customHeight="1" x14ac:dyDescent="0.2">
      <c r="A1055" s="38" t="s">
        <v>2096</v>
      </c>
      <c r="B1055" s="17"/>
      <c r="C1055" s="17"/>
      <c r="D1055" s="17"/>
      <c r="E1055" s="17"/>
      <c r="F1055" s="17"/>
      <c r="G1055" s="38" t="s">
        <v>2097</v>
      </c>
      <c r="H1055" s="38" t="s">
        <v>624</v>
      </c>
      <c r="I1055" s="239" t="str">
        <f>IF(ISBLANK(continental!I126),"",continental!I126)</f>
        <v/>
      </c>
      <c r="J1055" s="411"/>
      <c r="K1055" s="262" t="s">
        <v>4249</v>
      </c>
      <c r="N1055" s="262" t="s">
        <v>4249</v>
      </c>
    </row>
    <row r="1056" spans="1:14" ht="12.75" customHeight="1" x14ac:dyDescent="0.2">
      <c r="A1056" s="38"/>
      <c r="B1056" s="17" t="s">
        <v>2098</v>
      </c>
      <c r="C1056" s="17"/>
      <c r="D1056" s="17"/>
      <c r="E1056" s="17"/>
      <c r="F1056" s="17"/>
      <c r="G1056" s="38" t="s">
        <v>2099</v>
      </c>
      <c r="H1056" s="38" t="s">
        <v>340</v>
      </c>
      <c r="I1056" s="239" t="str">
        <f>IF(ISBLANK(continental!I127),"",continental!I127)</f>
        <v/>
      </c>
      <c r="J1056" s="228"/>
      <c r="K1056" s="262" t="s">
        <v>4249</v>
      </c>
      <c r="N1056" s="262" t="s">
        <v>4249</v>
      </c>
    </row>
    <row r="1057" spans="1:14" ht="12.75" customHeight="1" x14ac:dyDescent="0.2">
      <c r="A1057" s="38"/>
      <c r="B1057" s="17"/>
      <c r="C1057" s="17" t="s">
        <v>2100</v>
      </c>
      <c r="D1057" s="17"/>
      <c r="E1057" s="17"/>
      <c r="F1057" s="17"/>
      <c r="G1057" s="38" t="s">
        <v>2101</v>
      </c>
      <c r="H1057" s="38" t="s">
        <v>340</v>
      </c>
      <c r="I1057" s="239" t="str">
        <f>IF(ISBLANK(continental!I128),"",continental!I128)</f>
        <v/>
      </c>
      <c r="K1057" s="262" t="s">
        <v>4249</v>
      </c>
      <c r="N1057" s="262" t="s">
        <v>4249</v>
      </c>
    </row>
    <row r="1058" spans="1:14" ht="12.75" customHeight="1" x14ac:dyDescent="0.2">
      <c r="A1058" s="38"/>
      <c r="B1058" s="17"/>
      <c r="C1058" s="17"/>
      <c r="D1058" s="17" t="s">
        <v>2102</v>
      </c>
      <c r="E1058" s="17"/>
      <c r="F1058" s="17"/>
      <c r="G1058" s="38" t="s">
        <v>2103</v>
      </c>
      <c r="H1058" s="38" t="s">
        <v>340</v>
      </c>
      <c r="I1058" s="239" t="str">
        <f>IF(ISBLANK(continental!I129),"",continental!I129)</f>
        <v/>
      </c>
      <c r="K1058" s="262" t="s">
        <v>4249</v>
      </c>
      <c r="N1058" s="262" t="s">
        <v>4249</v>
      </c>
    </row>
    <row r="1059" spans="1:14" ht="12.75" customHeight="1" x14ac:dyDescent="0.2">
      <c r="A1059" s="38"/>
      <c r="B1059" s="17"/>
      <c r="C1059" s="17"/>
      <c r="D1059" s="17" t="s">
        <v>2104</v>
      </c>
      <c r="E1059" s="17"/>
      <c r="F1059" s="17"/>
      <c r="G1059" s="38" t="s">
        <v>2105</v>
      </c>
      <c r="H1059" s="38" t="s">
        <v>340</v>
      </c>
      <c r="I1059" s="239" t="str">
        <f>IF(ISBLANK(continental!I130),"",continental!I130)</f>
        <v/>
      </c>
      <c r="K1059" s="262" t="s">
        <v>4249</v>
      </c>
      <c r="N1059" s="262" t="s">
        <v>4249</v>
      </c>
    </row>
    <row r="1060" spans="1:14" ht="12.75" customHeight="1" x14ac:dyDescent="0.2">
      <c r="A1060" s="38"/>
      <c r="B1060" s="17" t="s">
        <v>1195</v>
      </c>
      <c r="C1060" s="17"/>
      <c r="D1060" s="17"/>
      <c r="E1060" s="17"/>
      <c r="F1060" s="17"/>
      <c r="G1060" s="38" t="s">
        <v>2106</v>
      </c>
      <c r="H1060" s="38" t="s">
        <v>1197</v>
      </c>
      <c r="I1060" s="239" t="str">
        <f>IF(ISBLANK(continental!I131),"",continental!I131)</f>
        <v/>
      </c>
      <c r="K1060" s="262" t="s">
        <v>4249</v>
      </c>
      <c r="N1060" s="262" t="s">
        <v>4249</v>
      </c>
    </row>
    <row r="1061" spans="1:14" ht="12.75" customHeight="1" x14ac:dyDescent="0.2">
      <c r="A1061" s="38"/>
      <c r="B1061" s="17" t="s">
        <v>1198</v>
      </c>
      <c r="C1061" s="17"/>
      <c r="D1061" s="17"/>
      <c r="E1061" s="17"/>
      <c r="F1061" s="17"/>
      <c r="G1061" s="38" t="s">
        <v>2107</v>
      </c>
      <c r="H1061" s="38" t="s">
        <v>1197</v>
      </c>
      <c r="I1061" s="239" t="str">
        <f>IF(ISBLANK(continental!I132),"",continental!I132)</f>
        <v/>
      </c>
      <c r="K1061" s="262" t="s">
        <v>4249</v>
      </c>
      <c r="N1061" s="262" t="s">
        <v>4249</v>
      </c>
    </row>
    <row r="1062" spans="1:14" ht="12.75" customHeight="1" x14ac:dyDescent="0.2">
      <c r="A1062" s="38"/>
      <c r="B1062" s="17" t="s">
        <v>1200</v>
      </c>
      <c r="C1062" s="17"/>
      <c r="D1062" s="17"/>
      <c r="E1062" s="17"/>
      <c r="F1062" s="17"/>
      <c r="G1062" s="38" t="s">
        <v>2108</v>
      </c>
      <c r="H1062" s="38" t="s">
        <v>873</v>
      </c>
      <c r="I1062" s="239" t="str">
        <f>IF(ISBLANK(continental!I133),"",continental!I133)</f>
        <v/>
      </c>
      <c r="K1062" s="262" t="s">
        <v>4249</v>
      </c>
      <c r="N1062" s="262" t="s">
        <v>4249</v>
      </c>
    </row>
    <row r="1063" spans="1:14" ht="12.75" customHeight="1" x14ac:dyDescent="0.2">
      <c r="A1063" s="38"/>
      <c r="B1063" s="17" t="s">
        <v>1203</v>
      </c>
      <c r="C1063" s="17"/>
      <c r="D1063" s="17"/>
      <c r="E1063" s="17"/>
      <c r="F1063" s="17"/>
      <c r="G1063" s="38" t="s">
        <v>2109</v>
      </c>
      <c r="H1063" s="38" t="s">
        <v>873</v>
      </c>
      <c r="I1063" s="239" t="str">
        <f>IF(ISBLANK(continental!I134),"",continental!I134)</f>
        <v/>
      </c>
      <c r="K1063" s="262" t="s">
        <v>4249</v>
      </c>
      <c r="N1063" s="262" t="s">
        <v>4249</v>
      </c>
    </row>
    <row r="1064" spans="1:14" ht="12.75" customHeight="1" x14ac:dyDescent="0.2">
      <c r="A1064" s="38"/>
      <c r="B1064" s="17" t="s">
        <v>2110</v>
      </c>
      <c r="C1064" s="17"/>
      <c r="D1064" s="17"/>
      <c r="E1064" s="17"/>
      <c r="F1064" s="17"/>
      <c r="G1064" s="38" t="s">
        <v>2111</v>
      </c>
      <c r="H1064" s="38" t="s">
        <v>873</v>
      </c>
      <c r="I1064" s="239" t="str">
        <f>IF(ISBLANK(continental!I135),"",continental!I135)</f>
        <v/>
      </c>
      <c r="K1064" s="262" t="s">
        <v>4249</v>
      </c>
      <c r="N1064" s="262" t="s">
        <v>4249</v>
      </c>
    </row>
    <row r="1065" spans="1:14" ht="12.75" customHeight="1" x14ac:dyDescent="0.2">
      <c r="A1065" s="38"/>
      <c r="B1065" s="17"/>
      <c r="C1065" s="17" t="s">
        <v>1207</v>
      </c>
      <c r="D1065" s="17"/>
      <c r="E1065" s="17"/>
      <c r="F1065" s="17"/>
      <c r="G1065" s="38" t="s">
        <v>2112</v>
      </c>
      <c r="H1065" s="38" t="s">
        <v>873</v>
      </c>
      <c r="I1065" s="239" t="str">
        <f>IF(ISBLANK(continental!I136),"",continental!I136)</f>
        <v/>
      </c>
      <c r="K1065" s="262" t="s">
        <v>4249</v>
      </c>
      <c r="N1065" s="262" t="s">
        <v>4249</v>
      </c>
    </row>
    <row r="1066" spans="1:14" ht="12.75" customHeight="1" x14ac:dyDescent="0.2">
      <c r="A1066" s="38"/>
      <c r="B1066" s="17"/>
      <c r="C1066" s="17" t="s">
        <v>1209</v>
      </c>
      <c r="D1066" s="17"/>
      <c r="E1066" s="17"/>
      <c r="F1066" s="17"/>
      <c r="G1066" s="38" t="s">
        <v>2113</v>
      </c>
      <c r="H1066" s="38" t="s">
        <v>296</v>
      </c>
      <c r="I1066" s="239" t="str">
        <f>IF(ISBLANK(continental!I137),"",continental!I137)</f>
        <v/>
      </c>
      <c r="K1066" s="262" t="s">
        <v>4249</v>
      </c>
      <c r="N1066" s="262" t="s">
        <v>4249</v>
      </c>
    </row>
    <row r="1067" spans="1:14" ht="12.75" customHeight="1" x14ac:dyDescent="0.2">
      <c r="A1067" s="38"/>
      <c r="B1067" s="17" t="s">
        <v>1211</v>
      </c>
      <c r="C1067" s="17"/>
      <c r="D1067" s="17"/>
      <c r="E1067" s="17"/>
      <c r="F1067" s="17"/>
      <c r="G1067" s="38" t="s">
        <v>2114</v>
      </c>
      <c r="H1067" s="38" t="s">
        <v>873</v>
      </c>
      <c r="I1067" s="239" t="str">
        <f>IF(ISBLANK(continental!I138),"",continental!I138)</f>
        <v/>
      </c>
      <c r="K1067" s="262" t="s">
        <v>4249</v>
      </c>
      <c r="N1067" s="262" t="s">
        <v>4249</v>
      </c>
    </row>
    <row r="1068" spans="1:14" ht="12.75" customHeight="1" x14ac:dyDescent="0.2">
      <c r="A1068" s="38"/>
      <c r="B1068" s="17" t="s">
        <v>1213</v>
      </c>
      <c r="C1068" s="17"/>
      <c r="D1068" s="17"/>
      <c r="E1068" s="17"/>
      <c r="F1068" s="17"/>
      <c r="G1068" s="38" t="s">
        <v>2116</v>
      </c>
      <c r="H1068" s="38" t="s">
        <v>873</v>
      </c>
      <c r="I1068" s="239" t="str">
        <f>IF(ISBLANK(continental!I139),"",continental!I139)</f>
        <v/>
      </c>
      <c r="K1068" s="262" t="s">
        <v>4249</v>
      </c>
      <c r="N1068" s="262" t="s">
        <v>4249</v>
      </c>
    </row>
    <row r="1069" spans="1:14" ht="12.75" customHeight="1" x14ac:dyDescent="0.2">
      <c r="A1069" s="38"/>
      <c r="B1069" s="17" t="s">
        <v>1215</v>
      </c>
      <c r="C1069" s="17"/>
      <c r="D1069" s="17"/>
      <c r="E1069" s="17"/>
      <c r="F1069" s="17"/>
      <c r="G1069" s="38" t="s">
        <v>2117</v>
      </c>
      <c r="H1069" s="38" t="s">
        <v>873</v>
      </c>
      <c r="I1069" s="239" t="str">
        <f>IF(ISBLANK(continental!I140),"",continental!I140)</f>
        <v/>
      </c>
      <c r="K1069" s="262" t="s">
        <v>4249</v>
      </c>
      <c r="N1069" s="262" t="s">
        <v>4249</v>
      </c>
    </row>
    <row r="1070" spans="1:14" ht="12.75" customHeight="1" x14ac:dyDescent="0.2">
      <c r="A1070" s="38"/>
      <c r="B1070" s="17" t="s">
        <v>1218</v>
      </c>
      <c r="C1070" s="17"/>
      <c r="D1070" s="17"/>
      <c r="E1070" s="17"/>
      <c r="F1070" s="17"/>
      <c r="G1070" s="38" t="s">
        <v>2118</v>
      </c>
      <c r="H1070" s="38" t="s">
        <v>873</v>
      </c>
      <c r="I1070" s="239" t="str">
        <f>IF(ISBLANK(continental!I141),"",continental!I141)</f>
        <v/>
      </c>
      <c r="K1070" s="262" t="s">
        <v>4249</v>
      </c>
      <c r="N1070" s="262" t="s">
        <v>4249</v>
      </c>
    </row>
    <row r="1071" spans="1:14" ht="12.75" customHeight="1" x14ac:dyDescent="0.2">
      <c r="A1071" s="38"/>
      <c r="B1071" s="17" t="s">
        <v>1220</v>
      </c>
      <c r="C1071" s="17"/>
      <c r="D1071" s="17"/>
      <c r="E1071" s="17"/>
      <c r="F1071" s="17"/>
      <c r="G1071" s="38" t="s">
        <v>2119</v>
      </c>
      <c r="H1071" s="38" t="s">
        <v>873</v>
      </c>
      <c r="I1071" s="239" t="str">
        <f>IF(ISBLANK(continental!I142),"",continental!I142)</f>
        <v/>
      </c>
      <c r="K1071" s="262" t="s">
        <v>4249</v>
      </c>
      <c r="N1071" s="262" t="s">
        <v>4249</v>
      </c>
    </row>
    <row r="1072" spans="1:14" ht="12.75" customHeight="1" x14ac:dyDescent="0.2">
      <c r="A1072" s="38"/>
      <c r="B1072" s="17"/>
      <c r="C1072" s="17" t="s">
        <v>1222</v>
      </c>
      <c r="D1072" s="17"/>
      <c r="E1072" s="17"/>
      <c r="F1072" s="17"/>
      <c r="G1072" s="38" t="s">
        <v>2120</v>
      </c>
      <c r="H1072" s="38" t="s">
        <v>873</v>
      </c>
      <c r="I1072" s="239" t="str">
        <f>IF(ISBLANK(continental!I143),"",continental!I143)</f>
        <v/>
      </c>
      <c r="K1072" s="262" t="s">
        <v>4249</v>
      </c>
      <c r="N1072" s="262" t="s">
        <v>4249</v>
      </c>
    </row>
    <row r="1073" spans="1:14" ht="12.75" customHeight="1" x14ac:dyDescent="0.2">
      <c r="A1073" s="38"/>
      <c r="B1073" s="17"/>
      <c r="C1073" s="17" t="s">
        <v>1224</v>
      </c>
      <c r="D1073" s="17"/>
      <c r="E1073" s="17"/>
      <c r="F1073" s="17"/>
      <c r="G1073" s="38" t="s">
        <v>2121</v>
      </c>
      <c r="H1073" s="38" t="s">
        <v>873</v>
      </c>
      <c r="I1073" s="239" t="str">
        <f>IF(ISBLANK(continental!I144),"",continental!I144)</f>
        <v/>
      </c>
      <c r="K1073" s="262" t="s">
        <v>4249</v>
      </c>
      <c r="N1073" s="262" t="s">
        <v>4249</v>
      </c>
    </row>
    <row r="1074" spans="1:14" ht="12.75" customHeight="1" x14ac:dyDescent="0.2">
      <c r="A1074" s="38"/>
      <c r="B1074" s="17" t="s">
        <v>2122</v>
      </c>
      <c r="C1074" s="17"/>
      <c r="D1074" s="17"/>
      <c r="E1074" s="17"/>
      <c r="F1074" s="17"/>
      <c r="G1074" s="38" t="s">
        <v>2123</v>
      </c>
      <c r="H1074" s="38" t="s">
        <v>873</v>
      </c>
      <c r="I1074" s="239" t="str">
        <f>IF(ISBLANK(continental!I145),"",continental!I145)</f>
        <v/>
      </c>
      <c r="K1074" s="262" t="s">
        <v>4249</v>
      </c>
      <c r="N1074" s="262" t="s">
        <v>4249</v>
      </c>
    </row>
    <row r="1075" spans="1:14" ht="12.75" customHeight="1" x14ac:dyDescent="0.2">
      <c r="A1075" s="38"/>
      <c r="B1075" s="17" t="s">
        <v>2124</v>
      </c>
      <c r="C1075" s="17"/>
      <c r="D1075" s="17"/>
      <c r="E1075" s="17"/>
      <c r="F1075" s="17"/>
      <c r="G1075" s="38" t="s">
        <v>2125</v>
      </c>
      <c r="H1075" s="38" t="s">
        <v>873</v>
      </c>
      <c r="I1075" s="239" t="str">
        <f>IF(ISBLANK(continental!I146),"",continental!I146)</f>
        <v/>
      </c>
      <c r="K1075" s="262" t="s">
        <v>4249</v>
      </c>
      <c r="N1075" s="262" t="s">
        <v>4249</v>
      </c>
    </row>
    <row r="1076" spans="1:14" ht="12.75" customHeight="1" x14ac:dyDescent="0.2">
      <c r="A1076" s="38"/>
      <c r="B1076" s="17" t="s">
        <v>2126</v>
      </c>
      <c r="C1076" s="17"/>
      <c r="D1076" s="17"/>
      <c r="E1076" s="17"/>
      <c r="F1076" s="17"/>
      <c r="G1076" s="38" t="s">
        <v>2127</v>
      </c>
      <c r="H1076" s="38" t="s">
        <v>873</v>
      </c>
      <c r="I1076" s="239" t="str">
        <f>IF(ISBLANK(continental!I147),"",continental!I147)</f>
        <v/>
      </c>
      <c r="K1076" s="262" t="s">
        <v>4249</v>
      </c>
      <c r="N1076" s="262" t="s">
        <v>4249</v>
      </c>
    </row>
    <row r="1077" spans="1:14" ht="12.75" customHeight="1" x14ac:dyDescent="0.2">
      <c r="A1077" s="38"/>
      <c r="B1077" s="17"/>
      <c r="C1077" s="17" t="s">
        <v>1232</v>
      </c>
      <c r="D1077" s="17"/>
      <c r="E1077" s="17"/>
      <c r="F1077" s="17"/>
      <c r="G1077" s="38" t="s">
        <v>2128</v>
      </c>
      <c r="H1077" s="38" t="s">
        <v>873</v>
      </c>
      <c r="I1077" s="239" t="str">
        <f>IF(ISBLANK(continental!I148),"",continental!I148)</f>
        <v/>
      </c>
      <c r="J1077" s="545"/>
      <c r="K1077" s="262" t="s">
        <v>4249</v>
      </c>
      <c r="N1077" s="262" t="s">
        <v>4249</v>
      </c>
    </row>
    <row r="1078" spans="1:14" ht="12.75" customHeight="1" x14ac:dyDescent="0.2">
      <c r="A1078" s="38"/>
      <c r="B1078" s="17"/>
      <c r="C1078" s="17" t="s">
        <v>1234</v>
      </c>
      <c r="D1078" s="17"/>
      <c r="E1078" s="17"/>
      <c r="F1078" s="17"/>
      <c r="G1078" s="38" t="s">
        <v>2129</v>
      </c>
      <c r="H1078" s="38" t="s">
        <v>873</v>
      </c>
      <c r="I1078" s="239" t="str">
        <f>IF(ISBLANK(continental!I149),"",continental!I149)</f>
        <v/>
      </c>
      <c r="J1078" s="228"/>
      <c r="K1078" s="262" t="s">
        <v>4249</v>
      </c>
      <c r="N1078" s="262" t="s">
        <v>4249</v>
      </c>
    </row>
    <row r="1079" spans="1:14" ht="12.75" customHeight="1" x14ac:dyDescent="0.2">
      <c r="A1079" s="38"/>
      <c r="B1079" s="17"/>
      <c r="C1079" s="17" t="s">
        <v>1236</v>
      </c>
      <c r="D1079" s="17"/>
      <c r="E1079" s="17"/>
      <c r="F1079" s="17"/>
      <c r="G1079" s="38" t="s">
        <v>2131</v>
      </c>
      <c r="H1079" s="38" t="s">
        <v>296</v>
      </c>
      <c r="I1079" s="239" t="str">
        <f>IF(ISBLANK(continental!I150),"",continental!I150)</f>
        <v/>
      </c>
      <c r="J1079" s="228"/>
      <c r="K1079" s="262" t="s">
        <v>4249</v>
      </c>
      <c r="N1079" s="262" t="s">
        <v>4249</v>
      </c>
    </row>
    <row r="1080" spans="1:14" ht="12.75" customHeight="1" x14ac:dyDescent="0.2">
      <c r="A1080" s="38"/>
      <c r="B1080" s="17"/>
      <c r="C1080" s="17" t="s">
        <v>1236</v>
      </c>
      <c r="D1080" s="17"/>
      <c r="E1080" s="17"/>
      <c r="F1080" s="17"/>
      <c r="G1080" s="38" t="s">
        <v>2132</v>
      </c>
      <c r="H1080" s="38" t="s">
        <v>296</v>
      </c>
      <c r="I1080" s="239" t="str">
        <f>IF(ISBLANK(continental!I151),"",continental!I151)</f>
        <v/>
      </c>
      <c r="J1080" s="228"/>
      <c r="K1080" s="262" t="s">
        <v>4249</v>
      </c>
      <c r="N1080" s="262" t="s">
        <v>4249</v>
      </c>
    </row>
    <row r="1081" spans="1:14" ht="12.75" customHeight="1" x14ac:dyDescent="0.2">
      <c r="A1081" s="38"/>
      <c r="B1081" s="17"/>
      <c r="C1081" s="17" t="s">
        <v>1236</v>
      </c>
      <c r="D1081" s="17"/>
      <c r="E1081" s="17"/>
      <c r="F1081" s="17"/>
      <c r="G1081" s="38" t="s">
        <v>2133</v>
      </c>
      <c r="H1081" s="38" t="s">
        <v>296</v>
      </c>
      <c r="I1081" s="239" t="str">
        <f>IF(ISBLANK(continental!I152),"",continental!I152)</f>
        <v/>
      </c>
      <c r="J1081" s="228"/>
      <c r="K1081" s="262" t="s">
        <v>4249</v>
      </c>
      <c r="N1081" s="262" t="s">
        <v>4249</v>
      </c>
    </row>
    <row r="1082" spans="1:14" ht="12.75" customHeight="1" x14ac:dyDescent="0.2">
      <c r="A1082" s="38"/>
      <c r="B1082" s="17"/>
      <c r="C1082" s="38"/>
      <c r="D1082" s="146"/>
      <c r="E1082" s="146"/>
      <c r="F1082" s="17"/>
      <c r="G1082" s="146"/>
      <c r="H1082" s="146"/>
      <c r="I1082" s="239" t="str">
        <f>IF(ISBLANK(continental!I153),"",continental!I153)</f>
        <v/>
      </c>
      <c r="J1082" s="411"/>
      <c r="K1082" s="262" t="s">
        <v>4249</v>
      </c>
      <c r="N1082" s="262" t="s">
        <v>4249</v>
      </c>
    </row>
    <row r="1083" spans="1:14" ht="12.75" customHeight="1" x14ac:dyDescent="0.2">
      <c r="A1083" s="568" t="s">
        <v>1241</v>
      </c>
      <c r="B1083" s="567"/>
      <c r="C1083" s="567"/>
      <c r="D1083" s="567"/>
      <c r="E1083" s="567"/>
      <c r="F1083" s="567"/>
      <c r="G1083" s="568" t="s">
        <v>2134</v>
      </c>
      <c r="H1083" s="568" t="s">
        <v>624</v>
      </c>
      <c r="I1083" s="239" t="str">
        <f>IF(ISBLANK(continental!I154),"",continental!I154)</f>
        <v/>
      </c>
      <c r="J1083" s="228"/>
      <c r="K1083" s="262" t="s">
        <v>4249</v>
      </c>
      <c r="N1083" s="262" t="s">
        <v>4249</v>
      </c>
    </row>
    <row r="1084" spans="1:14" ht="12.75" customHeight="1" x14ac:dyDescent="0.2">
      <c r="A1084" s="38" t="s">
        <v>1244</v>
      </c>
      <c r="B1084" s="17"/>
      <c r="C1084" s="17"/>
      <c r="D1084" s="17"/>
      <c r="E1084" s="17"/>
      <c r="F1084" s="17"/>
      <c r="G1084" s="38" t="s">
        <v>2135</v>
      </c>
      <c r="H1084" s="38" t="s">
        <v>624</v>
      </c>
      <c r="I1084" s="239" t="str">
        <f>IF(ISBLANK(continental!I155),"",continental!I155)</f>
        <v/>
      </c>
      <c r="K1084" s="262" t="s">
        <v>4249</v>
      </c>
      <c r="N1084" s="262" t="s">
        <v>4249</v>
      </c>
    </row>
    <row r="1085" spans="1:14" ht="12.75" customHeight="1" x14ac:dyDescent="0.2">
      <c r="A1085" s="38" t="s">
        <v>1246</v>
      </c>
      <c r="B1085" s="17"/>
      <c r="C1085" s="17"/>
      <c r="D1085" s="17"/>
      <c r="E1085" s="17"/>
      <c r="F1085" s="17"/>
      <c r="G1085" s="38" t="s">
        <v>2136</v>
      </c>
      <c r="H1085" s="38" t="s">
        <v>624</v>
      </c>
      <c r="I1085" s="239" t="str">
        <f>IF(ISBLANK(continental!I156),"",continental!I156)</f>
        <v/>
      </c>
      <c r="K1085" s="262" t="s">
        <v>4249</v>
      </c>
      <c r="N1085" s="262" t="s">
        <v>4249</v>
      </c>
    </row>
    <row r="1086" spans="1:14" ht="12.75" customHeight="1" x14ac:dyDescent="0.2">
      <c r="A1086" s="568" t="s">
        <v>1248</v>
      </c>
      <c r="B1086" s="567"/>
      <c r="C1086" s="567"/>
      <c r="D1086" s="567"/>
      <c r="E1086" s="567"/>
      <c r="F1086" s="567"/>
      <c r="G1086" s="568" t="s">
        <v>2137</v>
      </c>
      <c r="H1086" s="568" t="s">
        <v>624</v>
      </c>
      <c r="I1086" s="239" t="str">
        <f>IF(ISBLANK(continental!I157),"",continental!I157)</f>
        <v/>
      </c>
      <c r="K1086" s="262" t="s">
        <v>4249</v>
      </c>
      <c r="N1086" s="262" t="s">
        <v>4249</v>
      </c>
    </row>
    <row r="1087" spans="1:14" ht="12.75" customHeight="1" x14ac:dyDescent="0.2">
      <c r="A1087" s="38" t="s">
        <v>1251</v>
      </c>
      <c r="B1087" s="17"/>
      <c r="C1087" s="17"/>
      <c r="D1087" s="17"/>
      <c r="E1087" s="17"/>
      <c r="F1087" s="17"/>
      <c r="G1087" s="38" t="s">
        <v>2138</v>
      </c>
      <c r="H1087" s="38" t="s">
        <v>624</v>
      </c>
      <c r="I1087" s="239" t="str">
        <f>IF(ISBLANK(continental!I158),"",continental!I158)</f>
        <v/>
      </c>
      <c r="K1087" s="262" t="s">
        <v>4249</v>
      </c>
      <c r="N1087" s="262" t="s">
        <v>4249</v>
      </c>
    </row>
    <row r="1088" spans="1:14" ht="12.75" customHeight="1" x14ac:dyDescent="0.2">
      <c r="A1088" s="38" t="s">
        <v>1253</v>
      </c>
      <c r="B1088" s="17"/>
      <c r="C1088" s="17"/>
      <c r="D1088" s="17"/>
      <c r="E1088" s="17"/>
      <c r="F1088" s="17"/>
      <c r="G1088" s="38" t="s">
        <v>2139</v>
      </c>
      <c r="H1088" s="38" t="s">
        <v>624</v>
      </c>
      <c r="I1088" s="239" t="str">
        <f>IF(ISBLANK(continental!I159),"",continental!I159)</f>
        <v/>
      </c>
      <c r="K1088" s="262" t="s">
        <v>4249</v>
      </c>
      <c r="N1088" s="262" t="s">
        <v>4249</v>
      </c>
    </row>
    <row r="1089" spans="1:14" ht="12.75" customHeight="1" x14ac:dyDescent="0.2">
      <c r="A1089" s="568"/>
      <c r="B1089" s="567" t="s">
        <v>1255</v>
      </c>
      <c r="C1089" s="567"/>
      <c r="D1089" s="567"/>
      <c r="E1089" s="567"/>
      <c r="F1089" s="567"/>
      <c r="G1089" s="568" t="s">
        <v>2140</v>
      </c>
      <c r="H1089" s="568" t="s">
        <v>873</v>
      </c>
      <c r="I1089" s="239" t="str">
        <f>IF(ISBLANK(continental!I160),"",continental!I160)</f>
        <v/>
      </c>
      <c r="K1089" s="262" t="s">
        <v>4249</v>
      </c>
      <c r="N1089" s="262" t="s">
        <v>4249</v>
      </c>
    </row>
    <row r="1090" spans="1:14" ht="12.75" customHeight="1" x14ac:dyDescent="0.2">
      <c r="A1090" s="568"/>
      <c r="B1090" s="567" t="s">
        <v>1258</v>
      </c>
      <c r="C1090" s="567"/>
      <c r="D1090" s="567"/>
      <c r="E1090" s="567"/>
      <c r="F1090" s="567"/>
      <c r="G1090" s="568" t="s">
        <v>2141</v>
      </c>
      <c r="H1090" s="568" t="s">
        <v>873</v>
      </c>
      <c r="I1090" s="239" t="str">
        <f>IF(ISBLANK(continental!I161),"",continental!I161)</f>
        <v/>
      </c>
      <c r="K1090" s="262" t="s">
        <v>4249</v>
      </c>
      <c r="N1090" s="262" t="s">
        <v>4249</v>
      </c>
    </row>
    <row r="1091" spans="1:14" ht="12.75" customHeight="1" x14ac:dyDescent="0.2">
      <c r="A1091" s="216"/>
      <c r="B1091" s="216" t="s">
        <v>1255</v>
      </c>
      <c r="C1091" s="228"/>
      <c r="D1091" s="228"/>
      <c r="E1091" s="228"/>
      <c r="F1091" s="228"/>
      <c r="G1091" s="642" t="s">
        <v>2142</v>
      </c>
      <c r="H1091" s="216" t="s">
        <v>1217</v>
      </c>
      <c r="I1091" s="239" t="str">
        <f>IF(ISBLANK(continental!I162),"",continental!I162)</f>
        <v/>
      </c>
      <c r="K1091" s="262" t="s">
        <v>4249</v>
      </c>
      <c r="N1091" s="262" t="s">
        <v>4249</v>
      </c>
    </row>
    <row r="1092" spans="1:14" ht="12.75" customHeight="1" x14ac:dyDescent="0.2">
      <c r="A1092" s="216"/>
      <c r="B1092" s="216" t="s">
        <v>1258</v>
      </c>
      <c r="C1092" s="228"/>
      <c r="D1092" s="228"/>
      <c r="E1092" s="228"/>
      <c r="F1092" s="228"/>
      <c r="G1092" s="642" t="s">
        <v>2143</v>
      </c>
      <c r="H1092" s="216" t="s">
        <v>1217</v>
      </c>
      <c r="I1092" s="239" t="str">
        <f>IF(ISBLANK(continental!I163),"",continental!I163)</f>
        <v/>
      </c>
      <c r="K1092" s="262" t="s">
        <v>4249</v>
      </c>
      <c r="N1092" s="262" t="s">
        <v>4249</v>
      </c>
    </row>
    <row r="1093" spans="1:14" ht="12.75" customHeight="1" x14ac:dyDescent="0.2">
      <c r="A1093" s="216"/>
      <c r="B1093" s="216" t="s">
        <v>1262</v>
      </c>
      <c r="C1093" s="228"/>
      <c r="D1093" s="228"/>
      <c r="E1093" s="228"/>
      <c r="F1093" s="228"/>
      <c r="G1093" s="642" t="s">
        <v>2144</v>
      </c>
      <c r="H1093" s="216" t="s">
        <v>1217</v>
      </c>
      <c r="I1093" s="239" t="str">
        <f>IF(ISBLANK(continental!I164),"",continental!I164)</f>
        <v/>
      </c>
      <c r="K1093" s="262" t="s">
        <v>4249</v>
      </c>
      <c r="N1093" s="262" t="s">
        <v>4249</v>
      </c>
    </row>
    <row r="1094" spans="1:14" ht="12.75" customHeight="1" x14ac:dyDescent="0.2">
      <c r="A1094" s="216"/>
      <c r="B1094" s="216" t="s">
        <v>1264</v>
      </c>
      <c r="C1094" s="228"/>
      <c r="D1094" s="228"/>
      <c r="E1094" s="228"/>
      <c r="F1094" s="228"/>
      <c r="G1094" s="642" t="s">
        <v>2145</v>
      </c>
      <c r="H1094" s="216" t="s">
        <v>1217</v>
      </c>
      <c r="I1094" s="239" t="str">
        <f>IF(ISBLANK(continental!I165),"",continental!I165)</f>
        <v/>
      </c>
      <c r="K1094" s="262" t="s">
        <v>4249</v>
      </c>
      <c r="N1094" s="262" t="s">
        <v>4249</v>
      </c>
    </row>
    <row r="1095" spans="1:14" ht="12.75" customHeight="1" x14ac:dyDescent="0.2">
      <c r="A1095" s="568"/>
      <c r="B1095" s="568"/>
      <c r="C1095" s="568" t="s">
        <v>1266</v>
      </c>
      <c r="D1095" s="567"/>
      <c r="E1095" s="567"/>
      <c r="F1095" s="567"/>
      <c r="G1095" s="754" t="s">
        <v>2146</v>
      </c>
      <c r="H1095" s="680" t="s">
        <v>1202</v>
      </c>
      <c r="I1095" s="239" t="str">
        <f>IF(ISBLANK(continental!I166),"",continental!I166)</f>
        <v/>
      </c>
      <c r="K1095" s="262" t="s">
        <v>4249</v>
      </c>
      <c r="N1095" s="262" t="s">
        <v>4249</v>
      </c>
    </row>
    <row r="1096" spans="1:14" ht="12.75" customHeight="1" x14ac:dyDescent="0.2">
      <c r="A1096" s="216"/>
      <c r="B1096" s="216"/>
      <c r="C1096" s="216" t="s">
        <v>1268</v>
      </c>
      <c r="D1096" s="228"/>
      <c r="E1096" s="228"/>
      <c r="F1096" s="228"/>
      <c r="G1096" s="703" t="s">
        <v>2147</v>
      </c>
      <c r="H1096" s="579" t="s">
        <v>1202</v>
      </c>
      <c r="I1096" s="239" t="str">
        <f>IF(ISBLANK(continental!I167),"",continental!I167)</f>
        <v/>
      </c>
      <c r="K1096" s="262" t="s">
        <v>4249</v>
      </c>
      <c r="N1096" s="262" t="s">
        <v>4249</v>
      </c>
    </row>
    <row r="1097" spans="1:14" ht="12.75" customHeight="1" x14ac:dyDescent="0.2">
      <c r="A1097" s="216"/>
      <c r="B1097" s="216"/>
      <c r="C1097" s="216" t="s">
        <v>1270</v>
      </c>
      <c r="D1097" s="228"/>
      <c r="E1097" s="228"/>
      <c r="F1097" s="228"/>
      <c r="G1097" s="703" t="s">
        <v>2148</v>
      </c>
      <c r="H1097" s="579" t="s">
        <v>1202</v>
      </c>
      <c r="I1097" s="239" t="str">
        <f>IF(ISBLANK(continental!I168),"",continental!I168)</f>
        <v/>
      </c>
      <c r="K1097" s="262" t="s">
        <v>4249</v>
      </c>
      <c r="N1097" s="262" t="s">
        <v>4249</v>
      </c>
    </row>
    <row r="1098" spans="1:14" ht="12.75" customHeight="1" x14ac:dyDescent="0.2">
      <c r="A1098" s="216"/>
      <c r="B1098" s="216"/>
      <c r="C1098" s="228"/>
      <c r="D1098" s="216" t="s">
        <v>1272</v>
      </c>
      <c r="E1098" s="579"/>
      <c r="F1098" s="579"/>
      <c r="G1098" s="703" t="s">
        <v>2149</v>
      </c>
      <c r="H1098" s="579" t="s">
        <v>1202</v>
      </c>
      <c r="I1098" s="239" t="str">
        <f>IF(ISBLANK(continental!I169),"",continental!I169)</f>
        <v/>
      </c>
      <c r="K1098" s="262" t="s">
        <v>4249</v>
      </c>
      <c r="N1098" s="262" t="s">
        <v>4249</v>
      </c>
    </row>
    <row r="1099" spans="1:14" ht="12.75" customHeight="1" x14ac:dyDescent="0.2">
      <c r="A1099" s="568"/>
      <c r="B1099" s="568"/>
      <c r="C1099" s="567"/>
      <c r="D1099" s="568" t="s">
        <v>1275</v>
      </c>
      <c r="E1099" s="680"/>
      <c r="F1099" s="680"/>
      <c r="G1099" s="754" t="s">
        <v>2150</v>
      </c>
      <c r="H1099" s="680" t="s">
        <v>1202</v>
      </c>
      <c r="I1099" s="239" t="str">
        <f>IF(ISBLANK(continental!I170),"",continental!I170)</f>
        <v/>
      </c>
      <c r="K1099" s="262" t="s">
        <v>4249</v>
      </c>
      <c r="N1099" s="262" t="s">
        <v>4249</v>
      </c>
    </row>
    <row r="1100" spans="1:14" ht="12.75" customHeight="1" x14ac:dyDescent="0.2">
      <c r="A1100" s="216"/>
      <c r="B1100" s="216"/>
      <c r="C1100" s="228"/>
      <c r="D1100" s="216" t="s">
        <v>1277</v>
      </c>
      <c r="E1100" s="579"/>
      <c r="F1100" s="579"/>
      <c r="G1100" s="703" t="s">
        <v>2151</v>
      </c>
      <c r="H1100" s="579" t="s">
        <v>1202</v>
      </c>
      <c r="I1100" s="239" t="str">
        <f>IF(ISBLANK(continental!I171),"",continental!I171)</f>
        <v/>
      </c>
      <c r="K1100" s="262" t="s">
        <v>4249</v>
      </c>
      <c r="N1100" s="262" t="s">
        <v>4249</v>
      </c>
    </row>
    <row r="1101" spans="1:14" ht="12.75" customHeight="1" x14ac:dyDescent="0.2">
      <c r="A1101" s="216"/>
      <c r="B1101" s="216"/>
      <c r="C1101" s="228"/>
      <c r="D1101" s="216" t="s">
        <v>1280</v>
      </c>
      <c r="E1101" s="579"/>
      <c r="F1101" s="579"/>
      <c r="G1101" s="703" t="s">
        <v>2152</v>
      </c>
      <c r="H1101" s="579" t="s">
        <v>1202</v>
      </c>
      <c r="I1101" s="239" t="str">
        <f>IF(ISBLANK(continental!I172),"",continental!I172)</f>
        <v/>
      </c>
      <c r="K1101" s="262" t="s">
        <v>4249</v>
      </c>
      <c r="N1101" s="262" t="s">
        <v>4249</v>
      </c>
    </row>
    <row r="1102" spans="1:14" ht="12.75" customHeight="1" x14ac:dyDescent="0.2">
      <c r="A1102" s="216"/>
      <c r="B1102" s="216"/>
      <c r="C1102" s="228"/>
      <c r="D1102" s="228"/>
      <c r="E1102" s="216" t="s">
        <v>1282</v>
      </c>
      <c r="F1102" s="216"/>
      <c r="G1102" s="703" t="s">
        <v>2153</v>
      </c>
      <c r="H1102" s="216" t="s">
        <v>1284</v>
      </c>
      <c r="I1102" s="239" t="str">
        <f>IF(ISBLANK(continental!I173),"",continental!I173)</f>
        <v/>
      </c>
      <c r="K1102" s="262" t="s">
        <v>4249</v>
      </c>
      <c r="N1102" s="262" t="s">
        <v>4249</v>
      </c>
    </row>
    <row r="1103" spans="1:14" ht="12.75" customHeight="1" x14ac:dyDescent="0.2">
      <c r="A1103" s="216"/>
      <c r="B1103" s="216"/>
      <c r="C1103" s="228"/>
      <c r="D1103" s="228"/>
      <c r="E1103" s="216" t="s">
        <v>1286</v>
      </c>
      <c r="F1103" s="216"/>
      <c r="G1103" s="703" t="s">
        <v>2154</v>
      </c>
      <c r="H1103" s="216" t="s">
        <v>1284</v>
      </c>
      <c r="I1103" s="239" t="str">
        <f>IF(ISBLANK(continental!I174),"",continental!I174)</f>
        <v/>
      </c>
      <c r="K1103" s="262" t="s">
        <v>4249</v>
      </c>
      <c r="N1103" s="262" t="s">
        <v>4249</v>
      </c>
    </row>
    <row r="1104" spans="1:14" ht="12.75" customHeight="1" x14ac:dyDescent="0.2">
      <c r="A1104" s="228"/>
      <c r="B1104" s="228" t="s">
        <v>1288</v>
      </c>
      <c r="C1104" s="579"/>
      <c r="D1104" s="579"/>
      <c r="E1104" s="228"/>
      <c r="F1104" s="228"/>
      <c r="G1104" s="642" t="s">
        <v>2155</v>
      </c>
      <c r="H1104" s="216" t="s">
        <v>1217</v>
      </c>
      <c r="I1104" s="239" t="str">
        <f>IF(ISBLANK(continental!I175),"",continental!I175)</f>
        <v/>
      </c>
      <c r="K1104" s="262" t="s">
        <v>4249</v>
      </c>
      <c r="N1104" s="262" t="s">
        <v>4249</v>
      </c>
    </row>
    <row r="1105" spans="1:14" ht="12.75" customHeight="1" x14ac:dyDescent="0.2">
      <c r="A1105" s="228"/>
      <c r="B1105" s="228" t="s">
        <v>1290</v>
      </c>
      <c r="C1105" s="579"/>
      <c r="D1105" s="579"/>
      <c r="E1105" s="228"/>
      <c r="F1105" s="228"/>
      <c r="G1105" s="642" t="s">
        <v>2156</v>
      </c>
      <c r="H1105" s="216" t="s">
        <v>1217</v>
      </c>
      <c r="I1105" s="239" t="str">
        <f>IF(ISBLANK(continental!I176),"",continental!I176)</f>
        <v/>
      </c>
      <c r="K1105" s="262" t="s">
        <v>4249</v>
      </c>
      <c r="N1105" s="262" t="s">
        <v>4249</v>
      </c>
    </row>
    <row r="1106" spans="1:14" ht="12.75" customHeight="1" x14ac:dyDescent="0.2">
      <c r="A1106" s="228"/>
      <c r="B1106" s="228" t="s">
        <v>1292</v>
      </c>
      <c r="C1106" s="579"/>
      <c r="D1106" s="579"/>
      <c r="E1106" s="228"/>
      <c r="F1106" s="579"/>
      <c r="G1106" s="642" t="s">
        <v>2157</v>
      </c>
      <c r="H1106" s="216" t="s">
        <v>1217</v>
      </c>
      <c r="I1106" s="239" t="str">
        <f>IF(ISBLANK(continental!I177),"",continental!I177)</f>
        <v/>
      </c>
      <c r="K1106" s="262" t="s">
        <v>4249</v>
      </c>
      <c r="N1106" s="262" t="s">
        <v>4249</v>
      </c>
    </row>
    <row r="1107" spans="1:14" ht="12.75" customHeight="1" x14ac:dyDescent="0.2">
      <c r="A1107" s="228"/>
      <c r="B1107" s="228" t="s">
        <v>1294</v>
      </c>
      <c r="C1107" s="579"/>
      <c r="D1107" s="579"/>
      <c r="E1107" s="228"/>
      <c r="F1107" s="579"/>
      <c r="G1107" s="642" t="s">
        <v>2158</v>
      </c>
      <c r="H1107" s="216" t="s">
        <v>1217</v>
      </c>
      <c r="I1107" s="239" t="str">
        <f>IF(ISBLANK(continental!I178),"",continental!I178)</f>
        <v/>
      </c>
      <c r="K1107" s="262" t="s">
        <v>4249</v>
      </c>
      <c r="N1107" s="262" t="s">
        <v>4249</v>
      </c>
    </row>
    <row r="1108" spans="1:14" ht="12.75" customHeight="1" x14ac:dyDescent="0.2">
      <c r="A1108" s="216"/>
      <c r="B1108" s="216"/>
      <c r="C1108" s="228" t="s">
        <v>1296</v>
      </c>
      <c r="D1108" s="228"/>
      <c r="E1108" s="579"/>
      <c r="F1108" s="579"/>
      <c r="G1108" s="228" t="s">
        <v>2159</v>
      </c>
      <c r="H1108" s="579" t="s">
        <v>1202</v>
      </c>
      <c r="I1108" s="239" t="str">
        <f>IF(ISBLANK(continental!I179),"",continental!I179)</f>
        <v/>
      </c>
      <c r="K1108" s="262" t="s">
        <v>4249</v>
      </c>
      <c r="N1108" s="262" t="s">
        <v>4249</v>
      </c>
    </row>
    <row r="1109" spans="1:14" ht="12.75" customHeight="1" x14ac:dyDescent="0.2">
      <c r="A1109" s="216"/>
      <c r="B1109" s="216"/>
      <c r="C1109" s="228" t="s">
        <v>1298</v>
      </c>
      <c r="D1109" s="228"/>
      <c r="E1109" s="579"/>
      <c r="F1109" s="579"/>
      <c r="G1109" s="228" t="s">
        <v>2160</v>
      </c>
      <c r="H1109" s="579" t="s">
        <v>1202</v>
      </c>
      <c r="I1109" s="239" t="str">
        <f>IF(ISBLANK(continental!I180),"",continental!I180)</f>
        <v/>
      </c>
      <c r="K1109" s="262" t="s">
        <v>4249</v>
      </c>
      <c r="N1109" s="262" t="s">
        <v>4249</v>
      </c>
    </row>
    <row r="1110" spans="1:14" ht="12.75" customHeight="1" x14ac:dyDescent="0.2">
      <c r="A1110" s="38"/>
      <c r="B1110" s="17"/>
      <c r="C1110" s="38"/>
      <c r="D1110" s="146"/>
      <c r="E1110" s="146"/>
      <c r="F1110" s="17"/>
      <c r="G1110" s="146"/>
      <c r="H1110" s="146"/>
      <c r="I1110" s="239" t="str">
        <f>IF(ISBLANK(continental!I181),"",continental!I181)</f>
        <v/>
      </c>
      <c r="K1110" s="262" t="s">
        <v>4249</v>
      </c>
      <c r="N1110" s="262" t="s">
        <v>4249</v>
      </c>
    </row>
    <row r="1111" spans="1:14" ht="12.75" customHeight="1" x14ac:dyDescent="0.2">
      <c r="A1111" s="38" t="s">
        <v>2161</v>
      </c>
      <c r="B1111" s="17"/>
      <c r="C1111" s="17"/>
      <c r="D1111" s="17"/>
      <c r="E1111" s="17"/>
      <c r="F1111" s="17"/>
      <c r="G1111" s="38" t="s">
        <v>2162</v>
      </c>
      <c r="H1111" s="38" t="s">
        <v>624</v>
      </c>
      <c r="I1111" s="239" t="str">
        <f>IF(ISBLANK(continental!I182),"",continental!I182)</f>
        <v/>
      </c>
      <c r="K1111" s="262" t="s">
        <v>4249</v>
      </c>
      <c r="N1111" s="262" t="s">
        <v>4249</v>
      </c>
    </row>
    <row r="1112" spans="1:14" ht="12.75" customHeight="1" x14ac:dyDescent="0.2">
      <c r="A1112" s="38" t="s">
        <v>2163</v>
      </c>
      <c r="B1112" s="17"/>
      <c r="C1112" s="17"/>
      <c r="D1112" s="17"/>
      <c r="E1112" s="17"/>
      <c r="F1112" s="17"/>
      <c r="G1112" s="38" t="s">
        <v>2164</v>
      </c>
      <c r="H1112" s="38" t="s">
        <v>624</v>
      </c>
      <c r="I1112" s="239" t="str">
        <f>IF(ISBLANK(continental!I183),"",continental!I183)</f>
        <v/>
      </c>
      <c r="K1112" s="262" t="s">
        <v>4249</v>
      </c>
      <c r="N1112" s="262" t="s">
        <v>4249</v>
      </c>
    </row>
    <row r="1113" spans="1:14" ht="12.75" customHeight="1" x14ac:dyDescent="0.2">
      <c r="A1113" s="38" t="s">
        <v>2165</v>
      </c>
      <c r="B1113" s="17"/>
      <c r="C1113" s="17"/>
      <c r="D1113" s="17"/>
      <c r="E1113" s="17"/>
      <c r="F1113" s="17"/>
      <c r="G1113" s="38" t="s">
        <v>2166</v>
      </c>
      <c r="H1113" s="38" t="s">
        <v>624</v>
      </c>
      <c r="I1113" s="239" t="str">
        <f>IF(ISBLANK(continental!I184),"",continental!I184)</f>
        <v/>
      </c>
      <c r="K1113" s="262" t="s">
        <v>4249</v>
      </c>
      <c r="N1113" s="262" t="s">
        <v>4249</v>
      </c>
    </row>
    <row r="1114" spans="1:14" ht="12.75" customHeight="1" x14ac:dyDescent="0.2">
      <c r="A1114" s="38"/>
      <c r="B1114" s="146" t="s">
        <v>1306</v>
      </c>
      <c r="C1114" s="17"/>
      <c r="D1114" s="146"/>
      <c r="E1114" s="146"/>
      <c r="F1114" s="146"/>
      <c r="G1114" s="539" t="s">
        <v>2167</v>
      </c>
      <c r="H1114" s="146" t="s">
        <v>1202</v>
      </c>
      <c r="I1114" s="239" t="str">
        <f>IF(ISBLANK(continental!I185),"",continental!I185)</f>
        <v/>
      </c>
      <c r="K1114" s="262" t="s">
        <v>4249</v>
      </c>
      <c r="N1114" s="262" t="s">
        <v>4249</v>
      </c>
    </row>
    <row r="1115" spans="1:14" ht="12.75" customHeight="1" x14ac:dyDescent="0.2">
      <c r="A1115" s="38"/>
      <c r="B1115" s="146" t="s">
        <v>1308</v>
      </c>
      <c r="C1115" s="17"/>
      <c r="D1115" s="146"/>
      <c r="E1115" s="146"/>
      <c r="F1115" s="146"/>
      <c r="G1115" s="539" t="s">
        <v>2168</v>
      </c>
      <c r="H1115" s="146" t="s">
        <v>1202</v>
      </c>
      <c r="I1115" s="239" t="str">
        <f>IF(ISBLANK(continental!I186),"",continental!I186)</f>
        <v/>
      </c>
      <c r="K1115" s="262" t="s">
        <v>4249</v>
      </c>
      <c r="N1115" s="262" t="s">
        <v>4249</v>
      </c>
    </row>
    <row r="1116" spans="1:14" ht="12.75" customHeight="1" x14ac:dyDescent="0.2">
      <c r="A1116" s="38"/>
      <c r="B1116" s="146" t="s">
        <v>1310</v>
      </c>
      <c r="C1116" s="17"/>
      <c r="D1116" s="146"/>
      <c r="E1116" s="146"/>
      <c r="F1116" s="146"/>
      <c r="G1116" s="539" t="s">
        <v>2169</v>
      </c>
      <c r="H1116" s="146" t="s">
        <v>1202</v>
      </c>
      <c r="I1116" s="239" t="str">
        <f>IF(ISBLANK(continental!I187),"",continental!I187)</f>
        <v/>
      </c>
      <c r="K1116" s="262" t="s">
        <v>4249</v>
      </c>
      <c r="N1116" s="262" t="s">
        <v>4249</v>
      </c>
    </row>
    <row r="1117" spans="1:14" ht="12.75" customHeight="1" x14ac:dyDescent="0.2">
      <c r="A1117" s="38"/>
      <c r="B1117" s="38" t="s">
        <v>1312</v>
      </c>
      <c r="C1117" s="17"/>
      <c r="D1117" s="146"/>
      <c r="E1117" s="146"/>
      <c r="F1117" s="146"/>
      <c r="G1117" s="539" t="s">
        <v>2170</v>
      </c>
      <c r="H1117" s="38" t="s">
        <v>296</v>
      </c>
      <c r="I1117" s="239" t="str">
        <f>IF(ISBLANK(continental!I188),"",continental!I188)</f>
        <v/>
      </c>
      <c r="J1117" s="228"/>
      <c r="K1117" s="262" t="s">
        <v>4249</v>
      </c>
      <c r="N1117" s="262" t="s">
        <v>4249</v>
      </c>
    </row>
    <row r="1118" spans="1:14" ht="12.75" customHeight="1" x14ac:dyDescent="0.2">
      <c r="A1118" s="38"/>
      <c r="B1118" s="38" t="s">
        <v>1314</v>
      </c>
      <c r="C1118" s="17"/>
      <c r="D1118" s="146"/>
      <c r="E1118" s="146"/>
      <c r="F1118" s="146"/>
      <c r="G1118" s="539" t="s">
        <v>2171</v>
      </c>
      <c r="H1118" s="38" t="s">
        <v>296</v>
      </c>
      <c r="I1118" s="239" t="str">
        <f>IF(ISBLANK(continental!I189),"",continental!I189)</f>
        <v/>
      </c>
      <c r="J1118" s="411"/>
      <c r="K1118" s="262" t="s">
        <v>4249</v>
      </c>
      <c r="N1118" s="262" t="s">
        <v>4249</v>
      </c>
    </row>
    <row r="1119" spans="1:14" ht="12.75" customHeight="1" x14ac:dyDescent="0.2">
      <c r="A1119" s="38"/>
      <c r="B1119" s="38" t="s">
        <v>1316</v>
      </c>
      <c r="C1119" s="17"/>
      <c r="D1119" s="146"/>
      <c r="E1119" s="146"/>
      <c r="F1119" s="146"/>
      <c r="G1119" s="539" t="s">
        <v>2172</v>
      </c>
      <c r="H1119" s="38" t="s">
        <v>296</v>
      </c>
      <c r="I1119" s="239" t="str">
        <f>IF(ISBLANK(continental!I190),"",continental!I190)</f>
        <v/>
      </c>
      <c r="J1119" s="228"/>
      <c r="K1119" s="262" t="s">
        <v>4249</v>
      </c>
      <c r="N1119" s="262" t="s">
        <v>4249</v>
      </c>
    </row>
    <row r="1120" spans="1:14" ht="12.75" customHeight="1" x14ac:dyDescent="0.2">
      <c r="A1120" s="38"/>
      <c r="B1120" s="17" t="s">
        <v>1236</v>
      </c>
      <c r="C1120" s="17"/>
      <c r="D1120" s="146"/>
      <c r="E1120" s="146"/>
      <c r="F1120" s="146"/>
      <c r="G1120" s="540" t="s">
        <v>2173</v>
      </c>
      <c r="H1120" s="17" t="s">
        <v>296</v>
      </c>
      <c r="I1120" s="239" t="str">
        <f>IF(ISBLANK(continental!I191),"",continental!I191)</f>
        <v/>
      </c>
      <c r="K1120" s="262" t="s">
        <v>4249</v>
      </c>
      <c r="N1120" s="262" t="s">
        <v>4249</v>
      </c>
    </row>
    <row r="1121" spans="1:14" ht="12.75" customHeight="1" x14ac:dyDescent="0.2">
      <c r="A1121" s="38"/>
      <c r="B1121" s="17" t="s">
        <v>1236</v>
      </c>
      <c r="C1121" s="17"/>
      <c r="D1121" s="146"/>
      <c r="E1121" s="146"/>
      <c r="F1121" s="146"/>
      <c r="G1121" s="540" t="s">
        <v>2174</v>
      </c>
      <c r="H1121" s="17" t="s">
        <v>296</v>
      </c>
      <c r="I1121" s="239" t="str">
        <f>IF(ISBLANK(continental!I192),"",continental!I192)</f>
        <v/>
      </c>
      <c r="K1121" s="262" t="s">
        <v>4249</v>
      </c>
      <c r="N1121" s="262" t="s">
        <v>4249</v>
      </c>
    </row>
    <row r="1122" spans="1:14" ht="12.75" customHeight="1" x14ac:dyDescent="0.2">
      <c r="A1122" s="38"/>
      <c r="B1122" s="17" t="s">
        <v>1236</v>
      </c>
      <c r="C1122" s="17"/>
      <c r="D1122" s="146"/>
      <c r="E1122" s="146"/>
      <c r="F1122" s="146"/>
      <c r="G1122" s="540" t="s">
        <v>2175</v>
      </c>
      <c r="H1122" s="17" t="s">
        <v>296</v>
      </c>
      <c r="I1122" s="239" t="str">
        <f>IF(ISBLANK(continental!I193),"",continental!I193)</f>
        <v/>
      </c>
      <c r="K1122" s="262" t="s">
        <v>4249</v>
      </c>
      <c r="N1122" s="262" t="s">
        <v>4249</v>
      </c>
    </row>
    <row r="1123" spans="1:14" ht="12.75" customHeight="1" x14ac:dyDescent="0.2">
      <c r="A1123" s="17"/>
      <c r="B1123" s="17"/>
      <c r="C1123" s="17"/>
      <c r="D1123" s="17"/>
      <c r="E1123" s="17"/>
      <c r="F1123" s="17"/>
      <c r="G1123" s="17"/>
      <c r="H1123" s="17"/>
      <c r="I1123" s="239" t="str">
        <f>IF(ISBLANK(continental!I194),"",continental!I194)</f>
        <v/>
      </c>
      <c r="K1123" s="262" t="s">
        <v>4249</v>
      </c>
      <c r="N1123" s="262" t="s">
        <v>4249</v>
      </c>
    </row>
    <row r="1124" spans="1:14" ht="12.75" customHeight="1" x14ac:dyDescent="0.2">
      <c r="A1124" s="148" t="s">
        <v>1321</v>
      </c>
      <c r="B1124" s="147"/>
      <c r="C1124" s="147"/>
      <c r="D1124" s="147"/>
      <c r="E1124" s="147"/>
      <c r="F1124" s="147"/>
      <c r="G1124" s="148" t="s">
        <v>263</v>
      </c>
      <c r="H1124" s="148" t="s">
        <v>279</v>
      </c>
      <c r="I1124" s="239" t="str">
        <f>IF(ISBLANK(continental!I195),"",continental!I195)</f>
        <v>User input</v>
      </c>
      <c r="K1124" s="262" t="s">
        <v>264</v>
      </c>
      <c r="N1124" s="262" t="s">
        <v>264</v>
      </c>
    </row>
    <row r="1125" spans="1:14" ht="12.75" customHeight="1" x14ac:dyDescent="0.2">
      <c r="A1125" s="38"/>
      <c r="B1125" s="17"/>
      <c r="C1125" s="17"/>
      <c r="D1125" s="17"/>
      <c r="E1125" s="17"/>
      <c r="F1125" s="17"/>
      <c r="G1125" s="17"/>
      <c r="H1125" s="17"/>
      <c r="I1125" s="239" t="str">
        <f>IF(ISBLANK(continental!I196),"",continental!I196)</f>
        <v/>
      </c>
      <c r="K1125" s="262" t="s">
        <v>4249</v>
      </c>
      <c r="N1125" s="262" t="s">
        <v>4249</v>
      </c>
    </row>
    <row r="1126" spans="1:14" ht="12.75" customHeight="1" x14ac:dyDescent="0.2">
      <c r="A1126" s="38" t="s">
        <v>1322</v>
      </c>
      <c r="B1126" s="17"/>
      <c r="C1126" s="17"/>
      <c r="D1126" s="17"/>
      <c r="E1126" s="17"/>
      <c r="F1126" s="17"/>
      <c r="G1126" s="38" t="s">
        <v>2176</v>
      </c>
      <c r="H1126" s="38" t="s">
        <v>624</v>
      </c>
      <c r="I1126" s="239" t="str">
        <f>IF(ISBLANK(continental!I197),"",continental!I197)</f>
        <v/>
      </c>
      <c r="K1126" s="262" t="s">
        <v>4249</v>
      </c>
      <c r="N1126" s="262" t="s">
        <v>4249</v>
      </c>
    </row>
    <row r="1127" spans="1:14" ht="12.75" customHeight="1" x14ac:dyDescent="0.2">
      <c r="A1127" s="38" t="s">
        <v>1324</v>
      </c>
      <c r="B1127" s="17"/>
      <c r="C1127" s="17"/>
      <c r="D1127" s="17"/>
      <c r="E1127" s="17"/>
      <c r="F1127" s="17"/>
      <c r="G1127" s="38" t="s">
        <v>2177</v>
      </c>
      <c r="H1127" s="38" t="s">
        <v>624</v>
      </c>
      <c r="I1127" s="239" t="str">
        <f>IF(ISBLANK(continental!I198),"",continental!I198)</f>
        <v/>
      </c>
      <c r="K1127" s="262" t="s">
        <v>4249</v>
      </c>
      <c r="N1127" s="262" t="s">
        <v>4249</v>
      </c>
    </row>
    <row r="1128" spans="1:14" ht="12.75" customHeight="1" x14ac:dyDescent="0.2">
      <c r="A1128" s="38" t="s">
        <v>1326</v>
      </c>
      <c r="B1128" s="17"/>
      <c r="C1128" s="17"/>
      <c r="D1128" s="17"/>
      <c r="E1128" s="17"/>
      <c r="F1128" s="17"/>
      <c r="G1128" s="38" t="s">
        <v>2178</v>
      </c>
      <c r="H1128" s="38" t="s">
        <v>624</v>
      </c>
      <c r="I1128" s="239" t="str">
        <f>IF(ISBLANK(continental!I199),"",continental!I199)</f>
        <v/>
      </c>
      <c r="K1128" s="262" t="s">
        <v>4249</v>
      </c>
      <c r="N1128" s="262" t="s">
        <v>4249</v>
      </c>
    </row>
    <row r="1129" spans="1:14" ht="12.75" customHeight="1" x14ac:dyDescent="0.2">
      <c r="A1129" s="38" t="s">
        <v>1328</v>
      </c>
      <c r="B1129" s="17"/>
      <c r="C1129" s="17"/>
      <c r="D1129" s="17"/>
      <c r="E1129" s="17"/>
      <c r="F1129" s="17"/>
      <c r="G1129" s="38" t="s">
        <v>2179</v>
      </c>
      <c r="H1129" s="38" t="s">
        <v>624</v>
      </c>
      <c r="I1129" s="239" t="str">
        <f>IF(ISBLANK(continental!I200),"",continental!I200)</f>
        <v/>
      </c>
      <c r="K1129" s="262" t="s">
        <v>4249</v>
      </c>
      <c r="N1129" s="262" t="s">
        <v>4249</v>
      </c>
    </row>
    <row r="1130" spans="1:14" ht="12.75" customHeight="1" x14ac:dyDescent="0.2">
      <c r="A1130" s="38" t="s">
        <v>1330</v>
      </c>
      <c r="B1130" s="17"/>
      <c r="C1130" s="17"/>
      <c r="D1130" s="17"/>
      <c r="E1130" s="17"/>
      <c r="F1130" s="17"/>
      <c r="G1130" s="38" t="s">
        <v>2180</v>
      </c>
      <c r="H1130" s="38" t="s">
        <v>624</v>
      </c>
      <c r="I1130" s="239" t="str">
        <f>IF(ISBLANK(continental!I201),"",continental!I201)</f>
        <v/>
      </c>
      <c r="K1130" s="262" t="s">
        <v>4249</v>
      </c>
      <c r="N1130" s="262" t="s">
        <v>4249</v>
      </c>
    </row>
    <row r="1131" spans="1:14" ht="12.75" customHeight="1" x14ac:dyDescent="0.2">
      <c r="A1131" s="38" t="s">
        <v>1332</v>
      </c>
      <c r="B1131" s="17"/>
      <c r="C1131" s="17"/>
      <c r="D1131" s="17"/>
      <c r="E1131" s="17"/>
      <c r="F1131" s="17"/>
      <c r="G1131" s="38" t="s">
        <v>2181</v>
      </c>
      <c r="H1131" s="38" t="s">
        <v>624</v>
      </c>
      <c r="I1131" s="239" t="str">
        <f>IF(ISBLANK(continental!I202),"",continental!I202)</f>
        <v/>
      </c>
      <c r="K1131" s="262" t="s">
        <v>4249</v>
      </c>
      <c r="N1131" s="262" t="s">
        <v>4249</v>
      </c>
    </row>
    <row r="1132" spans="1:14" ht="12.75" customHeight="1" x14ac:dyDescent="0.2">
      <c r="A1132" s="38" t="s">
        <v>1334</v>
      </c>
      <c r="B1132" s="17"/>
      <c r="C1132" s="17"/>
      <c r="D1132" s="17"/>
      <c r="E1132" s="17"/>
      <c r="F1132" s="17"/>
      <c r="G1132" s="38" t="s">
        <v>2182</v>
      </c>
      <c r="H1132" s="38" t="s">
        <v>624</v>
      </c>
      <c r="I1132" s="239" t="str">
        <f>IF(ISBLANK(continental!I203),"",continental!I203)</f>
        <v/>
      </c>
      <c r="K1132" s="262" t="s">
        <v>4249</v>
      </c>
      <c r="N1132" s="262" t="s">
        <v>4249</v>
      </c>
    </row>
    <row r="1133" spans="1:14" ht="12.75" customHeight="1" x14ac:dyDescent="0.2">
      <c r="A1133" s="38" t="s">
        <v>1336</v>
      </c>
      <c r="B1133" s="17"/>
      <c r="C1133" s="17"/>
      <c r="D1133" s="17"/>
      <c r="E1133" s="17"/>
      <c r="F1133" s="17"/>
      <c r="G1133" s="38" t="s">
        <v>2183</v>
      </c>
      <c r="H1133" s="38" t="s">
        <v>624</v>
      </c>
      <c r="I1133" s="239" t="str">
        <f>IF(ISBLANK(continental!I204),"",continental!I204)</f>
        <v/>
      </c>
      <c r="K1133" s="262" t="s">
        <v>4249</v>
      </c>
      <c r="N1133" s="262" t="s">
        <v>4249</v>
      </c>
    </row>
    <row r="1134" spans="1:14" ht="12.75" customHeight="1" x14ac:dyDescent="0.2">
      <c r="A1134" s="38" t="s">
        <v>1336</v>
      </c>
      <c r="B1134" s="17"/>
      <c r="C1134" s="17"/>
      <c r="D1134" s="17"/>
      <c r="E1134" s="17"/>
      <c r="F1134" s="17"/>
      <c r="G1134" s="38" t="s">
        <v>2184</v>
      </c>
      <c r="H1134" s="38" t="s">
        <v>624</v>
      </c>
      <c r="I1134" s="239" t="str">
        <f>IF(ISBLANK(continental!I205),"",continental!I205)</f>
        <v/>
      </c>
      <c r="K1134" s="262" t="s">
        <v>4249</v>
      </c>
      <c r="N1134" s="262" t="s">
        <v>4249</v>
      </c>
    </row>
    <row r="1135" spans="1:14" ht="12.75" customHeight="1" x14ac:dyDescent="0.2">
      <c r="A1135" s="38" t="s">
        <v>1336</v>
      </c>
      <c r="B1135" s="17"/>
      <c r="C1135" s="17"/>
      <c r="D1135" s="17"/>
      <c r="E1135" s="17"/>
      <c r="F1135" s="17"/>
      <c r="G1135" s="38" t="s">
        <v>2185</v>
      </c>
      <c r="H1135" s="38" t="s">
        <v>624</v>
      </c>
      <c r="I1135" s="239" t="str">
        <f>IF(ISBLANK(continental!I206),"",continental!I206)</f>
        <v/>
      </c>
      <c r="K1135" s="262" t="s">
        <v>4249</v>
      </c>
      <c r="N1135" s="262" t="s">
        <v>4249</v>
      </c>
    </row>
    <row r="1136" spans="1:14" ht="12.75" customHeight="1" x14ac:dyDescent="0.2">
      <c r="A1136" s="38"/>
      <c r="B1136" s="38" t="s">
        <v>1342</v>
      </c>
      <c r="C1136" s="146"/>
      <c r="D1136" s="17"/>
      <c r="E1136" s="17"/>
      <c r="F1136" s="17"/>
      <c r="G1136" s="146" t="s">
        <v>2186</v>
      </c>
      <c r="H1136" s="38" t="s">
        <v>624</v>
      </c>
      <c r="I1136" s="239" t="str">
        <f>IF(ISBLANK(continental!I207),"",continental!I207)</f>
        <v/>
      </c>
      <c r="K1136" s="262" t="s">
        <v>4249</v>
      </c>
      <c r="N1136" s="262" t="s">
        <v>4249</v>
      </c>
    </row>
    <row r="1137" spans="1:14" ht="12.75" customHeight="1" x14ac:dyDescent="0.2">
      <c r="A1137" s="38"/>
      <c r="B1137" s="38" t="s">
        <v>1344</v>
      </c>
      <c r="C1137" s="17"/>
      <c r="D1137" s="17"/>
      <c r="E1137" s="17"/>
      <c r="F1137" s="17"/>
      <c r="G1137" s="38" t="s">
        <v>2187</v>
      </c>
      <c r="H1137" s="38" t="s">
        <v>624</v>
      </c>
      <c r="I1137" s="239" t="str">
        <f>IF(ISBLANK(continental!I208),"",continental!I208)</f>
        <v/>
      </c>
      <c r="K1137" s="262" t="s">
        <v>4249</v>
      </c>
      <c r="N1137" s="262" t="s">
        <v>4249</v>
      </c>
    </row>
    <row r="1138" spans="1:14" ht="12.75" customHeight="1" x14ac:dyDescent="0.2">
      <c r="A1138" s="146"/>
      <c r="B1138" s="146"/>
      <c r="C1138" s="38" t="s">
        <v>2188</v>
      </c>
      <c r="D1138" s="17"/>
      <c r="E1138" s="17"/>
      <c r="F1138" s="17"/>
      <c r="G1138" s="38" t="s">
        <v>2189</v>
      </c>
      <c r="H1138" s="38" t="s">
        <v>627</v>
      </c>
      <c r="I1138" s="239" t="str">
        <f>IF(ISBLANK(continental!I209),"",continental!I209)</f>
        <v/>
      </c>
      <c r="K1138" s="262" t="s">
        <v>4249</v>
      </c>
      <c r="N1138" s="262" t="s">
        <v>4249</v>
      </c>
    </row>
    <row r="1139" spans="1:14" ht="12.75" customHeight="1" x14ac:dyDescent="0.2">
      <c r="A1139" s="146"/>
      <c r="B1139" s="146"/>
      <c r="C1139" s="38" t="s">
        <v>2190</v>
      </c>
      <c r="D1139" s="17"/>
      <c r="E1139" s="17"/>
      <c r="F1139" s="17"/>
      <c r="G1139" s="38" t="s">
        <v>2191</v>
      </c>
      <c r="H1139" s="38" t="s">
        <v>296</v>
      </c>
      <c r="I1139" s="239" t="str">
        <f>IF(ISBLANK(continental!I210),"",continental!I210)</f>
        <v/>
      </c>
      <c r="K1139" s="262" t="s">
        <v>4249</v>
      </c>
      <c r="N1139" s="262" t="s">
        <v>4249</v>
      </c>
    </row>
    <row r="1140" spans="1:14" ht="12.75" customHeight="1" x14ac:dyDescent="0.2">
      <c r="A1140" s="38"/>
      <c r="B1140" s="38" t="s">
        <v>1351</v>
      </c>
      <c r="C1140" s="17"/>
      <c r="D1140" s="17"/>
      <c r="E1140" s="17"/>
      <c r="F1140" s="17"/>
      <c r="G1140" s="38" t="s">
        <v>2192</v>
      </c>
      <c r="H1140" s="38" t="s">
        <v>624</v>
      </c>
      <c r="I1140" s="239" t="str">
        <f>IF(ISBLANK(continental!I211),"",continental!I211)</f>
        <v/>
      </c>
      <c r="K1140" s="262" t="s">
        <v>4249</v>
      </c>
      <c r="N1140" s="262" t="s">
        <v>4249</v>
      </c>
    </row>
    <row r="1141" spans="1:14" ht="12.75" customHeight="1" x14ac:dyDescent="0.2">
      <c r="A1141" s="38"/>
      <c r="B1141" s="38" t="s">
        <v>1353</v>
      </c>
      <c r="C1141" s="17"/>
      <c r="D1141" s="17"/>
      <c r="E1141" s="17"/>
      <c r="F1141" s="17"/>
      <c r="G1141" s="38" t="s">
        <v>2193</v>
      </c>
      <c r="H1141" s="38" t="s">
        <v>624</v>
      </c>
      <c r="I1141" s="239" t="str">
        <f>IF(ISBLANK(continental!I212),"",continental!I212)</f>
        <v/>
      </c>
      <c r="K1141" s="262" t="s">
        <v>4249</v>
      </c>
      <c r="N1141" s="262" t="s">
        <v>4249</v>
      </c>
    </row>
    <row r="1142" spans="1:14" ht="12.75" customHeight="1" x14ac:dyDescent="0.2">
      <c r="A1142" s="38"/>
      <c r="B1142" s="38" t="s">
        <v>1355</v>
      </c>
      <c r="C1142" s="17"/>
      <c r="D1142" s="17"/>
      <c r="E1142" s="17"/>
      <c r="F1142" s="17"/>
      <c r="G1142" s="38" t="s">
        <v>2194</v>
      </c>
      <c r="H1142" s="38" t="s">
        <v>624</v>
      </c>
      <c r="I1142" s="239" t="str">
        <f>IF(ISBLANK(continental!I213),"",continental!I213)</f>
        <v/>
      </c>
      <c r="K1142" s="262" t="s">
        <v>4249</v>
      </c>
      <c r="N1142" s="262" t="s">
        <v>4249</v>
      </c>
    </row>
    <row r="1143" spans="1:14" ht="12.75" customHeight="1" x14ac:dyDescent="0.2">
      <c r="A1143" s="38"/>
      <c r="B1143" s="38"/>
      <c r="C1143" s="38" t="s">
        <v>1357</v>
      </c>
      <c r="D1143" s="17"/>
      <c r="E1143" s="17"/>
      <c r="F1143" s="17"/>
      <c r="G1143" s="146" t="s">
        <v>2195</v>
      </c>
      <c r="H1143" s="38" t="s">
        <v>1359</v>
      </c>
      <c r="I1143" s="239" t="str">
        <f>IF(ISBLANK(continental!I214),"",continental!I214)</f>
        <v/>
      </c>
      <c r="K1143" s="262" t="s">
        <v>4249</v>
      </c>
      <c r="N1143" s="262" t="s">
        <v>4249</v>
      </c>
    </row>
    <row r="1144" spans="1:14" ht="12.75" customHeight="1" x14ac:dyDescent="0.2">
      <c r="A1144" s="38"/>
      <c r="B1144" s="38"/>
      <c r="C1144" s="38" t="s">
        <v>1361</v>
      </c>
      <c r="D1144" s="17"/>
      <c r="E1144" s="17"/>
      <c r="F1144" s="17"/>
      <c r="G1144" s="146" t="s">
        <v>2196</v>
      </c>
      <c r="H1144" s="38" t="s">
        <v>1359</v>
      </c>
      <c r="I1144" s="239" t="str">
        <f>IF(ISBLANK(continental!I215),"",continental!I215)</f>
        <v/>
      </c>
      <c r="K1144" s="262" t="s">
        <v>4249</v>
      </c>
      <c r="N1144" s="262" t="s">
        <v>4249</v>
      </c>
    </row>
    <row r="1145" spans="1:14" ht="12.75" customHeight="1" x14ac:dyDescent="0.2">
      <c r="A1145" s="38"/>
      <c r="B1145" s="38"/>
      <c r="C1145" s="38" t="s">
        <v>1363</v>
      </c>
      <c r="D1145" s="17"/>
      <c r="E1145" s="17"/>
      <c r="F1145" s="17"/>
      <c r="G1145" s="146" t="s">
        <v>2197</v>
      </c>
      <c r="H1145" s="38" t="s">
        <v>1359</v>
      </c>
      <c r="I1145" s="239" t="str">
        <f>IF(ISBLANK(continental!I216),"",continental!I216)</f>
        <v/>
      </c>
      <c r="K1145" s="262" t="s">
        <v>4249</v>
      </c>
      <c r="N1145" s="262" t="s">
        <v>4249</v>
      </c>
    </row>
    <row r="1146" spans="1:14" ht="12.75" customHeight="1" x14ac:dyDescent="0.2">
      <c r="A1146" s="146"/>
      <c r="B1146" s="146"/>
      <c r="C1146" s="38" t="s">
        <v>1365</v>
      </c>
      <c r="D1146" s="17"/>
      <c r="E1146" s="17"/>
      <c r="F1146" s="17"/>
      <c r="G1146" s="38" t="s">
        <v>2198</v>
      </c>
      <c r="H1146" s="38" t="s">
        <v>296</v>
      </c>
      <c r="I1146" s="239" t="str">
        <f>IF(ISBLANK(continental!I217),"",continental!I217)</f>
        <v/>
      </c>
      <c r="K1146" s="262" t="s">
        <v>4249</v>
      </c>
      <c r="N1146" s="262" t="s">
        <v>4249</v>
      </c>
    </row>
    <row r="1147" spans="1:14" ht="12.75" customHeight="1" x14ac:dyDescent="0.2">
      <c r="A1147" s="146"/>
      <c r="B1147" s="38" t="s">
        <v>2199</v>
      </c>
      <c r="C1147" s="17"/>
      <c r="D1147" s="17"/>
      <c r="E1147" s="17"/>
      <c r="F1147" s="17"/>
      <c r="G1147" s="38" t="s">
        <v>2200</v>
      </c>
      <c r="H1147" s="38" t="s">
        <v>624</v>
      </c>
      <c r="I1147" s="239" t="str">
        <f>IF(ISBLANK(continental!I218),"",continental!I218)</f>
        <v/>
      </c>
      <c r="K1147" s="262" t="s">
        <v>4249</v>
      </c>
      <c r="N1147" s="262" t="s">
        <v>4249</v>
      </c>
    </row>
    <row r="1148" spans="1:14" ht="12.75" customHeight="1" x14ac:dyDescent="0.2">
      <c r="A1148" s="38"/>
      <c r="B1148" s="38" t="s">
        <v>1369</v>
      </c>
      <c r="C1148" s="17"/>
      <c r="D1148" s="17"/>
      <c r="E1148" s="17"/>
      <c r="F1148" s="17"/>
      <c r="G1148" s="38" t="s">
        <v>2201</v>
      </c>
      <c r="H1148" s="38" t="s">
        <v>624</v>
      </c>
      <c r="I1148" s="239" t="str">
        <f>IF(ISBLANK(continental!I219),"",continental!I219)</f>
        <v/>
      </c>
      <c r="K1148" s="262" t="s">
        <v>4249</v>
      </c>
      <c r="N1148" s="262" t="s">
        <v>4249</v>
      </c>
    </row>
    <row r="1149" spans="1:14" ht="12.75" customHeight="1" x14ac:dyDescent="0.2">
      <c r="A1149" s="38"/>
      <c r="B1149" s="38" t="s">
        <v>1371</v>
      </c>
      <c r="C1149" s="17"/>
      <c r="D1149" s="17"/>
      <c r="E1149" s="17"/>
      <c r="F1149" s="17"/>
      <c r="G1149" s="38" t="s">
        <v>2202</v>
      </c>
      <c r="H1149" s="38" t="s">
        <v>624</v>
      </c>
      <c r="I1149" s="239" t="str">
        <f>IF(ISBLANK(continental!I220),"",continental!I220)</f>
        <v/>
      </c>
      <c r="K1149" s="262" t="s">
        <v>4249</v>
      </c>
      <c r="N1149" s="262" t="s">
        <v>4249</v>
      </c>
    </row>
    <row r="1150" spans="1:14" ht="12.75" customHeight="1" x14ac:dyDescent="0.2">
      <c r="A1150" s="38"/>
      <c r="B1150" s="38" t="s">
        <v>1373</v>
      </c>
      <c r="C1150" s="17"/>
      <c r="D1150" s="17"/>
      <c r="E1150" s="17"/>
      <c r="F1150" s="17"/>
      <c r="G1150" s="38" t="s">
        <v>2203</v>
      </c>
      <c r="H1150" s="38" t="s">
        <v>624</v>
      </c>
      <c r="I1150" s="239" t="str">
        <f>IF(ISBLANK(continental!I221),"",continental!I221)</f>
        <v/>
      </c>
      <c r="K1150" s="262" t="s">
        <v>4249</v>
      </c>
      <c r="N1150" s="262" t="s">
        <v>4249</v>
      </c>
    </row>
    <row r="1151" spans="1:14" ht="12.75" customHeight="1" x14ac:dyDescent="0.2">
      <c r="A1151" s="38"/>
      <c r="B1151" s="38" t="s">
        <v>1375</v>
      </c>
      <c r="C1151" s="17"/>
      <c r="D1151" s="17"/>
      <c r="E1151" s="17"/>
      <c r="F1151" s="17"/>
      <c r="G1151" s="38" t="s">
        <v>2204</v>
      </c>
      <c r="H1151" s="38" t="s">
        <v>624</v>
      </c>
      <c r="I1151" s="239" t="str">
        <f>IF(ISBLANK(continental!I222),"",continental!I222)</f>
        <v/>
      </c>
      <c r="J1151" s="228"/>
      <c r="K1151" s="262" t="s">
        <v>4249</v>
      </c>
      <c r="N1151" s="262" t="s">
        <v>4249</v>
      </c>
    </row>
    <row r="1152" spans="1:14" ht="12.75" customHeight="1" x14ac:dyDescent="0.2">
      <c r="A1152" s="38"/>
      <c r="B1152" s="38" t="s">
        <v>1377</v>
      </c>
      <c r="C1152" s="17"/>
      <c r="D1152" s="17"/>
      <c r="E1152" s="17"/>
      <c r="F1152" s="17"/>
      <c r="G1152" s="38" t="s">
        <v>2205</v>
      </c>
      <c r="H1152" s="38" t="s">
        <v>624</v>
      </c>
      <c r="I1152" s="239" t="str">
        <f>IF(ISBLANK(continental!I223),"",continental!I223)</f>
        <v/>
      </c>
      <c r="J1152" s="411"/>
      <c r="K1152" s="262" t="s">
        <v>4249</v>
      </c>
      <c r="N1152" s="262" t="s">
        <v>4249</v>
      </c>
    </row>
    <row r="1153" spans="1:14" ht="12.75" customHeight="1" x14ac:dyDescent="0.2">
      <c r="A1153" s="38"/>
      <c r="B1153" s="38"/>
      <c r="C1153" s="38" t="s">
        <v>1379</v>
      </c>
      <c r="D1153" s="17"/>
      <c r="E1153" s="17"/>
      <c r="F1153" s="17"/>
      <c r="G1153" s="146" t="s">
        <v>2206</v>
      </c>
      <c r="H1153" s="38" t="s">
        <v>296</v>
      </c>
      <c r="I1153" s="239" t="str">
        <f>IF(ISBLANK(continental!I224),"",continental!I224)</f>
        <v/>
      </c>
      <c r="J1153" s="228"/>
      <c r="K1153" s="262" t="s">
        <v>4249</v>
      </c>
      <c r="N1153" s="262" t="s">
        <v>4249</v>
      </c>
    </row>
    <row r="1154" spans="1:14" ht="12.75" customHeight="1" x14ac:dyDescent="0.2">
      <c r="A1154" s="38"/>
      <c r="B1154" s="38"/>
      <c r="C1154" s="38" t="s">
        <v>1381</v>
      </c>
      <c r="D1154" s="17"/>
      <c r="E1154" s="17"/>
      <c r="F1154" s="17"/>
      <c r="G1154" s="146" t="s">
        <v>2207</v>
      </c>
      <c r="H1154" s="38" t="s">
        <v>296</v>
      </c>
      <c r="I1154" s="239" t="str">
        <f>IF(ISBLANK(continental!I225),"",continental!I225)</f>
        <v/>
      </c>
      <c r="K1154" s="262" t="s">
        <v>4249</v>
      </c>
      <c r="N1154" s="262" t="s">
        <v>4249</v>
      </c>
    </row>
    <row r="1155" spans="1:14" ht="12.75" customHeight="1" x14ac:dyDescent="0.2">
      <c r="A1155" s="17"/>
      <c r="B1155" s="17"/>
      <c r="C1155" s="38" t="s">
        <v>1383</v>
      </c>
      <c r="D1155" s="17"/>
      <c r="E1155" s="17"/>
      <c r="F1155" s="17"/>
      <c r="G1155" s="146" t="s">
        <v>2208</v>
      </c>
      <c r="H1155" s="38" t="s">
        <v>296</v>
      </c>
      <c r="I1155" s="239" t="str">
        <f>IF(ISBLANK(continental!I226),"",continental!I226)</f>
        <v/>
      </c>
      <c r="K1155" s="262" t="s">
        <v>4249</v>
      </c>
      <c r="N1155" s="262" t="s">
        <v>4249</v>
      </c>
    </row>
    <row r="1156" spans="1:14" ht="12.75" customHeight="1" x14ac:dyDescent="0.2">
      <c r="A1156" s="38"/>
      <c r="B1156" s="38"/>
      <c r="C1156" s="17" t="s">
        <v>1236</v>
      </c>
      <c r="D1156" s="17"/>
      <c r="E1156" s="146"/>
      <c r="F1156" s="146"/>
      <c r="G1156" s="38" t="s">
        <v>2209</v>
      </c>
      <c r="H1156" s="17" t="s">
        <v>296</v>
      </c>
      <c r="I1156" s="239" t="str">
        <f>IF(ISBLANK(continental!I227),"",continental!I227)</f>
        <v/>
      </c>
      <c r="K1156" s="262" t="s">
        <v>4249</v>
      </c>
      <c r="N1156" s="262" t="s">
        <v>4249</v>
      </c>
    </row>
    <row r="1157" spans="1:14" ht="12.75" customHeight="1" x14ac:dyDescent="0.2">
      <c r="A1157" s="38"/>
      <c r="B1157" s="38"/>
      <c r="C1157" s="17" t="s">
        <v>1236</v>
      </c>
      <c r="D1157" s="17"/>
      <c r="E1157" s="146"/>
      <c r="F1157" s="146"/>
      <c r="G1157" s="38" t="s">
        <v>2210</v>
      </c>
      <c r="H1157" s="17" t="s">
        <v>296</v>
      </c>
      <c r="I1157" s="239" t="str">
        <f>IF(ISBLANK(continental!I228),"",continental!I228)</f>
        <v/>
      </c>
      <c r="K1157" s="262" t="s">
        <v>4249</v>
      </c>
      <c r="N1157" s="262" t="s">
        <v>4249</v>
      </c>
    </row>
    <row r="1158" spans="1:14" ht="12.75" customHeight="1" x14ac:dyDescent="0.2">
      <c r="A1158" s="38"/>
      <c r="B1158" s="38"/>
      <c r="C1158" s="17" t="s">
        <v>1236</v>
      </c>
      <c r="D1158" s="17"/>
      <c r="E1158" s="146"/>
      <c r="F1158" s="146"/>
      <c r="G1158" s="38" t="s">
        <v>2211</v>
      </c>
      <c r="H1158" s="17" t="s">
        <v>296</v>
      </c>
      <c r="I1158" s="239" t="str">
        <f>IF(ISBLANK(continental!I229),"",continental!I229)</f>
        <v/>
      </c>
      <c r="K1158" s="262" t="s">
        <v>4249</v>
      </c>
      <c r="N1158" s="262" t="s">
        <v>4249</v>
      </c>
    </row>
    <row r="1159" spans="1:14" ht="12.75" customHeight="1" x14ac:dyDescent="0.2">
      <c r="A1159" s="168"/>
      <c r="B1159" s="168"/>
      <c r="C1159" s="168"/>
      <c r="D1159" s="168"/>
      <c r="E1159" s="168"/>
      <c r="F1159" s="168"/>
      <c r="G1159" s="168"/>
      <c r="H1159" s="168"/>
      <c r="I1159" s="239" t="str">
        <f>IF(ISBLANK(continental!I230),"",continental!I230)</f>
        <v/>
      </c>
      <c r="K1159" s="262" t="s">
        <v>4249</v>
      </c>
      <c r="N1159" s="262" t="s">
        <v>4249</v>
      </c>
    </row>
    <row r="1160" spans="1:14" ht="12.75" customHeight="1" x14ac:dyDescent="0.2">
      <c r="G1160"/>
      <c r="H1160"/>
      <c r="I1160" s="239" t="str">
        <f>IF(ISBLANK(continental!I231),"",continental!I231)</f>
        <v/>
      </c>
      <c r="K1160" s="262" t="s">
        <v>4249</v>
      </c>
      <c r="N1160" s="262" t="s">
        <v>4249</v>
      </c>
    </row>
    <row r="1161" spans="1:14" ht="12.75" customHeight="1" x14ac:dyDescent="0.2">
      <c r="A1161" s="631" t="s">
        <v>1389</v>
      </c>
      <c r="B1161" s="413"/>
      <c r="C1161" s="413"/>
      <c r="D1161" s="413"/>
      <c r="E1161" s="413"/>
      <c r="F1161" s="413"/>
      <c r="G1161" s="631" t="s">
        <v>263</v>
      </c>
      <c r="H1161" s="631" t="s">
        <v>279</v>
      </c>
      <c r="I1161" s="239" t="str">
        <f>IF(ISBLANK(continental!I232),"",continental!I232)</f>
        <v>User input</v>
      </c>
      <c r="K1161" s="262" t="s">
        <v>264</v>
      </c>
      <c r="N1161" s="262" t="s">
        <v>264</v>
      </c>
    </row>
    <row r="1162" spans="1:14" ht="12.75" customHeight="1" x14ac:dyDescent="0.2">
      <c r="A1162" s="410" t="s">
        <v>1392</v>
      </c>
      <c r="B1162" s="410"/>
      <c r="C1162" s="410"/>
      <c r="D1162" s="410"/>
      <c r="E1162" s="410"/>
      <c r="F1162" s="410"/>
      <c r="G1162" s="655"/>
      <c r="H1162" s="655"/>
      <c r="I1162" s="239" t="str">
        <f>IF(ISBLANK(continental!I233),"",continental!I233)</f>
        <v/>
      </c>
      <c r="K1162" s="262" t="s">
        <v>4249</v>
      </c>
      <c r="N1162" s="262" t="s">
        <v>4249</v>
      </c>
    </row>
    <row r="1163" spans="1:14" ht="12.75" customHeight="1" x14ac:dyDescent="0.2">
      <c r="A1163" s="567" t="s">
        <v>1393</v>
      </c>
      <c r="B1163" s="567"/>
      <c r="C1163" s="567"/>
      <c r="D1163" s="567"/>
      <c r="E1163" s="567"/>
      <c r="F1163" s="567"/>
      <c r="G1163" s="567" t="s">
        <v>2212</v>
      </c>
      <c r="H1163" s="568" t="s">
        <v>340</v>
      </c>
      <c r="I1163" s="239" t="str">
        <f>IF(ISBLANK(continental!I234),"",continental!I234)</f>
        <v/>
      </c>
      <c r="K1163" s="262" t="s">
        <v>4249</v>
      </c>
      <c r="N1163" s="262" t="s">
        <v>4249</v>
      </c>
    </row>
    <row r="1164" spans="1:14" ht="12.75" customHeight="1" x14ac:dyDescent="0.2">
      <c r="A1164" s="567"/>
      <c r="B1164" s="567" t="s">
        <v>1396</v>
      </c>
      <c r="C1164" s="567"/>
      <c r="D1164" s="567"/>
      <c r="E1164" s="567"/>
      <c r="F1164" s="567"/>
      <c r="G1164" s="567" t="s">
        <v>2213</v>
      </c>
      <c r="H1164" s="567" t="s">
        <v>340</v>
      </c>
      <c r="I1164" s="239" t="str">
        <f>IF(ISBLANK(continental!I235),"",continental!I235)</f>
        <v/>
      </c>
      <c r="K1164" s="262" t="s">
        <v>4249</v>
      </c>
      <c r="N1164" s="262" t="s">
        <v>4249</v>
      </c>
    </row>
    <row r="1165" spans="1:14" ht="12.75" customHeight="1" x14ac:dyDescent="0.2">
      <c r="A1165" s="567"/>
      <c r="B1165" s="567"/>
      <c r="C1165" s="567" t="s">
        <v>713</v>
      </c>
      <c r="D1165" s="567"/>
      <c r="E1165" s="567"/>
      <c r="F1165" s="567"/>
      <c r="G1165" s="567" t="s">
        <v>756</v>
      </c>
      <c r="H1165" s="568" t="s">
        <v>715</v>
      </c>
      <c r="I1165" s="239" t="str">
        <f>IF(ISBLANK(input!I305),"",input!I305)</f>
        <v/>
      </c>
      <c r="K1165" s="262" t="s">
        <v>4249</v>
      </c>
      <c r="N1165" s="262" t="s">
        <v>4249</v>
      </c>
    </row>
    <row r="1166" spans="1:14" ht="12.75" customHeight="1" x14ac:dyDescent="0.2">
      <c r="A1166" s="567"/>
      <c r="B1166" s="567"/>
      <c r="C1166" s="567" t="s">
        <v>1403</v>
      </c>
      <c r="D1166" s="567"/>
      <c r="E1166" s="567"/>
      <c r="F1166" s="567"/>
      <c r="G1166" s="568" t="s">
        <v>2214</v>
      </c>
      <c r="H1166" s="568" t="s">
        <v>873</v>
      </c>
      <c r="I1166" s="239" t="str">
        <f>IF(ISBLANK(continental!I236),"",continental!I236)</f>
        <v/>
      </c>
      <c r="K1166" s="262" t="s">
        <v>4249</v>
      </c>
      <c r="N1166" s="262" t="s">
        <v>4249</v>
      </c>
    </row>
    <row r="1167" spans="1:14" ht="12.75" customHeight="1" x14ac:dyDescent="0.2">
      <c r="A1167" s="567"/>
      <c r="B1167" s="567"/>
      <c r="C1167" s="567" t="s">
        <v>1401</v>
      </c>
      <c r="D1167" s="567"/>
      <c r="E1167" s="567"/>
      <c r="F1167" s="567"/>
      <c r="G1167" s="567" t="s">
        <v>2215</v>
      </c>
      <c r="H1167" s="567" t="s">
        <v>907</v>
      </c>
      <c r="I1167" s="239" t="str">
        <f>IF(ISBLANK(continental!I237),"",continental!I237)</f>
        <v/>
      </c>
      <c r="K1167" s="262" t="s">
        <v>4249</v>
      </c>
      <c r="N1167" s="262" t="s">
        <v>4249</v>
      </c>
    </row>
    <row r="1168" spans="1:14" ht="12.75" customHeight="1" x14ac:dyDescent="0.2">
      <c r="A1168" s="567"/>
      <c r="B1168" s="567"/>
      <c r="C1168" s="567" t="s">
        <v>1398</v>
      </c>
      <c r="D1168" s="567"/>
      <c r="E1168" s="567"/>
      <c r="F1168" s="567"/>
      <c r="G1168" s="568" t="s">
        <v>2216</v>
      </c>
      <c r="H1168" s="568" t="s">
        <v>296</v>
      </c>
      <c r="I1168" s="239" t="str">
        <f>IF(ISBLANK(continental!I238),"",continental!I238)</f>
        <v/>
      </c>
      <c r="K1168" s="262" t="s">
        <v>4249</v>
      </c>
      <c r="N1168" s="262" t="s">
        <v>4249</v>
      </c>
    </row>
    <row r="1169" spans="1:14" ht="12.75" customHeight="1" x14ac:dyDescent="0.2">
      <c r="A1169" s="567" t="s">
        <v>1405</v>
      </c>
      <c r="B1169" s="567"/>
      <c r="C1169" s="567"/>
      <c r="D1169" s="567"/>
      <c r="E1169" s="567"/>
      <c r="F1169" s="567"/>
      <c r="G1169" s="567" t="s">
        <v>2217</v>
      </c>
      <c r="H1169" s="567" t="s">
        <v>340</v>
      </c>
      <c r="I1169" s="239" t="str">
        <f>IF(ISBLANK(continental!I239),"",continental!I239)</f>
        <v/>
      </c>
      <c r="K1169" s="262" t="s">
        <v>4249</v>
      </c>
      <c r="N1169" s="262" t="s">
        <v>4249</v>
      </c>
    </row>
    <row r="1170" spans="1:14" ht="12.75" customHeight="1" x14ac:dyDescent="0.2">
      <c r="A1170" s="567"/>
      <c r="B1170" s="567"/>
      <c r="C1170" s="567" t="s">
        <v>717</v>
      </c>
      <c r="D1170" s="567"/>
      <c r="E1170" s="567"/>
      <c r="F1170" s="567"/>
      <c r="G1170" s="567" t="s">
        <v>757</v>
      </c>
      <c r="H1170" s="568" t="s">
        <v>715</v>
      </c>
      <c r="I1170" s="239" t="str">
        <f>IF(ISBLANK(input!I306),"",input!I306)</f>
        <v/>
      </c>
      <c r="K1170" s="262" t="s">
        <v>4249</v>
      </c>
      <c r="N1170" s="262" t="s">
        <v>4249</v>
      </c>
    </row>
    <row r="1171" spans="1:14" ht="12.75" customHeight="1" x14ac:dyDescent="0.2">
      <c r="A1171" s="567"/>
      <c r="B1171" s="567"/>
      <c r="C1171" s="567" t="s">
        <v>1407</v>
      </c>
      <c r="D1171" s="567"/>
      <c r="E1171" s="567"/>
      <c r="F1171" s="567"/>
      <c r="G1171" s="568" t="s">
        <v>2218</v>
      </c>
      <c r="H1171" s="568" t="s">
        <v>873</v>
      </c>
      <c r="I1171" s="239" t="str">
        <f>IF(ISBLANK(continental!I240),"",continental!I240)</f>
        <v/>
      </c>
      <c r="K1171" s="262" t="s">
        <v>4249</v>
      </c>
      <c r="N1171" s="262" t="s">
        <v>4249</v>
      </c>
    </row>
    <row r="1172" spans="1:14" ht="12.75" customHeight="1" x14ac:dyDescent="0.2">
      <c r="A1172" s="567"/>
      <c r="B1172" s="567"/>
      <c r="C1172" s="567" t="s">
        <v>1409</v>
      </c>
      <c r="D1172" s="567"/>
      <c r="E1172" s="567"/>
      <c r="F1172" s="567"/>
      <c r="G1172" s="567" t="s">
        <v>2219</v>
      </c>
      <c r="H1172" s="567" t="s">
        <v>907</v>
      </c>
      <c r="I1172" s="239" t="str">
        <f>IF(ISBLANK(continental!I241),"",continental!I241)</f>
        <v/>
      </c>
      <c r="K1172" s="262" t="s">
        <v>4249</v>
      </c>
      <c r="N1172" s="262" t="s">
        <v>4249</v>
      </c>
    </row>
    <row r="1173" spans="1:14" ht="12.75" customHeight="1" x14ac:dyDescent="0.2">
      <c r="A1173" s="567"/>
      <c r="B1173" s="567"/>
      <c r="C1173" s="567" t="s">
        <v>1411</v>
      </c>
      <c r="D1173" s="567"/>
      <c r="E1173" s="567"/>
      <c r="F1173" s="567"/>
      <c r="G1173" s="568" t="s">
        <v>2220</v>
      </c>
      <c r="H1173" s="568" t="s">
        <v>296</v>
      </c>
      <c r="I1173" s="239" t="str">
        <f>IF(ISBLANK(continental!I242),"",continental!I242)</f>
        <v/>
      </c>
      <c r="K1173" s="262" t="s">
        <v>4249</v>
      </c>
      <c r="N1173" s="262" t="s">
        <v>4249</v>
      </c>
    </row>
    <row r="1174" spans="1:14" ht="12.75" customHeight="1" x14ac:dyDescent="0.2">
      <c r="A1174" s="567" t="s">
        <v>1413</v>
      </c>
      <c r="B1174" s="567"/>
      <c r="C1174" s="567"/>
      <c r="D1174" s="567"/>
      <c r="E1174" s="567"/>
      <c r="F1174" s="567"/>
      <c r="G1174" s="568" t="s">
        <v>2221</v>
      </c>
      <c r="H1174" s="568" t="s">
        <v>340</v>
      </c>
      <c r="I1174" s="239" t="str">
        <f>IF(ISBLANK(continental!I243),"",continental!I243)</f>
        <v/>
      </c>
      <c r="K1174" s="262" t="s">
        <v>4249</v>
      </c>
      <c r="N1174" s="262" t="s">
        <v>4249</v>
      </c>
    </row>
    <row r="1175" spans="1:14" ht="12.75" customHeight="1" x14ac:dyDescent="0.2">
      <c r="A1175" s="567"/>
      <c r="B1175" s="567" t="s">
        <v>719</v>
      </c>
      <c r="C1175" s="567"/>
      <c r="D1175" s="567"/>
      <c r="E1175" s="567"/>
      <c r="F1175" s="567"/>
      <c r="G1175" s="567" t="s">
        <v>758</v>
      </c>
      <c r="H1175" s="568" t="s">
        <v>715</v>
      </c>
      <c r="I1175" s="239" t="str">
        <f>IF(ISBLANK(input!I307),"",input!I307)</f>
        <v/>
      </c>
      <c r="K1175" s="262" t="s">
        <v>4249</v>
      </c>
      <c r="N1175" s="262" t="s">
        <v>4249</v>
      </c>
    </row>
    <row r="1176" spans="1:14" ht="12.75" customHeight="1" x14ac:dyDescent="0.2">
      <c r="A1176" s="567"/>
      <c r="B1176" s="567" t="s">
        <v>1415</v>
      </c>
      <c r="C1176" s="567"/>
      <c r="D1176" s="567"/>
      <c r="E1176" s="567"/>
      <c r="F1176" s="567"/>
      <c r="G1176" s="568" t="s">
        <v>2222</v>
      </c>
      <c r="H1176" s="568" t="s">
        <v>873</v>
      </c>
      <c r="I1176" s="239" t="str">
        <f>IF(ISBLANK(continental!I244),"",continental!I244)</f>
        <v/>
      </c>
      <c r="K1176" s="262" t="s">
        <v>4249</v>
      </c>
      <c r="N1176" s="262" t="s">
        <v>4249</v>
      </c>
    </row>
    <row r="1177" spans="1:14" ht="12.75" customHeight="1" x14ac:dyDescent="0.2">
      <c r="A1177" s="567"/>
      <c r="B1177" s="567" t="s">
        <v>1417</v>
      </c>
      <c r="C1177" s="567"/>
      <c r="D1177" s="567"/>
      <c r="E1177" s="567"/>
      <c r="F1177" s="567"/>
      <c r="G1177" s="567" t="s">
        <v>2223</v>
      </c>
      <c r="H1177" s="567" t="s">
        <v>907</v>
      </c>
      <c r="I1177" s="239" t="str">
        <f>IF(ISBLANK(continental!I245),"",continental!I245)</f>
        <v/>
      </c>
      <c r="K1177" s="262" t="s">
        <v>4249</v>
      </c>
      <c r="N1177" s="262" t="s">
        <v>4249</v>
      </c>
    </row>
    <row r="1178" spans="1:14" ht="12.75" customHeight="1" x14ac:dyDescent="0.2">
      <c r="A1178" s="567"/>
      <c r="B1178" s="567" t="s">
        <v>1419</v>
      </c>
      <c r="C1178" s="567"/>
      <c r="D1178" s="567"/>
      <c r="E1178" s="567"/>
      <c r="F1178" s="567"/>
      <c r="G1178" s="568" t="s">
        <v>2224</v>
      </c>
      <c r="H1178" s="568" t="s">
        <v>296</v>
      </c>
      <c r="I1178" s="239" t="str">
        <f>IF(ISBLANK(continental!I246),"",continental!I246)</f>
        <v/>
      </c>
      <c r="K1178" s="262" t="s">
        <v>4249</v>
      </c>
      <c r="N1178" s="262" t="s">
        <v>4249</v>
      </c>
    </row>
    <row r="1179" spans="1:14" ht="12.75" customHeight="1" x14ac:dyDescent="0.2">
      <c r="A1179" s="410" t="s">
        <v>1421</v>
      </c>
      <c r="B1179" s="410"/>
      <c r="C1179" s="410"/>
      <c r="D1179" s="410"/>
      <c r="E1179" s="410"/>
      <c r="F1179" s="410"/>
      <c r="G1179" s="655"/>
      <c r="H1179" s="655"/>
      <c r="I1179" s="239" t="str">
        <f>IF(ISBLANK(continental!I247),"",continental!I247)</f>
        <v/>
      </c>
      <c r="K1179" s="262" t="s">
        <v>4249</v>
      </c>
      <c r="N1179" s="262" t="s">
        <v>4249</v>
      </c>
    </row>
    <row r="1180" spans="1:14" ht="12.75" customHeight="1" x14ac:dyDescent="0.2">
      <c r="A1180" s="567" t="s">
        <v>1422</v>
      </c>
      <c r="B1180" s="567"/>
      <c r="C1180" s="567"/>
      <c r="D1180" s="567"/>
      <c r="E1180" s="567"/>
      <c r="F1180" s="567"/>
      <c r="G1180" s="567" t="s">
        <v>2225</v>
      </c>
      <c r="H1180" s="567" t="s">
        <v>340</v>
      </c>
      <c r="I1180" s="239" t="str">
        <f>IF(ISBLANK(continental!I248),"",continental!I248)</f>
        <v/>
      </c>
      <c r="K1180" s="262" t="s">
        <v>4249</v>
      </c>
      <c r="N1180" s="262" t="s">
        <v>4249</v>
      </c>
    </row>
    <row r="1181" spans="1:14" ht="12.75" customHeight="1" x14ac:dyDescent="0.2">
      <c r="A1181" s="567"/>
      <c r="B1181" s="567" t="s">
        <v>1424</v>
      </c>
      <c r="C1181" s="567"/>
      <c r="D1181" s="567"/>
      <c r="E1181" s="567"/>
      <c r="F1181" s="567"/>
      <c r="G1181" s="567" t="s">
        <v>2226</v>
      </c>
      <c r="H1181" s="567" t="s">
        <v>715</v>
      </c>
      <c r="I1181" s="239" t="str">
        <f>IF(ISBLANK(continental!I249),"",continental!I249)</f>
        <v/>
      </c>
      <c r="K1181" s="262" t="s">
        <v>4249</v>
      </c>
      <c r="N1181" s="262" t="s">
        <v>4249</v>
      </c>
    </row>
    <row r="1182" spans="1:14" ht="12.75" customHeight="1" x14ac:dyDescent="0.2">
      <c r="A1182" s="567"/>
      <c r="B1182" s="567" t="s">
        <v>1426</v>
      </c>
      <c r="C1182" s="567"/>
      <c r="D1182" s="567"/>
      <c r="E1182" s="567"/>
      <c r="F1182" s="567"/>
      <c r="G1182" s="567" t="s">
        <v>2227</v>
      </c>
      <c r="H1182" s="567" t="s">
        <v>340</v>
      </c>
      <c r="I1182" s="239" t="str">
        <f>IF(ISBLANK(continental!I250),"",continental!I250)</f>
        <v/>
      </c>
      <c r="K1182" s="262" t="s">
        <v>4249</v>
      </c>
      <c r="N1182" s="262" t="s">
        <v>4249</v>
      </c>
    </row>
    <row r="1183" spans="1:14" ht="12.75" customHeight="1" x14ac:dyDescent="0.2">
      <c r="A1183" s="567"/>
      <c r="B1183" s="567"/>
      <c r="C1183" s="567" t="s">
        <v>1428</v>
      </c>
      <c r="D1183" s="567"/>
      <c r="E1183" s="567"/>
      <c r="F1183" s="567"/>
      <c r="G1183" s="568" t="s">
        <v>2228</v>
      </c>
      <c r="H1183" s="568" t="s">
        <v>340</v>
      </c>
      <c r="I1183" s="239" t="str">
        <f>IF(ISBLANK(continental!I251),"",continental!I251)</f>
        <v/>
      </c>
      <c r="K1183" s="262" t="s">
        <v>4249</v>
      </c>
      <c r="N1183" s="262" t="s">
        <v>4249</v>
      </c>
    </row>
    <row r="1184" spans="1:14" ht="12.75" customHeight="1" x14ac:dyDescent="0.2">
      <c r="A1184" s="567"/>
      <c r="B1184" s="567"/>
      <c r="C1184" s="567"/>
      <c r="D1184" s="567" t="s">
        <v>1430</v>
      </c>
      <c r="E1184" s="567"/>
      <c r="F1184" s="567"/>
      <c r="G1184" s="567" t="s">
        <v>2229</v>
      </c>
      <c r="H1184" s="567" t="s">
        <v>340</v>
      </c>
      <c r="I1184" s="239" t="str">
        <f>IF(ISBLANK(continental!I252),"",continental!I252)</f>
        <v/>
      </c>
      <c r="K1184" s="262" t="s">
        <v>4249</v>
      </c>
      <c r="N1184" s="262" t="s">
        <v>4249</v>
      </c>
    </row>
    <row r="1185" spans="1:14" ht="12.75" customHeight="1" x14ac:dyDescent="0.2">
      <c r="A1185" s="567" t="s">
        <v>1433</v>
      </c>
      <c r="B1185" s="567"/>
      <c r="C1185" s="567"/>
      <c r="D1185" s="567"/>
      <c r="E1185" s="567"/>
      <c r="F1185" s="567"/>
      <c r="G1185" s="568" t="s">
        <v>2230</v>
      </c>
      <c r="H1185" s="568" t="s">
        <v>340</v>
      </c>
      <c r="I1185" s="239" t="str">
        <f>IF(ISBLANK(continental!I253),"",continental!I253)</f>
        <v/>
      </c>
      <c r="K1185" s="262" t="s">
        <v>4249</v>
      </c>
      <c r="N1185" s="262" t="s">
        <v>4249</v>
      </c>
    </row>
    <row r="1186" spans="1:14" ht="12.75" customHeight="1" x14ac:dyDescent="0.2">
      <c r="A1186" s="567"/>
      <c r="B1186" s="567" t="s">
        <v>1435</v>
      </c>
      <c r="C1186" s="567"/>
      <c r="D1186" s="567"/>
      <c r="E1186" s="567"/>
      <c r="F1186" s="567"/>
      <c r="G1186" s="568" t="s">
        <v>2231</v>
      </c>
      <c r="H1186" s="568" t="s">
        <v>715</v>
      </c>
      <c r="I1186" s="239" t="str">
        <f>IF(ISBLANK(continental!I254),"",continental!I254)</f>
        <v/>
      </c>
      <c r="K1186" s="262" t="s">
        <v>4249</v>
      </c>
      <c r="N1186" s="262" t="s">
        <v>4249</v>
      </c>
    </row>
    <row r="1187" spans="1:14" ht="12.75" customHeight="1" x14ac:dyDescent="0.2">
      <c r="A1187" s="567"/>
      <c r="B1187" s="567" t="s">
        <v>1438</v>
      </c>
      <c r="C1187" s="567"/>
      <c r="D1187" s="567"/>
      <c r="E1187" s="567"/>
      <c r="F1187" s="567"/>
      <c r="G1187" s="568" t="s">
        <v>2232</v>
      </c>
      <c r="H1187" s="568" t="s">
        <v>340</v>
      </c>
      <c r="I1187" s="239" t="str">
        <f>IF(ISBLANK(continental!I255),"",continental!I255)</f>
        <v/>
      </c>
      <c r="K1187" s="262" t="s">
        <v>4249</v>
      </c>
      <c r="N1187" s="262" t="s">
        <v>4249</v>
      </c>
    </row>
    <row r="1188" spans="1:14" ht="12.75" customHeight="1" x14ac:dyDescent="0.2">
      <c r="A1188" s="567"/>
      <c r="B1188" s="567"/>
      <c r="C1188" s="567" t="s">
        <v>1428</v>
      </c>
      <c r="D1188" s="567"/>
      <c r="E1188" s="567"/>
      <c r="F1188" s="567"/>
      <c r="G1188" s="568" t="s">
        <v>2233</v>
      </c>
      <c r="H1188" s="568" t="s">
        <v>340</v>
      </c>
      <c r="I1188" s="239" t="str">
        <f>IF(ISBLANK(continental!I256),"",continental!I256)</f>
        <v/>
      </c>
      <c r="K1188" s="262" t="s">
        <v>4249</v>
      </c>
      <c r="N1188" s="262" t="s">
        <v>4249</v>
      </c>
    </row>
    <row r="1189" spans="1:14" ht="12.75" customHeight="1" x14ac:dyDescent="0.2">
      <c r="A1189" s="567"/>
      <c r="B1189" s="567"/>
      <c r="C1189" s="567"/>
      <c r="D1189" s="567" t="s">
        <v>1441</v>
      </c>
      <c r="E1189" s="567"/>
      <c r="F1189" s="567"/>
      <c r="G1189" s="568" t="s">
        <v>2234</v>
      </c>
      <c r="H1189" s="568" t="s">
        <v>340</v>
      </c>
      <c r="I1189" s="239" t="str">
        <f>IF(ISBLANK(continental!I257),"",continental!I257)</f>
        <v/>
      </c>
      <c r="K1189" s="262" t="s">
        <v>4249</v>
      </c>
      <c r="N1189" s="262" t="s">
        <v>4249</v>
      </c>
    </row>
    <row r="1190" spans="1:14" ht="12.75" customHeight="1" x14ac:dyDescent="0.2">
      <c r="A1190" s="567" t="s">
        <v>1444</v>
      </c>
      <c r="B1190" s="567"/>
      <c r="C1190" s="567"/>
      <c r="D1190" s="567"/>
      <c r="E1190" s="567"/>
      <c r="F1190" s="567"/>
      <c r="G1190" s="568" t="s">
        <v>2235</v>
      </c>
      <c r="H1190" s="568" t="s">
        <v>340</v>
      </c>
      <c r="I1190" s="239" t="str">
        <f>IF(ISBLANK(continental!I258),"",continental!I258)</f>
        <v/>
      </c>
      <c r="K1190" s="262" t="s">
        <v>4249</v>
      </c>
      <c r="N1190" s="262" t="s">
        <v>4249</v>
      </c>
    </row>
    <row r="1191" spans="1:14" ht="12.75" customHeight="1" x14ac:dyDescent="0.2">
      <c r="A1191" s="567"/>
      <c r="B1191" s="567" t="s">
        <v>1446</v>
      </c>
      <c r="C1191" s="567"/>
      <c r="D1191" s="567"/>
      <c r="E1191" s="567"/>
      <c r="F1191" s="567"/>
      <c r="G1191" s="568" t="s">
        <v>2236</v>
      </c>
      <c r="H1191" s="568" t="s">
        <v>715</v>
      </c>
      <c r="I1191" s="239" t="str">
        <f>IF(ISBLANK(continental!I259),"",continental!I259)</f>
        <v/>
      </c>
      <c r="K1191" s="262" t="s">
        <v>4249</v>
      </c>
      <c r="N1191" s="262" t="s">
        <v>4249</v>
      </c>
    </row>
    <row r="1192" spans="1:14" ht="12.75" customHeight="1" x14ac:dyDescent="0.2">
      <c r="A1192" s="567"/>
      <c r="B1192" s="567" t="s">
        <v>1449</v>
      </c>
      <c r="C1192" s="567"/>
      <c r="D1192" s="567"/>
      <c r="E1192" s="567"/>
      <c r="F1192" s="567"/>
      <c r="G1192" s="568" t="s">
        <v>2237</v>
      </c>
      <c r="H1192" s="568" t="s">
        <v>340</v>
      </c>
      <c r="I1192" s="239" t="str">
        <f>IF(ISBLANK(continental!I260),"",continental!I260)</f>
        <v/>
      </c>
      <c r="K1192" s="262" t="s">
        <v>4249</v>
      </c>
      <c r="N1192" s="262" t="s">
        <v>4249</v>
      </c>
    </row>
    <row r="1193" spans="1:14" ht="12.75" customHeight="1" x14ac:dyDescent="0.2">
      <c r="A1193" s="567"/>
      <c r="B1193" s="567"/>
      <c r="C1193" s="567" t="s">
        <v>1428</v>
      </c>
      <c r="D1193" s="567"/>
      <c r="E1193" s="567"/>
      <c r="F1193" s="567"/>
      <c r="G1193" s="568" t="s">
        <v>2238</v>
      </c>
      <c r="H1193" s="568" t="s">
        <v>340</v>
      </c>
      <c r="I1193" s="239" t="str">
        <f>IF(ISBLANK(continental!I261),"",continental!I261)</f>
        <v/>
      </c>
      <c r="K1193" s="262" t="s">
        <v>4249</v>
      </c>
      <c r="N1193" s="262" t="s">
        <v>4249</v>
      </c>
    </row>
    <row r="1194" spans="1:14" ht="12.75" customHeight="1" x14ac:dyDescent="0.2">
      <c r="A1194" s="567"/>
      <c r="B1194" s="567"/>
      <c r="C1194" s="567"/>
      <c r="D1194" s="567" t="s">
        <v>1452</v>
      </c>
      <c r="E1194" s="567"/>
      <c r="F1194" s="567"/>
      <c r="G1194" s="568" t="s">
        <v>2239</v>
      </c>
      <c r="H1194" s="568" t="s">
        <v>340</v>
      </c>
      <c r="I1194" s="239" t="str">
        <f>IF(ISBLANK(continental!I262),"",continental!I262)</f>
        <v/>
      </c>
      <c r="K1194" s="262" t="s">
        <v>4249</v>
      </c>
      <c r="N1194" s="262" t="s">
        <v>4249</v>
      </c>
    </row>
    <row r="1195" spans="1:14" ht="12.75" customHeight="1" x14ac:dyDescent="0.2">
      <c r="A1195" s="567"/>
      <c r="B1195" s="567"/>
      <c r="C1195" s="567" t="s">
        <v>1454</v>
      </c>
      <c r="D1195" s="567"/>
      <c r="E1195" s="567"/>
      <c r="F1195" s="567"/>
      <c r="G1195" s="567" t="s">
        <v>2240</v>
      </c>
      <c r="H1195" s="567" t="s">
        <v>340</v>
      </c>
      <c r="I1195" s="239" t="str">
        <f>IF(ISBLANK(continental!I263),"",continental!I263)</f>
        <v/>
      </c>
      <c r="K1195" s="262" t="s">
        <v>4249</v>
      </c>
      <c r="N1195" s="262" t="s">
        <v>4249</v>
      </c>
    </row>
    <row r="1196" spans="1:14" ht="12.75" customHeight="1" x14ac:dyDescent="0.2">
      <c r="A1196" s="567"/>
      <c r="B1196" s="567"/>
      <c r="C1196" s="567" t="s">
        <v>1456</v>
      </c>
      <c r="D1196" s="567"/>
      <c r="E1196" s="567"/>
      <c r="F1196" s="567"/>
      <c r="G1196" s="568" t="s">
        <v>2241</v>
      </c>
      <c r="H1196" s="568" t="s">
        <v>340</v>
      </c>
      <c r="I1196" s="239" t="str">
        <f>IF(ISBLANK(continental!I264),"",continental!I264)</f>
        <v/>
      </c>
      <c r="K1196" s="262" t="s">
        <v>4249</v>
      </c>
      <c r="N1196" s="262" t="s">
        <v>4249</v>
      </c>
    </row>
    <row r="1197" spans="1:14" ht="12.75" customHeight="1" x14ac:dyDescent="0.2">
      <c r="A1197" s="410" t="s">
        <v>1458</v>
      </c>
      <c r="B1197" s="410"/>
      <c r="C1197" s="410"/>
      <c r="D1197" s="410"/>
      <c r="E1197" s="410"/>
      <c r="F1197" s="410"/>
      <c r="G1197" s="655"/>
      <c r="H1197" s="655"/>
      <c r="I1197" s="239" t="str">
        <f>IF(ISBLANK(continental!I265),"",continental!I265)</f>
        <v/>
      </c>
      <c r="K1197" s="262" t="s">
        <v>4249</v>
      </c>
      <c r="N1197" s="262" t="s">
        <v>4249</v>
      </c>
    </row>
    <row r="1198" spans="1:14" ht="12.75" customHeight="1" x14ac:dyDescent="0.2">
      <c r="A1198" s="567" t="s">
        <v>1459</v>
      </c>
      <c r="B1198" s="567"/>
      <c r="C1198" s="567"/>
      <c r="D1198" s="567"/>
      <c r="E1198" s="567"/>
      <c r="F1198" s="567"/>
      <c r="G1198" s="568" t="s">
        <v>2242</v>
      </c>
      <c r="H1198" s="568" t="s">
        <v>340</v>
      </c>
      <c r="I1198" s="239" t="str">
        <f>IF(ISBLANK(continental!I266),"",continental!I266)</f>
        <v/>
      </c>
      <c r="K1198" s="262" t="s">
        <v>4249</v>
      </c>
      <c r="N1198" s="262" t="s">
        <v>4249</v>
      </c>
    </row>
    <row r="1199" spans="1:14" ht="12.75" customHeight="1" x14ac:dyDescent="0.2">
      <c r="A1199" s="567"/>
      <c r="B1199" s="567" t="s">
        <v>1461</v>
      </c>
      <c r="C1199" s="567"/>
      <c r="D1199" s="567"/>
      <c r="E1199" s="567"/>
      <c r="F1199" s="567"/>
      <c r="G1199" s="568" t="s">
        <v>2243</v>
      </c>
      <c r="H1199" s="568" t="s">
        <v>715</v>
      </c>
      <c r="I1199" s="239" t="str">
        <f>IF(ISBLANK(continental!I267),"",continental!I267)</f>
        <v/>
      </c>
      <c r="K1199" s="262" t="s">
        <v>4249</v>
      </c>
      <c r="N1199" s="262" t="s">
        <v>4249</v>
      </c>
    </row>
    <row r="1200" spans="1:14" ht="12.75" customHeight="1" x14ac:dyDescent="0.2">
      <c r="A1200" s="567"/>
      <c r="B1200" s="567" t="s">
        <v>1464</v>
      </c>
      <c r="C1200" s="567"/>
      <c r="D1200" s="567"/>
      <c r="E1200" s="567"/>
      <c r="F1200" s="567"/>
      <c r="G1200" s="568" t="s">
        <v>2244</v>
      </c>
      <c r="H1200" s="567" t="s">
        <v>340</v>
      </c>
      <c r="I1200" s="239" t="str">
        <f>IF(ISBLANK(continental!I268),"",continental!I268)</f>
        <v/>
      </c>
      <c r="K1200" s="262" t="s">
        <v>4249</v>
      </c>
      <c r="N1200" s="262" t="s">
        <v>4249</v>
      </c>
    </row>
    <row r="1201" spans="1:14" ht="12.75" customHeight="1" x14ac:dyDescent="0.2">
      <c r="A1201" s="567"/>
      <c r="B1201" s="567"/>
      <c r="C1201" s="567" t="s">
        <v>1466</v>
      </c>
      <c r="D1201" s="567"/>
      <c r="E1201" s="567"/>
      <c r="F1201" s="567"/>
      <c r="G1201" s="568" t="s">
        <v>2245</v>
      </c>
      <c r="H1201" s="568" t="s">
        <v>340</v>
      </c>
      <c r="I1201" s="239" t="str">
        <f>IF(ISBLANK(continental!I269),"",continental!I269)</f>
        <v/>
      </c>
      <c r="K1201" s="262" t="s">
        <v>4249</v>
      </c>
      <c r="N1201" s="262" t="s">
        <v>4249</v>
      </c>
    </row>
    <row r="1202" spans="1:14" ht="12.75" customHeight="1" x14ac:dyDescent="0.2">
      <c r="A1202" s="567" t="s">
        <v>1468</v>
      </c>
      <c r="B1202" s="567"/>
      <c r="C1202" s="567"/>
      <c r="D1202" s="567"/>
      <c r="E1202" s="567"/>
      <c r="F1202" s="567"/>
      <c r="G1202" s="568" t="s">
        <v>2246</v>
      </c>
      <c r="H1202" s="568" t="s">
        <v>340</v>
      </c>
      <c r="I1202" s="239" t="str">
        <f>IF(ISBLANK(continental!I270),"",continental!I270)</f>
        <v/>
      </c>
      <c r="K1202" s="262" t="s">
        <v>4249</v>
      </c>
      <c r="N1202" s="262" t="s">
        <v>4249</v>
      </c>
    </row>
    <row r="1203" spans="1:14" ht="12.75" customHeight="1" x14ac:dyDescent="0.2">
      <c r="A1203" s="567"/>
      <c r="B1203" s="567" t="s">
        <v>1470</v>
      </c>
      <c r="C1203" s="567"/>
      <c r="D1203" s="567"/>
      <c r="E1203" s="567"/>
      <c r="F1203" s="567"/>
      <c r="G1203" s="568" t="s">
        <v>2247</v>
      </c>
      <c r="H1203" s="568" t="s">
        <v>715</v>
      </c>
      <c r="I1203" s="239" t="str">
        <f>IF(ISBLANK(continental!I271),"",continental!I271)</f>
        <v/>
      </c>
      <c r="K1203" s="262" t="s">
        <v>4249</v>
      </c>
      <c r="N1203" s="262" t="s">
        <v>4249</v>
      </c>
    </row>
    <row r="1204" spans="1:14" ht="12.75" customHeight="1" x14ac:dyDescent="0.2">
      <c r="A1204" s="567"/>
      <c r="B1204" s="567" t="s">
        <v>1473</v>
      </c>
      <c r="C1204" s="567"/>
      <c r="D1204" s="567"/>
      <c r="E1204" s="567"/>
      <c r="F1204" s="567"/>
      <c r="G1204" s="568" t="s">
        <v>2248</v>
      </c>
      <c r="H1204" s="567" t="s">
        <v>340</v>
      </c>
      <c r="I1204" s="239" t="str">
        <f>IF(ISBLANK(continental!I272),"",continental!I272)</f>
        <v/>
      </c>
      <c r="K1204" s="262" t="s">
        <v>4249</v>
      </c>
      <c r="N1204" s="262" t="s">
        <v>4249</v>
      </c>
    </row>
    <row r="1205" spans="1:14" ht="12.75" customHeight="1" x14ac:dyDescent="0.2">
      <c r="A1205" s="567"/>
      <c r="B1205" s="567"/>
      <c r="C1205" s="567" t="s">
        <v>1466</v>
      </c>
      <c r="D1205" s="567"/>
      <c r="E1205" s="567"/>
      <c r="F1205" s="567"/>
      <c r="G1205" s="568" t="s">
        <v>2249</v>
      </c>
      <c r="H1205" s="568" t="s">
        <v>340</v>
      </c>
      <c r="I1205" s="239" t="str">
        <f>IF(ISBLANK(continental!I273),"",continental!I273)</f>
        <v/>
      </c>
      <c r="J1205" s="228"/>
      <c r="K1205" s="262" t="s">
        <v>4249</v>
      </c>
      <c r="N1205" s="262" t="s">
        <v>4249</v>
      </c>
    </row>
    <row r="1206" spans="1:14" ht="12.75" customHeight="1" x14ac:dyDescent="0.2">
      <c r="A1206" s="567" t="s">
        <v>1476</v>
      </c>
      <c r="B1206" s="567"/>
      <c r="C1206" s="567"/>
      <c r="D1206" s="567"/>
      <c r="E1206" s="567"/>
      <c r="F1206" s="567"/>
      <c r="G1206" s="568" t="s">
        <v>2250</v>
      </c>
      <c r="H1206" s="568" t="s">
        <v>340</v>
      </c>
      <c r="I1206" s="239" t="str">
        <f>IF(ISBLANK(continental!I274),"",continental!I274)</f>
        <v/>
      </c>
      <c r="J1206" s="411"/>
      <c r="K1206" s="262" t="s">
        <v>4249</v>
      </c>
      <c r="N1206" s="262" t="s">
        <v>4249</v>
      </c>
    </row>
    <row r="1207" spans="1:14" ht="12.75" customHeight="1" x14ac:dyDescent="0.2">
      <c r="A1207" s="567"/>
      <c r="B1207" s="567" t="s">
        <v>1470</v>
      </c>
      <c r="C1207" s="567"/>
      <c r="D1207" s="567"/>
      <c r="E1207" s="567"/>
      <c r="F1207" s="567"/>
      <c r="G1207" s="568" t="s">
        <v>2251</v>
      </c>
      <c r="H1207" s="568" t="s">
        <v>715</v>
      </c>
      <c r="I1207" s="239" t="str">
        <f>IF(ISBLANK(continental!I275),"",continental!I275)</f>
        <v/>
      </c>
      <c r="J1207" s="228"/>
      <c r="K1207" s="262" t="s">
        <v>4249</v>
      </c>
      <c r="N1207" s="262" t="s">
        <v>4249</v>
      </c>
    </row>
    <row r="1208" spans="1:14" ht="12.75" customHeight="1" x14ac:dyDescent="0.2">
      <c r="A1208" s="567"/>
      <c r="B1208" s="567" t="s">
        <v>1481</v>
      </c>
      <c r="C1208" s="567"/>
      <c r="D1208" s="567"/>
      <c r="E1208" s="567"/>
      <c r="F1208" s="567"/>
      <c r="G1208" s="568" t="s">
        <v>2252</v>
      </c>
      <c r="H1208" s="567" t="s">
        <v>340</v>
      </c>
      <c r="I1208" s="239" t="str">
        <f>IF(ISBLANK(continental!I276),"",continental!I276)</f>
        <v/>
      </c>
      <c r="K1208" s="262" t="s">
        <v>4249</v>
      </c>
      <c r="N1208" s="262" t="s">
        <v>4249</v>
      </c>
    </row>
    <row r="1209" spans="1:14" ht="12.75" customHeight="1" x14ac:dyDescent="0.2">
      <c r="A1209" s="567"/>
      <c r="B1209" s="567"/>
      <c r="C1209" s="567" t="s">
        <v>1466</v>
      </c>
      <c r="D1209" s="567"/>
      <c r="E1209" s="567"/>
      <c r="F1209" s="567"/>
      <c r="G1209" s="568" t="s">
        <v>2253</v>
      </c>
      <c r="H1209" s="568" t="s">
        <v>340</v>
      </c>
      <c r="I1209" s="239" t="str">
        <f>IF(ISBLANK(continental!I277),"",continental!I277)</f>
        <v/>
      </c>
      <c r="K1209" s="262" t="s">
        <v>4249</v>
      </c>
      <c r="N1209" s="262" t="s">
        <v>4249</v>
      </c>
    </row>
    <row r="1210" spans="1:14" ht="12.75" customHeight="1" x14ac:dyDescent="0.2">
      <c r="A1210" s="567"/>
      <c r="B1210" s="567"/>
      <c r="C1210" s="567" t="s">
        <v>1484</v>
      </c>
      <c r="D1210" s="567"/>
      <c r="E1210" s="567"/>
      <c r="F1210" s="567"/>
      <c r="G1210" s="568" t="s">
        <v>2254</v>
      </c>
      <c r="H1210" s="568" t="s">
        <v>340</v>
      </c>
      <c r="I1210" s="239" t="str">
        <f>IF(ISBLANK(continental!I278),"",continental!I278)</f>
        <v/>
      </c>
      <c r="K1210" s="262" t="s">
        <v>4249</v>
      </c>
      <c r="N1210" s="262" t="s">
        <v>4249</v>
      </c>
    </row>
    <row r="1211" spans="1:14" ht="12.75" customHeight="1" x14ac:dyDescent="0.2">
      <c r="A1211" s="567"/>
      <c r="B1211" s="567"/>
      <c r="C1211" s="567" t="s">
        <v>2255</v>
      </c>
      <c r="D1211" s="567"/>
      <c r="E1211" s="567"/>
      <c r="F1211" s="567"/>
      <c r="G1211" s="568" t="s">
        <v>2256</v>
      </c>
      <c r="H1211" s="568" t="s">
        <v>340</v>
      </c>
      <c r="I1211" s="239" t="str">
        <f>IF(ISBLANK(continental!I279),"",continental!I279)</f>
        <v/>
      </c>
      <c r="K1211" s="262" t="s">
        <v>4249</v>
      </c>
      <c r="N1211" s="262" t="s">
        <v>4249</v>
      </c>
    </row>
    <row r="1212" spans="1:14" ht="12.75" customHeight="1" x14ac:dyDescent="0.2">
      <c r="A1212" s="410" t="s">
        <v>1488</v>
      </c>
      <c r="I1212" s="239" t="str">
        <f>IF(ISBLANK(continental!I280),"",continental!I280)</f>
        <v/>
      </c>
      <c r="K1212" s="262" t="s">
        <v>4249</v>
      </c>
      <c r="N1212" s="262" t="s">
        <v>4249</v>
      </c>
    </row>
    <row r="1213" spans="1:14" ht="12.75" customHeight="1" x14ac:dyDescent="0.2">
      <c r="A1213" s="567" t="s">
        <v>1489</v>
      </c>
      <c r="B1213" s="567"/>
      <c r="C1213" s="567"/>
      <c r="D1213" s="567"/>
      <c r="E1213" s="567"/>
      <c r="F1213" s="567"/>
      <c r="G1213" s="568" t="s">
        <v>2257</v>
      </c>
      <c r="H1213" s="568" t="s">
        <v>340</v>
      </c>
      <c r="I1213" s="239" t="str">
        <f>IF(ISBLANK(continental!I281),"",continental!I281)</f>
        <v/>
      </c>
      <c r="K1213" s="262" t="s">
        <v>4249</v>
      </c>
      <c r="N1213" s="262" t="s">
        <v>4249</v>
      </c>
    </row>
    <row r="1214" spans="1:14" ht="12.75" customHeight="1" x14ac:dyDescent="0.2">
      <c r="A1214" s="567"/>
      <c r="B1214" s="567" t="s">
        <v>1491</v>
      </c>
      <c r="C1214" s="567"/>
      <c r="D1214" s="567"/>
      <c r="E1214" s="567"/>
      <c r="F1214" s="567"/>
      <c r="G1214" s="567" t="s">
        <v>2259</v>
      </c>
      <c r="H1214" s="567" t="s">
        <v>715</v>
      </c>
      <c r="I1214" s="239" t="str">
        <f>IF(ISBLANK(continental!I282),"",continental!I282)</f>
        <v/>
      </c>
      <c r="K1214" s="262" t="s">
        <v>4249</v>
      </c>
      <c r="N1214" s="262" t="s">
        <v>4249</v>
      </c>
    </row>
    <row r="1215" spans="1:14" ht="12.75" customHeight="1" x14ac:dyDescent="0.2">
      <c r="A1215" s="567" t="s">
        <v>1494</v>
      </c>
      <c r="B1215" s="567"/>
      <c r="C1215" s="567"/>
      <c r="D1215" s="567"/>
      <c r="E1215" s="567"/>
      <c r="F1215" s="567"/>
      <c r="G1215" s="568" t="s">
        <v>2261</v>
      </c>
      <c r="H1215" s="568" t="s">
        <v>340</v>
      </c>
      <c r="I1215" s="239" t="str">
        <f>IF(ISBLANK(continental!I283),"",continental!I283)</f>
        <v/>
      </c>
      <c r="K1215" s="262" t="s">
        <v>4249</v>
      </c>
      <c r="N1215" s="262" t="s">
        <v>4249</v>
      </c>
    </row>
    <row r="1216" spans="1:14" ht="12.75" customHeight="1" x14ac:dyDescent="0.2">
      <c r="A1216" s="567"/>
      <c r="B1216" s="567" t="s">
        <v>1496</v>
      </c>
      <c r="C1216" s="567"/>
      <c r="D1216" s="567"/>
      <c r="E1216" s="567"/>
      <c r="F1216" s="567"/>
      <c r="G1216" s="568" t="s">
        <v>2262</v>
      </c>
      <c r="H1216" s="568" t="s">
        <v>715</v>
      </c>
      <c r="I1216" s="239" t="str">
        <f>IF(ISBLANK(continental!I284),"",continental!I284)</f>
        <v/>
      </c>
      <c r="K1216" s="262" t="s">
        <v>4249</v>
      </c>
      <c r="N1216" s="262" t="s">
        <v>4249</v>
      </c>
    </row>
    <row r="1217" spans="1:14" ht="12.75" customHeight="1" x14ac:dyDescent="0.2">
      <c r="A1217" s="567" t="s">
        <v>1498</v>
      </c>
      <c r="B1217" s="567"/>
      <c r="C1217" s="567"/>
      <c r="D1217" s="567"/>
      <c r="E1217" s="567"/>
      <c r="F1217" s="567"/>
      <c r="G1217" s="568" t="s">
        <v>2263</v>
      </c>
      <c r="H1217" s="568" t="s">
        <v>340</v>
      </c>
      <c r="I1217" s="239" t="str">
        <f>IF(ISBLANK(continental!I285),"",continental!I285)</f>
        <v/>
      </c>
      <c r="K1217" s="262" t="s">
        <v>4249</v>
      </c>
      <c r="N1217" s="262" t="s">
        <v>4249</v>
      </c>
    </row>
    <row r="1218" spans="1:14" ht="12.75" customHeight="1" x14ac:dyDescent="0.2">
      <c r="A1218" s="567"/>
      <c r="B1218" s="567" t="s">
        <v>1500</v>
      </c>
      <c r="C1218" s="567"/>
      <c r="D1218" s="567"/>
      <c r="E1218" s="567"/>
      <c r="F1218" s="567"/>
      <c r="G1218" s="568" t="s">
        <v>2264</v>
      </c>
      <c r="H1218" s="568" t="s">
        <v>715</v>
      </c>
      <c r="I1218" s="239" t="str">
        <f>IF(ISBLANK(continental!I286),"",continental!I286)</f>
        <v/>
      </c>
      <c r="K1218" s="262" t="s">
        <v>4249</v>
      </c>
      <c r="N1218" s="262" t="s">
        <v>4249</v>
      </c>
    </row>
    <row r="1219" spans="1:14" ht="12.75" customHeight="1" x14ac:dyDescent="0.2">
      <c r="A1219" s="567"/>
      <c r="B1219" s="567"/>
      <c r="C1219" s="567" t="s">
        <v>1454</v>
      </c>
      <c r="D1219" s="567"/>
      <c r="E1219" s="567"/>
      <c r="F1219" s="567"/>
      <c r="G1219" s="567" t="s">
        <v>2265</v>
      </c>
      <c r="H1219" s="567" t="s">
        <v>340</v>
      </c>
      <c r="I1219" s="239" t="str">
        <f>IF(ISBLANK(continental!I287),"",continental!I287)</f>
        <v/>
      </c>
      <c r="K1219" s="262" t="s">
        <v>4249</v>
      </c>
      <c r="N1219" s="262" t="s">
        <v>4249</v>
      </c>
    </row>
    <row r="1220" spans="1:14" ht="12.75" customHeight="1" x14ac:dyDescent="0.2">
      <c r="A1220" s="567"/>
      <c r="B1220" s="567"/>
      <c r="C1220" s="567" t="s">
        <v>1456</v>
      </c>
      <c r="D1220" s="567"/>
      <c r="E1220" s="567"/>
      <c r="F1220" s="567"/>
      <c r="G1220" s="568" t="s">
        <v>2266</v>
      </c>
      <c r="H1220" s="568" t="s">
        <v>340</v>
      </c>
      <c r="I1220" s="239" t="str">
        <f>IF(ISBLANK(continental!I288),"",continental!I288)</f>
        <v/>
      </c>
      <c r="K1220" s="262" t="s">
        <v>4249</v>
      </c>
      <c r="N1220" s="262" t="s">
        <v>4249</v>
      </c>
    </row>
    <row r="1221" spans="1:14" ht="12.75" customHeight="1" x14ac:dyDescent="0.2">
      <c r="A1221" s="410" t="s">
        <v>1504</v>
      </c>
      <c r="I1221" s="239" t="str">
        <f>IF(ISBLANK(continental!I289),"",continental!I289)</f>
        <v/>
      </c>
      <c r="K1221" s="262" t="s">
        <v>4249</v>
      </c>
      <c r="N1221" s="262" t="s">
        <v>4249</v>
      </c>
    </row>
    <row r="1222" spans="1:14" ht="12.75" customHeight="1" x14ac:dyDescent="0.2">
      <c r="A1222" s="567" t="s">
        <v>2267</v>
      </c>
      <c r="B1222" s="567"/>
      <c r="C1222" s="567"/>
      <c r="D1222" s="567"/>
      <c r="E1222" s="567"/>
      <c r="F1222" s="567"/>
      <c r="G1222" s="568" t="s">
        <v>2268</v>
      </c>
      <c r="H1222" s="568" t="s">
        <v>340</v>
      </c>
      <c r="I1222" s="239" t="str">
        <f>IF(ISBLANK(continental!I290),"",continental!I290)</f>
        <v/>
      </c>
      <c r="K1222" s="262" t="s">
        <v>4249</v>
      </c>
      <c r="N1222" s="262" t="s">
        <v>4249</v>
      </c>
    </row>
    <row r="1223" spans="1:14" ht="12.75" customHeight="1" x14ac:dyDescent="0.2">
      <c r="A1223" s="567" t="s">
        <v>2269</v>
      </c>
      <c r="B1223" s="567"/>
      <c r="C1223" s="567"/>
      <c r="D1223" s="567"/>
      <c r="E1223" s="567"/>
      <c r="F1223" s="567"/>
      <c r="G1223" s="568" t="s">
        <v>2270</v>
      </c>
      <c r="H1223" s="568" t="s">
        <v>340</v>
      </c>
      <c r="I1223" s="239" t="str">
        <f>IF(ISBLANK(continental!I291),"",continental!I291)</f>
        <v/>
      </c>
      <c r="K1223" s="262" t="s">
        <v>4249</v>
      </c>
      <c r="N1223" s="262" t="s">
        <v>4249</v>
      </c>
    </row>
    <row r="1224" spans="1:14" ht="12.75" customHeight="1" x14ac:dyDescent="0.2">
      <c r="A1224" s="567" t="s">
        <v>2271</v>
      </c>
      <c r="B1224" s="567"/>
      <c r="C1224" s="567"/>
      <c r="D1224" s="567"/>
      <c r="E1224" s="567"/>
      <c r="F1224" s="567"/>
      <c r="G1224" s="568" t="s">
        <v>2272</v>
      </c>
      <c r="H1224" s="568" t="s">
        <v>340</v>
      </c>
      <c r="I1224" s="239" t="str">
        <f>IF(ISBLANK(continental!I292),"",continental!I292)</f>
        <v/>
      </c>
      <c r="K1224" s="262" t="s">
        <v>4249</v>
      </c>
      <c r="N1224" s="262" t="s">
        <v>4249</v>
      </c>
    </row>
    <row r="1225" spans="1:14" ht="12.75" customHeight="1" x14ac:dyDescent="0.2">
      <c r="A1225" s="567"/>
      <c r="B1225" s="567" t="s">
        <v>1511</v>
      </c>
      <c r="C1225" s="567"/>
      <c r="D1225" s="567"/>
      <c r="E1225" s="567"/>
      <c r="F1225" s="567"/>
      <c r="G1225" s="568" t="s">
        <v>2273</v>
      </c>
      <c r="H1225" s="568" t="s">
        <v>1513</v>
      </c>
      <c r="I1225" s="239" t="str">
        <f>IF(ISBLANK(continental!I293),"",continental!I293)</f>
        <v/>
      </c>
      <c r="K1225" s="262" t="s">
        <v>4249</v>
      </c>
      <c r="N1225" s="262" t="s">
        <v>4249</v>
      </c>
    </row>
    <row r="1226" spans="1:14" ht="12.75" customHeight="1" x14ac:dyDescent="0.2">
      <c r="A1226" s="567"/>
      <c r="B1226" s="567" t="s">
        <v>1514</v>
      </c>
      <c r="C1226" s="567"/>
      <c r="D1226" s="567"/>
      <c r="E1226" s="567"/>
      <c r="F1226" s="567"/>
      <c r="G1226" s="567" t="s">
        <v>2274</v>
      </c>
      <c r="H1226" s="568" t="s">
        <v>873</v>
      </c>
      <c r="I1226" s="239" t="str">
        <f>IF(ISBLANK(continental!I294),"",continental!I294)</f>
        <v/>
      </c>
      <c r="K1226" s="262" t="s">
        <v>4249</v>
      </c>
      <c r="N1226" s="262" t="s">
        <v>4249</v>
      </c>
    </row>
    <row r="1227" spans="1:14" ht="12.75" customHeight="1" x14ac:dyDescent="0.2">
      <c r="A1227" s="567"/>
      <c r="B1227" s="567" t="s">
        <v>1517</v>
      </c>
      <c r="C1227" s="567"/>
      <c r="D1227" s="567"/>
      <c r="E1227" s="567"/>
      <c r="F1227" s="567"/>
      <c r="G1227" s="568" t="s">
        <v>2275</v>
      </c>
      <c r="H1227" s="568" t="s">
        <v>296</v>
      </c>
      <c r="I1227" s="239" t="str">
        <f>IF(ISBLANK(continental!I295),"",continental!I295)</f>
        <v/>
      </c>
      <c r="K1227" s="262" t="s">
        <v>4249</v>
      </c>
      <c r="N1227" s="262" t="s">
        <v>4249</v>
      </c>
    </row>
    <row r="1228" spans="1:14" ht="12.75" customHeight="1" x14ac:dyDescent="0.2">
      <c r="A1228" s="567"/>
      <c r="B1228" s="567"/>
      <c r="C1228" s="567" t="s">
        <v>1519</v>
      </c>
      <c r="D1228" s="567"/>
      <c r="E1228" s="567"/>
      <c r="F1228" s="567"/>
      <c r="G1228" s="568" t="s">
        <v>2276</v>
      </c>
      <c r="H1228" s="568" t="s">
        <v>296</v>
      </c>
      <c r="I1228" s="239" t="str">
        <f>IF(ISBLANK(continental!I296),"",continental!I296)</f>
        <v/>
      </c>
      <c r="K1228" s="262" t="s">
        <v>4249</v>
      </c>
      <c r="N1228" s="262" t="s">
        <v>4249</v>
      </c>
    </row>
    <row r="1229" spans="1:14" ht="12.75" customHeight="1" x14ac:dyDescent="0.2">
      <c r="A1229" s="567"/>
      <c r="B1229" s="567"/>
      <c r="C1229" s="567"/>
      <c r="D1229" s="567" t="s">
        <v>1521</v>
      </c>
      <c r="E1229" s="567"/>
      <c r="F1229" s="567"/>
      <c r="G1229" s="567" t="s">
        <v>2277</v>
      </c>
      <c r="H1229" s="568" t="s">
        <v>296</v>
      </c>
      <c r="I1229" s="239" t="str">
        <f>IF(ISBLANK(continental!I297),"",continental!I297)</f>
        <v/>
      </c>
      <c r="K1229" s="262" t="s">
        <v>4249</v>
      </c>
      <c r="N1229" s="262" t="s">
        <v>4249</v>
      </c>
    </row>
    <row r="1230" spans="1:14" ht="12.75" customHeight="1" x14ac:dyDescent="0.2">
      <c r="A1230" s="567"/>
      <c r="B1230" s="567"/>
      <c r="C1230" s="567"/>
      <c r="D1230" s="567"/>
      <c r="E1230" s="567" t="s">
        <v>1523</v>
      </c>
      <c r="F1230" s="567"/>
      <c r="G1230" s="567" t="s">
        <v>2278</v>
      </c>
      <c r="H1230" s="568" t="s">
        <v>296</v>
      </c>
      <c r="I1230" s="239" t="str">
        <f>IF(ISBLANK(continental!I298),"",continental!I298)</f>
        <v/>
      </c>
      <c r="K1230" s="262" t="s">
        <v>4249</v>
      </c>
      <c r="N1230" s="262" t="s">
        <v>4249</v>
      </c>
    </row>
    <row r="1231" spans="1:14" ht="12.75" customHeight="1" x14ac:dyDescent="0.2">
      <c r="A1231" s="567"/>
      <c r="B1231" s="567"/>
      <c r="C1231" s="567"/>
      <c r="D1231" s="567"/>
      <c r="E1231" s="567"/>
      <c r="F1231" s="567" t="s">
        <v>1525</v>
      </c>
      <c r="G1231" s="567" t="s">
        <v>2279</v>
      </c>
      <c r="H1231" s="568" t="s">
        <v>1527</v>
      </c>
      <c r="I1231" s="239" t="str">
        <f>IF(ISBLANK(continental!I299),"",continental!I299)</f>
        <v/>
      </c>
      <c r="K1231" s="262" t="s">
        <v>4249</v>
      </c>
      <c r="N1231" s="262" t="s">
        <v>4249</v>
      </c>
    </row>
    <row r="1232" spans="1:14" ht="12.75" customHeight="1" x14ac:dyDescent="0.2">
      <c r="A1232" s="567"/>
      <c r="B1232" s="567"/>
      <c r="C1232" s="567" t="s">
        <v>1529</v>
      </c>
      <c r="D1232" s="567"/>
      <c r="E1232" s="567"/>
      <c r="F1232" s="567"/>
      <c r="G1232" s="568" t="s">
        <v>2280</v>
      </c>
      <c r="H1232" s="568" t="s">
        <v>296</v>
      </c>
      <c r="I1232" s="239" t="str">
        <f>IF(ISBLANK(continental!I300),"",continental!I300)</f>
        <v/>
      </c>
      <c r="K1232" s="262" t="s">
        <v>4249</v>
      </c>
      <c r="N1232" s="262" t="s">
        <v>4249</v>
      </c>
    </row>
    <row r="1233" spans="1:14" ht="12.75" customHeight="1" x14ac:dyDescent="0.2">
      <c r="A1233" s="567"/>
      <c r="B1233" s="567"/>
      <c r="C1233" s="567" t="s">
        <v>1531</v>
      </c>
      <c r="D1233" s="567"/>
      <c r="E1233" s="567"/>
      <c r="F1233" s="567"/>
      <c r="G1233" s="568" t="s">
        <v>2281</v>
      </c>
      <c r="H1233" s="568" t="s">
        <v>296</v>
      </c>
      <c r="I1233" s="239" t="str">
        <f>IF(ISBLANK(continental!I301),"",continental!I301)</f>
        <v/>
      </c>
      <c r="K1233" s="262" t="s">
        <v>4249</v>
      </c>
      <c r="N1233" s="262" t="s">
        <v>4249</v>
      </c>
    </row>
    <row r="1234" spans="1:14" ht="12.75" customHeight="1" x14ac:dyDescent="0.2">
      <c r="A1234" s="567"/>
      <c r="B1234" s="567"/>
      <c r="C1234" s="567"/>
      <c r="D1234" s="567" t="s">
        <v>1533</v>
      </c>
      <c r="E1234" s="567"/>
      <c r="F1234" s="567"/>
      <c r="G1234" s="567" t="s">
        <v>2282</v>
      </c>
      <c r="H1234" s="568" t="s">
        <v>296</v>
      </c>
      <c r="I1234" s="239" t="str">
        <f>IF(ISBLANK(continental!I302),"",continental!I302)</f>
        <v/>
      </c>
      <c r="K1234" s="262" t="s">
        <v>4249</v>
      </c>
      <c r="N1234" s="262" t="s">
        <v>4249</v>
      </c>
    </row>
    <row r="1235" spans="1:14" ht="12.75" customHeight="1" x14ac:dyDescent="0.2">
      <c r="A1235" s="567"/>
      <c r="B1235" s="567"/>
      <c r="C1235" s="567"/>
      <c r="D1235" s="567" t="s">
        <v>1535</v>
      </c>
      <c r="E1235" s="567"/>
      <c r="F1235" s="567"/>
      <c r="G1235" s="567" t="s">
        <v>2283</v>
      </c>
      <c r="H1235" s="568" t="s">
        <v>1537</v>
      </c>
      <c r="I1235" s="239" t="str">
        <f>IF(ISBLANK(continental!I303),"",continental!I303)</f>
        <v/>
      </c>
      <c r="K1235" s="262" t="s">
        <v>4249</v>
      </c>
      <c r="N1235" s="262" t="s">
        <v>4249</v>
      </c>
    </row>
    <row r="1236" spans="1:14" ht="12.75" customHeight="1" x14ac:dyDescent="0.2">
      <c r="A1236" s="567"/>
      <c r="B1236" s="567"/>
      <c r="C1236" s="567"/>
      <c r="D1236" s="567" t="s">
        <v>1538</v>
      </c>
      <c r="E1236" s="567"/>
      <c r="F1236" s="567"/>
      <c r="G1236" s="567" t="s">
        <v>2284</v>
      </c>
      <c r="H1236" s="568" t="s">
        <v>296</v>
      </c>
      <c r="I1236" s="239" t="str">
        <f>IF(ISBLANK(continental!I304),"",continental!I304)</f>
        <v/>
      </c>
      <c r="K1236" s="262" t="s">
        <v>4249</v>
      </c>
      <c r="N1236" s="262" t="s">
        <v>4249</v>
      </c>
    </row>
    <row r="1237" spans="1:14" ht="12.75" customHeight="1" x14ac:dyDescent="0.2">
      <c r="A1237" s="567"/>
      <c r="B1237" s="567"/>
      <c r="C1237" s="567"/>
      <c r="D1237" s="567" t="s">
        <v>1540</v>
      </c>
      <c r="E1237" s="567"/>
      <c r="F1237" s="567"/>
      <c r="G1237" s="568" t="s">
        <v>2285</v>
      </c>
      <c r="H1237" s="568" t="s">
        <v>296</v>
      </c>
      <c r="I1237" s="239" t="str">
        <f>IF(ISBLANK(continental!I305),"",continental!I305)</f>
        <v/>
      </c>
      <c r="K1237" s="262" t="s">
        <v>4249</v>
      </c>
      <c r="N1237" s="262" t="s">
        <v>4249</v>
      </c>
    </row>
    <row r="1238" spans="1:14" ht="12.75" customHeight="1" x14ac:dyDescent="0.2">
      <c r="A1238" s="410" t="s">
        <v>1542</v>
      </c>
      <c r="I1238" s="239" t="str">
        <f>IF(ISBLANK(continental!I306),"",continental!I306)</f>
        <v/>
      </c>
      <c r="K1238" s="262" t="s">
        <v>4249</v>
      </c>
      <c r="N1238" s="262" t="s">
        <v>4249</v>
      </c>
    </row>
    <row r="1239" spans="1:14" ht="12.75" customHeight="1" x14ac:dyDescent="0.2">
      <c r="A1239" s="567" t="s">
        <v>1543</v>
      </c>
      <c r="B1239" s="567"/>
      <c r="C1239" s="567"/>
      <c r="D1239" s="567"/>
      <c r="E1239" s="567"/>
      <c r="F1239" s="567"/>
      <c r="G1239" s="568" t="s">
        <v>2286</v>
      </c>
      <c r="H1239" s="568" t="s">
        <v>340</v>
      </c>
      <c r="I1239" s="239" t="str">
        <f>IF(ISBLANK(continental!I307),"",continental!I307)</f>
        <v/>
      </c>
      <c r="K1239" s="262" t="s">
        <v>4249</v>
      </c>
      <c r="N1239" s="262" t="s">
        <v>4249</v>
      </c>
    </row>
    <row r="1240" spans="1:14" ht="12.75" customHeight="1" x14ac:dyDescent="0.2">
      <c r="A1240" s="567" t="s">
        <v>1545</v>
      </c>
      <c r="B1240" s="567"/>
      <c r="C1240" s="567"/>
      <c r="D1240" s="567"/>
      <c r="E1240" s="567"/>
      <c r="F1240" s="567"/>
      <c r="G1240" s="568" t="s">
        <v>2287</v>
      </c>
      <c r="H1240" s="568" t="s">
        <v>340</v>
      </c>
      <c r="I1240" s="239" t="str">
        <f>IF(ISBLANK(continental!I308),"",continental!I308)</f>
        <v/>
      </c>
      <c r="K1240" s="262" t="s">
        <v>4249</v>
      </c>
      <c r="N1240" s="262" t="s">
        <v>4249</v>
      </c>
    </row>
    <row r="1241" spans="1:14" ht="12.75" customHeight="1" x14ac:dyDescent="0.2">
      <c r="A1241" s="567" t="s">
        <v>1547</v>
      </c>
      <c r="B1241" s="567"/>
      <c r="C1241" s="567"/>
      <c r="D1241" s="567"/>
      <c r="E1241" s="567"/>
      <c r="F1241" s="567"/>
      <c r="G1241" s="568" t="s">
        <v>2288</v>
      </c>
      <c r="H1241" s="568" t="s">
        <v>340</v>
      </c>
      <c r="I1241" s="239" t="str">
        <f>IF(ISBLANK(continental!I309),"",continental!I309)</f>
        <v/>
      </c>
      <c r="K1241" s="262" t="s">
        <v>4249</v>
      </c>
      <c r="N1241" s="262" t="s">
        <v>4249</v>
      </c>
    </row>
    <row r="1242" spans="1:14" ht="12.75" customHeight="1" x14ac:dyDescent="0.2">
      <c r="A1242" s="567"/>
      <c r="B1242" s="567" t="s">
        <v>1549</v>
      </c>
      <c r="C1242" s="567"/>
      <c r="D1242" s="567"/>
      <c r="E1242" s="567"/>
      <c r="F1242" s="567"/>
      <c r="G1242" s="568" t="s">
        <v>2289</v>
      </c>
      <c r="H1242" s="568" t="s">
        <v>715</v>
      </c>
      <c r="I1242" s="239" t="str">
        <f>IF(ISBLANK(continental!I310),"",continental!I310)</f>
        <v/>
      </c>
      <c r="K1242" s="262" t="s">
        <v>4249</v>
      </c>
      <c r="N1242" s="262" t="s">
        <v>4249</v>
      </c>
    </row>
    <row r="1243" spans="1:14" ht="12.75" customHeight="1" x14ac:dyDescent="0.2">
      <c r="A1243" s="567"/>
      <c r="B1243" s="567" t="s">
        <v>734</v>
      </c>
      <c r="C1243" s="567"/>
      <c r="D1243" s="567"/>
      <c r="E1243" s="567"/>
      <c r="F1243" s="567"/>
      <c r="G1243" s="568" t="s">
        <v>765</v>
      </c>
      <c r="H1243" s="568" t="s">
        <v>736</v>
      </c>
      <c r="I1243" s="239" t="str">
        <f>IF(ISBLANK(input!I314),"",input!I314)</f>
        <v/>
      </c>
      <c r="K1243" s="262" t="s">
        <v>4249</v>
      </c>
      <c r="N1243" s="262" t="s">
        <v>4249</v>
      </c>
    </row>
    <row r="1244" spans="1:14" ht="12.75" customHeight="1" x14ac:dyDescent="0.2">
      <c r="A1244" s="567"/>
      <c r="B1244" s="567" t="s">
        <v>1454</v>
      </c>
      <c r="C1244" s="567"/>
      <c r="D1244" s="567"/>
      <c r="E1244" s="567"/>
      <c r="F1244" s="567"/>
      <c r="G1244" s="568" t="s">
        <v>2290</v>
      </c>
      <c r="H1244" s="568" t="s">
        <v>340</v>
      </c>
      <c r="I1244" s="239" t="str">
        <f>IF(ISBLANK(continental!I311),"",continental!I311)</f>
        <v/>
      </c>
      <c r="K1244" s="262" t="s">
        <v>4249</v>
      </c>
      <c r="N1244" s="262" t="s">
        <v>4249</v>
      </c>
    </row>
    <row r="1245" spans="1:14" ht="12.75" customHeight="1" x14ac:dyDescent="0.2">
      <c r="A1245" s="567"/>
      <c r="B1245" s="567" t="s">
        <v>1456</v>
      </c>
      <c r="C1245" s="567"/>
      <c r="D1245" s="567"/>
      <c r="E1245" s="567"/>
      <c r="F1245" s="567"/>
      <c r="G1245" s="568" t="s">
        <v>2291</v>
      </c>
      <c r="H1245" s="568" t="s">
        <v>340</v>
      </c>
      <c r="I1245" s="239" t="str">
        <f>IF(ISBLANK(continental!I312),"",continental!I312)</f>
        <v/>
      </c>
      <c r="K1245" s="262" t="s">
        <v>4249</v>
      </c>
      <c r="N1245" s="262" t="s">
        <v>4249</v>
      </c>
    </row>
    <row r="1246" spans="1:14" ht="12.75" customHeight="1" x14ac:dyDescent="0.2">
      <c r="A1246" s="410" t="s">
        <v>1553</v>
      </c>
      <c r="I1246" s="239" t="str">
        <f>IF(ISBLANK(continental!I313),"",continental!I313)</f>
        <v/>
      </c>
      <c r="K1246" s="262" t="s">
        <v>4249</v>
      </c>
      <c r="N1246" s="262" t="s">
        <v>4249</v>
      </c>
    </row>
    <row r="1247" spans="1:14" ht="12.75" customHeight="1" x14ac:dyDescent="0.2">
      <c r="A1247" s="567" t="s">
        <v>1554</v>
      </c>
      <c r="B1247" s="567"/>
      <c r="C1247" s="567"/>
      <c r="D1247" s="567"/>
      <c r="E1247" s="567"/>
      <c r="F1247" s="567"/>
      <c r="G1247" s="568" t="s">
        <v>2292</v>
      </c>
      <c r="H1247" s="568" t="s">
        <v>340</v>
      </c>
      <c r="I1247" s="239" t="str">
        <f>IF(ISBLANK(continental!I314),"",continental!I314)</f>
        <v/>
      </c>
      <c r="K1247" s="262" t="s">
        <v>4249</v>
      </c>
      <c r="N1247" s="262" t="s">
        <v>4249</v>
      </c>
    </row>
    <row r="1248" spans="1:14" ht="12.75" customHeight="1" x14ac:dyDescent="0.2">
      <c r="A1248" s="567"/>
      <c r="B1248" s="567" t="s">
        <v>1556</v>
      </c>
      <c r="C1248" s="567"/>
      <c r="D1248" s="567"/>
      <c r="E1248" s="567"/>
      <c r="F1248" s="567"/>
      <c r="G1248" s="568" t="s">
        <v>2293</v>
      </c>
      <c r="H1248" s="568" t="s">
        <v>1513</v>
      </c>
      <c r="I1248" s="239" t="str">
        <f>IF(ISBLANK(continental!I315),"",continental!I315)</f>
        <v/>
      </c>
      <c r="K1248" s="262" t="s">
        <v>4249</v>
      </c>
      <c r="N1248" s="262" t="s">
        <v>4249</v>
      </c>
    </row>
    <row r="1249" spans="1:14" ht="12.75" customHeight="1" x14ac:dyDescent="0.2">
      <c r="A1249" s="567"/>
      <c r="B1249" s="567" t="s">
        <v>1558</v>
      </c>
      <c r="C1249" s="567"/>
      <c r="D1249" s="567"/>
      <c r="E1249" s="567"/>
      <c r="F1249" s="567"/>
      <c r="G1249" s="567" t="s">
        <v>2294</v>
      </c>
      <c r="H1249" s="568" t="s">
        <v>873</v>
      </c>
      <c r="I1249" s="239" t="str">
        <f>IF(ISBLANK(continental!I316),"",continental!I316)</f>
        <v/>
      </c>
      <c r="K1249" s="262" t="s">
        <v>4249</v>
      </c>
      <c r="N1249" s="262" t="s">
        <v>4249</v>
      </c>
    </row>
    <row r="1250" spans="1:14" ht="12.75" customHeight="1" x14ac:dyDescent="0.2">
      <c r="A1250" s="567"/>
      <c r="B1250" s="567" t="s">
        <v>1517</v>
      </c>
      <c r="C1250" s="567"/>
      <c r="D1250" s="567"/>
      <c r="E1250" s="567"/>
      <c r="F1250" s="567"/>
      <c r="G1250" s="568" t="s">
        <v>2295</v>
      </c>
      <c r="H1250" s="568" t="s">
        <v>296</v>
      </c>
      <c r="I1250" s="239" t="str">
        <f>IF(ISBLANK(continental!I317),"",continental!I317)</f>
        <v/>
      </c>
      <c r="K1250" s="262" t="s">
        <v>4249</v>
      </c>
      <c r="N1250" s="262" t="s">
        <v>4249</v>
      </c>
    </row>
    <row r="1251" spans="1:14" ht="12.75" customHeight="1" x14ac:dyDescent="0.2">
      <c r="A1251" s="567"/>
      <c r="B1251" s="567"/>
      <c r="C1251" s="567" t="s">
        <v>1519</v>
      </c>
      <c r="D1251" s="567"/>
      <c r="E1251" s="567"/>
      <c r="F1251" s="567"/>
      <c r="G1251" s="568" t="s">
        <v>2296</v>
      </c>
      <c r="H1251" s="568" t="s">
        <v>296</v>
      </c>
      <c r="I1251" s="239" t="str">
        <f>IF(ISBLANK(continental!I318),"",continental!I318)</f>
        <v/>
      </c>
      <c r="K1251" s="262" t="s">
        <v>4249</v>
      </c>
      <c r="N1251" s="262" t="s">
        <v>4249</v>
      </c>
    </row>
    <row r="1252" spans="1:14" ht="12.75" customHeight="1" x14ac:dyDescent="0.2">
      <c r="A1252" s="567"/>
      <c r="B1252" s="567"/>
      <c r="C1252" s="567"/>
      <c r="D1252" s="567" t="s">
        <v>1521</v>
      </c>
      <c r="E1252" s="567"/>
      <c r="F1252" s="567"/>
      <c r="G1252" s="567" t="s">
        <v>2297</v>
      </c>
      <c r="H1252" s="568" t="s">
        <v>296</v>
      </c>
      <c r="I1252" s="239" t="str">
        <f>IF(ISBLANK(continental!I319),"",continental!I319)</f>
        <v/>
      </c>
      <c r="K1252" s="262" t="s">
        <v>4249</v>
      </c>
      <c r="N1252" s="262" t="s">
        <v>4249</v>
      </c>
    </row>
    <row r="1253" spans="1:14" ht="12.75" customHeight="1" x14ac:dyDescent="0.2">
      <c r="A1253" s="567"/>
      <c r="B1253" s="567"/>
      <c r="C1253" s="567"/>
      <c r="D1253" s="567"/>
      <c r="E1253" s="567" t="s">
        <v>1563</v>
      </c>
      <c r="F1253" s="567"/>
      <c r="G1253" s="567" t="s">
        <v>2298</v>
      </c>
      <c r="H1253" s="568" t="s">
        <v>296</v>
      </c>
      <c r="I1253" s="239" t="str">
        <f>IF(ISBLANK(continental!I320),"",continental!I320)</f>
        <v/>
      </c>
      <c r="K1253" s="262" t="s">
        <v>4249</v>
      </c>
      <c r="N1253" s="262" t="s">
        <v>4249</v>
      </c>
    </row>
    <row r="1254" spans="1:14" ht="12.75" customHeight="1" x14ac:dyDescent="0.2">
      <c r="A1254" s="567"/>
      <c r="B1254" s="567"/>
      <c r="C1254" s="567"/>
      <c r="D1254" s="567"/>
      <c r="E1254" s="567"/>
      <c r="F1254" s="567" t="s">
        <v>1565</v>
      </c>
      <c r="G1254" s="567" t="s">
        <v>2299</v>
      </c>
      <c r="H1254" s="568" t="s">
        <v>1527</v>
      </c>
      <c r="I1254" s="239" t="str">
        <f>IF(ISBLANK(continental!I321),"",continental!I321)</f>
        <v/>
      </c>
      <c r="K1254" s="262" t="s">
        <v>4249</v>
      </c>
      <c r="N1254" s="262" t="s">
        <v>4249</v>
      </c>
    </row>
    <row r="1255" spans="1:14" ht="12.75" customHeight="1" x14ac:dyDescent="0.2">
      <c r="A1255" s="567"/>
      <c r="B1255" s="567"/>
      <c r="C1255" s="567" t="s">
        <v>1529</v>
      </c>
      <c r="D1255" s="567"/>
      <c r="E1255" s="567"/>
      <c r="F1255" s="567"/>
      <c r="G1255" s="568" t="s">
        <v>2300</v>
      </c>
      <c r="H1255" s="568" t="s">
        <v>296</v>
      </c>
      <c r="I1255" s="239" t="str">
        <f>IF(ISBLANK(continental!I322),"",continental!I322)</f>
        <v/>
      </c>
      <c r="K1255" s="262" t="s">
        <v>4249</v>
      </c>
      <c r="N1255" s="262" t="s">
        <v>4249</v>
      </c>
    </row>
    <row r="1256" spans="1:14" ht="12.75" customHeight="1" x14ac:dyDescent="0.2">
      <c r="A1256" s="567"/>
      <c r="B1256" s="567"/>
      <c r="C1256" s="567" t="s">
        <v>1531</v>
      </c>
      <c r="D1256" s="567"/>
      <c r="E1256" s="567"/>
      <c r="F1256" s="567"/>
      <c r="G1256" s="568" t="s">
        <v>2301</v>
      </c>
      <c r="H1256" s="568" t="s">
        <v>296</v>
      </c>
      <c r="I1256" s="239" t="str">
        <f>IF(ISBLANK(continental!I323),"",continental!I323)</f>
        <v/>
      </c>
      <c r="K1256" s="262" t="s">
        <v>4249</v>
      </c>
      <c r="N1256" s="262" t="s">
        <v>4249</v>
      </c>
    </row>
    <row r="1257" spans="1:14" ht="12.75" customHeight="1" x14ac:dyDescent="0.2">
      <c r="A1257" s="567"/>
      <c r="B1257" s="567"/>
      <c r="C1257" s="567"/>
      <c r="D1257" s="567" t="s">
        <v>1533</v>
      </c>
      <c r="E1257" s="567"/>
      <c r="F1257" s="567"/>
      <c r="G1257" s="567" t="s">
        <v>2302</v>
      </c>
      <c r="H1257" s="568" t="s">
        <v>296</v>
      </c>
      <c r="I1257" s="239" t="str">
        <f>IF(ISBLANK(continental!I324),"",continental!I324)</f>
        <v/>
      </c>
      <c r="K1257" s="262" t="s">
        <v>4249</v>
      </c>
      <c r="N1257" s="262" t="s">
        <v>4249</v>
      </c>
    </row>
    <row r="1258" spans="1:14" ht="12.75" customHeight="1" x14ac:dyDescent="0.2">
      <c r="A1258" s="567"/>
      <c r="B1258" s="567"/>
      <c r="C1258" s="567"/>
      <c r="D1258" s="567" t="s">
        <v>1535</v>
      </c>
      <c r="E1258" s="567"/>
      <c r="F1258" s="567"/>
      <c r="G1258" s="567" t="s">
        <v>2303</v>
      </c>
      <c r="H1258" s="568" t="s">
        <v>1537</v>
      </c>
      <c r="I1258" s="239" t="str">
        <f>IF(ISBLANK(continental!I325),"",continental!I325)</f>
        <v/>
      </c>
      <c r="K1258" s="262" t="s">
        <v>4249</v>
      </c>
      <c r="N1258" s="262" t="s">
        <v>4249</v>
      </c>
    </row>
    <row r="1259" spans="1:14" ht="12.75" customHeight="1" x14ac:dyDescent="0.2">
      <c r="A1259" s="567"/>
      <c r="B1259" s="567"/>
      <c r="C1259" s="567"/>
      <c r="D1259" s="567" t="s">
        <v>1538</v>
      </c>
      <c r="E1259" s="567"/>
      <c r="F1259" s="567"/>
      <c r="G1259" s="567" t="s">
        <v>2304</v>
      </c>
      <c r="H1259" s="568" t="s">
        <v>296</v>
      </c>
      <c r="I1259" s="239" t="str">
        <f>IF(ISBLANK(continental!I326),"",continental!I326)</f>
        <v/>
      </c>
      <c r="K1259" s="262" t="s">
        <v>4249</v>
      </c>
      <c r="N1259" s="262" t="s">
        <v>4249</v>
      </c>
    </row>
    <row r="1260" spans="1:14" ht="12.75" customHeight="1" x14ac:dyDescent="0.2">
      <c r="A1260" s="567"/>
      <c r="B1260" s="567"/>
      <c r="C1260" s="567"/>
      <c r="D1260" s="567" t="s">
        <v>1540</v>
      </c>
      <c r="E1260" s="567"/>
      <c r="F1260" s="567"/>
      <c r="G1260" s="568" t="s">
        <v>2305</v>
      </c>
      <c r="H1260" s="568" t="s">
        <v>296</v>
      </c>
      <c r="I1260" s="239" t="str">
        <f>IF(ISBLANK(continental!I327),"",continental!I327)</f>
        <v/>
      </c>
      <c r="K1260" s="262" t="s">
        <v>4249</v>
      </c>
      <c r="N1260" s="262" t="s">
        <v>4249</v>
      </c>
    </row>
    <row r="1261" spans="1:14" ht="12.75" customHeight="1" x14ac:dyDescent="0.2">
      <c r="A1261" s="567" t="s">
        <v>1574</v>
      </c>
      <c r="B1261" s="567"/>
      <c r="C1261" s="567"/>
      <c r="D1261" s="567"/>
      <c r="E1261" s="567"/>
      <c r="F1261" s="567"/>
      <c r="G1261" s="568" t="s">
        <v>2306</v>
      </c>
      <c r="H1261" s="568" t="s">
        <v>340</v>
      </c>
      <c r="I1261" s="239" t="str">
        <f>IF(ISBLANK(continental!I328),"",continental!I328)</f>
        <v/>
      </c>
      <c r="K1261" s="262" t="s">
        <v>4249</v>
      </c>
      <c r="N1261" s="262" t="s">
        <v>4249</v>
      </c>
    </row>
    <row r="1262" spans="1:14" ht="12.75" customHeight="1" x14ac:dyDescent="0.2">
      <c r="A1262" s="567"/>
      <c r="B1262" s="567" t="s">
        <v>1556</v>
      </c>
      <c r="C1262" s="567"/>
      <c r="D1262" s="567"/>
      <c r="E1262" s="567"/>
      <c r="F1262" s="567"/>
      <c r="G1262" s="568" t="s">
        <v>2307</v>
      </c>
      <c r="H1262" s="568" t="s">
        <v>1513</v>
      </c>
      <c r="I1262" s="239" t="str">
        <f>IF(ISBLANK(continental!I329),"",continental!I329)</f>
        <v/>
      </c>
      <c r="K1262" s="262" t="s">
        <v>4249</v>
      </c>
      <c r="N1262" s="262" t="s">
        <v>4249</v>
      </c>
    </row>
    <row r="1263" spans="1:14" ht="12.75" customHeight="1" x14ac:dyDescent="0.2">
      <c r="A1263" s="567"/>
      <c r="B1263" s="567" t="s">
        <v>1558</v>
      </c>
      <c r="C1263" s="567"/>
      <c r="D1263" s="567"/>
      <c r="E1263" s="567"/>
      <c r="F1263" s="567"/>
      <c r="G1263" s="567" t="s">
        <v>2308</v>
      </c>
      <c r="H1263" s="568" t="s">
        <v>873</v>
      </c>
      <c r="I1263" s="239" t="str">
        <f>IF(ISBLANK(continental!I330),"",continental!I330)</f>
        <v/>
      </c>
      <c r="K1263" s="262" t="s">
        <v>4249</v>
      </c>
      <c r="N1263" s="262" t="s">
        <v>4249</v>
      </c>
    </row>
    <row r="1264" spans="1:14" ht="12.75" customHeight="1" x14ac:dyDescent="0.2">
      <c r="A1264" s="567"/>
      <c r="B1264" s="567" t="s">
        <v>1517</v>
      </c>
      <c r="C1264" s="567"/>
      <c r="D1264" s="567"/>
      <c r="E1264" s="567"/>
      <c r="F1264" s="567"/>
      <c r="G1264" s="568" t="s">
        <v>2309</v>
      </c>
      <c r="H1264" s="568" t="s">
        <v>296</v>
      </c>
      <c r="I1264" s="239" t="str">
        <f>IF(ISBLANK(continental!I331),"",continental!I331)</f>
        <v/>
      </c>
      <c r="K1264" s="262" t="s">
        <v>4249</v>
      </c>
      <c r="N1264" s="262" t="s">
        <v>4249</v>
      </c>
    </row>
    <row r="1265" spans="1:14" ht="12.75" customHeight="1" x14ac:dyDescent="0.2">
      <c r="A1265" s="567"/>
      <c r="B1265" s="567"/>
      <c r="C1265" s="567" t="s">
        <v>1519</v>
      </c>
      <c r="D1265" s="567"/>
      <c r="E1265" s="567"/>
      <c r="F1265" s="567"/>
      <c r="G1265" s="568" t="s">
        <v>2310</v>
      </c>
      <c r="H1265" s="568" t="s">
        <v>296</v>
      </c>
      <c r="I1265" s="239" t="str">
        <f>IF(ISBLANK(continental!I332),"",continental!I332)</f>
        <v/>
      </c>
      <c r="K1265" s="262" t="s">
        <v>4249</v>
      </c>
      <c r="N1265" s="262" t="s">
        <v>4249</v>
      </c>
    </row>
    <row r="1266" spans="1:14" ht="12.75" customHeight="1" x14ac:dyDescent="0.2">
      <c r="A1266" s="567"/>
      <c r="B1266" s="567"/>
      <c r="C1266" s="567"/>
      <c r="D1266" s="567" t="s">
        <v>1521</v>
      </c>
      <c r="E1266" s="567"/>
      <c r="F1266" s="567"/>
      <c r="G1266" s="567" t="s">
        <v>2311</v>
      </c>
      <c r="H1266" s="568" t="s">
        <v>296</v>
      </c>
      <c r="I1266" s="239" t="str">
        <f>IF(ISBLANK(continental!I333),"",continental!I333)</f>
        <v/>
      </c>
      <c r="K1266" s="262" t="s">
        <v>4249</v>
      </c>
      <c r="N1266" s="262" t="s">
        <v>4249</v>
      </c>
    </row>
    <row r="1267" spans="1:14" ht="12.75" customHeight="1" x14ac:dyDescent="0.2">
      <c r="A1267" s="567"/>
      <c r="B1267" s="567"/>
      <c r="C1267" s="567"/>
      <c r="D1267" s="567"/>
      <c r="E1267" s="567" t="s">
        <v>1563</v>
      </c>
      <c r="F1267" s="567"/>
      <c r="G1267" s="567" t="s">
        <v>2312</v>
      </c>
      <c r="H1267" s="568" t="s">
        <v>296</v>
      </c>
      <c r="I1267" s="239" t="str">
        <f>IF(ISBLANK(continental!I334),"",continental!I334)</f>
        <v/>
      </c>
      <c r="K1267" s="262" t="s">
        <v>4249</v>
      </c>
      <c r="N1267" s="262" t="s">
        <v>4249</v>
      </c>
    </row>
    <row r="1268" spans="1:14" ht="12.75" customHeight="1" x14ac:dyDescent="0.2">
      <c r="A1268" s="567"/>
      <c r="B1268" s="567"/>
      <c r="C1268" s="567"/>
      <c r="D1268" s="567"/>
      <c r="E1268" s="567"/>
      <c r="F1268" s="567" t="s">
        <v>1565</v>
      </c>
      <c r="G1268" s="567" t="s">
        <v>2313</v>
      </c>
      <c r="H1268" s="568" t="s">
        <v>1527</v>
      </c>
      <c r="I1268" s="239" t="str">
        <f>IF(ISBLANK(continental!I335),"",continental!I335)</f>
        <v/>
      </c>
      <c r="K1268" s="262" t="s">
        <v>4249</v>
      </c>
      <c r="N1268" s="262" t="s">
        <v>4249</v>
      </c>
    </row>
    <row r="1269" spans="1:14" ht="12.75" customHeight="1" x14ac:dyDescent="0.2">
      <c r="A1269" s="567"/>
      <c r="B1269" s="567"/>
      <c r="C1269" s="567" t="s">
        <v>1529</v>
      </c>
      <c r="D1269" s="567"/>
      <c r="E1269" s="567"/>
      <c r="F1269" s="567"/>
      <c r="G1269" s="568" t="s">
        <v>2314</v>
      </c>
      <c r="H1269" s="568" t="s">
        <v>296</v>
      </c>
      <c r="I1269" s="239" t="str">
        <f>IF(ISBLANK(continental!I336),"",continental!I336)</f>
        <v/>
      </c>
      <c r="K1269" s="262" t="s">
        <v>4249</v>
      </c>
      <c r="N1269" s="262" t="s">
        <v>4249</v>
      </c>
    </row>
    <row r="1270" spans="1:14" ht="12.75" customHeight="1" x14ac:dyDescent="0.2">
      <c r="A1270" s="567"/>
      <c r="B1270" s="567"/>
      <c r="C1270" s="567" t="s">
        <v>1531</v>
      </c>
      <c r="D1270" s="567"/>
      <c r="E1270" s="567"/>
      <c r="F1270" s="567"/>
      <c r="G1270" s="568" t="s">
        <v>2315</v>
      </c>
      <c r="H1270" s="568" t="s">
        <v>296</v>
      </c>
      <c r="I1270" s="239" t="str">
        <f>IF(ISBLANK(continental!I337),"",continental!I337)</f>
        <v/>
      </c>
      <c r="K1270" s="262" t="s">
        <v>4249</v>
      </c>
      <c r="N1270" s="262" t="s">
        <v>4249</v>
      </c>
    </row>
    <row r="1271" spans="1:14" ht="12.75" customHeight="1" x14ac:dyDescent="0.2">
      <c r="A1271" s="567"/>
      <c r="B1271" s="567"/>
      <c r="C1271" s="567"/>
      <c r="D1271" s="567" t="s">
        <v>1535</v>
      </c>
      <c r="E1271" s="567"/>
      <c r="F1271" s="567"/>
      <c r="G1271" s="567" t="s">
        <v>2316</v>
      </c>
      <c r="H1271" s="568" t="s">
        <v>1537</v>
      </c>
      <c r="I1271" s="239" t="str">
        <f>IF(ISBLANK(continental!I338),"",continental!I338)</f>
        <v/>
      </c>
      <c r="K1271" s="262" t="s">
        <v>4249</v>
      </c>
      <c r="N1271" s="262" t="s">
        <v>4249</v>
      </c>
    </row>
    <row r="1272" spans="1:14" ht="12.75" customHeight="1" x14ac:dyDescent="0.2">
      <c r="A1272" s="567"/>
      <c r="B1272" s="567"/>
      <c r="C1272" s="567"/>
      <c r="D1272" s="567" t="s">
        <v>1538</v>
      </c>
      <c r="E1272" s="567"/>
      <c r="F1272" s="567"/>
      <c r="G1272" s="567" t="s">
        <v>2317</v>
      </c>
      <c r="H1272" s="568" t="s">
        <v>296</v>
      </c>
      <c r="I1272" s="239" t="str">
        <f>IF(ISBLANK(continental!I339),"",continental!I339)</f>
        <v/>
      </c>
      <c r="K1272" s="262" t="s">
        <v>4249</v>
      </c>
      <c r="N1272" s="262" t="s">
        <v>4249</v>
      </c>
    </row>
    <row r="1273" spans="1:14" ht="12.75" customHeight="1" x14ac:dyDescent="0.2">
      <c r="A1273" s="567"/>
      <c r="B1273" s="567"/>
      <c r="C1273" s="567"/>
      <c r="D1273" s="567" t="s">
        <v>1533</v>
      </c>
      <c r="E1273" s="567"/>
      <c r="F1273" s="567"/>
      <c r="G1273" s="567" t="s">
        <v>2318</v>
      </c>
      <c r="H1273" s="568" t="s">
        <v>296</v>
      </c>
      <c r="I1273" s="239" t="str">
        <f>IF(ISBLANK(continental!I340),"",continental!I340)</f>
        <v/>
      </c>
      <c r="K1273" s="262" t="s">
        <v>4249</v>
      </c>
      <c r="N1273" s="262" t="s">
        <v>4249</v>
      </c>
    </row>
    <row r="1274" spans="1:14" ht="12.75" customHeight="1" x14ac:dyDescent="0.2">
      <c r="A1274" s="567"/>
      <c r="B1274" s="567"/>
      <c r="C1274" s="567"/>
      <c r="D1274" s="567" t="s">
        <v>1540</v>
      </c>
      <c r="E1274" s="567"/>
      <c r="F1274" s="567"/>
      <c r="G1274" s="568" t="s">
        <v>2319</v>
      </c>
      <c r="H1274" s="568" t="s">
        <v>296</v>
      </c>
      <c r="I1274" s="239" t="str">
        <f>IF(ISBLANK(continental!I341),"",continental!I341)</f>
        <v/>
      </c>
      <c r="K1274" s="262" t="s">
        <v>4249</v>
      </c>
      <c r="N1274" s="262" t="s">
        <v>4249</v>
      </c>
    </row>
    <row r="1275" spans="1:14" ht="12.75" customHeight="1" x14ac:dyDescent="0.2">
      <c r="A1275" s="567" t="s">
        <v>1590</v>
      </c>
      <c r="B1275" s="567"/>
      <c r="C1275" s="567"/>
      <c r="D1275" s="567"/>
      <c r="E1275" s="567"/>
      <c r="F1275" s="567"/>
      <c r="G1275" s="568" t="s">
        <v>2320</v>
      </c>
      <c r="H1275" s="568" t="s">
        <v>340</v>
      </c>
      <c r="I1275" s="239" t="str">
        <f>IF(ISBLANK(continental!I342),"",continental!I342)</f>
        <v/>
      </c>
      <c r="K1275" s="262" t="s">
        <v>4249</v>
      </c>
      <c r="N1275" s="262" t="s">
        <v>4249</v>
      </c>
    </row>
    <row r="1276" spans="1:14" ht="12.75" customHeight="1" x14ac:dyDescent="0.2">
      <c r="A1276" s="567"/>
      <c r="B1276" s="567" t="s">
        <v>1556</v>
      </c>
      <c r="C1276" s="567"/>
      <c r="D1276" s="567"/>
      <c r="E1276" s="567"/>
      <c r="F1276" s="567"/>
      <c r="G1276" s="568" t="s">
        <v>2321</v>
      </c>
      <c r="H1276" s="568" t="s">
        <v>1513</v>
      </c>
      <c r="I1276" s="239" t="str">
        <f>IF(ISBLANK(continental!I343),"",continental!I343)</f>
        <v/>
      </c>
      <c r="K1276" s="262" t="s">
        <v>4249</v>
      </c>
      <c r="N1276" s="262" t="s">
        <v>4249</v>
      </c>
    </row>
    <row r="1277" spans="1:14" ht="12.75" customHeight="1" x14ac:dyDescent="0.2">
      <c r="A1277" s="567"/>
      <c r="B1277" s="567" t="s">
        <v>1558</v>
      </c>
      <c r="C1277" s="567"/>
      <c r="D1277" s="567"/>
      <c r="E1277" s="567"/>
      <c r="F1277" s="567"/>
      <c r="G1277" s="567" t="s">
        <v>2322</v>
      </c>
      <c r="H1277" s="568" t="s">
        <v>873</v>
      </c>
      <c r="I1277" s="239" t="str">
        <f>IF(ISBLANK(continental!I344),"",continental!I344)</f>
        <v/>
      </c>
      <c r="K1277" s="262" t="s">
        <v>4249</v>
      </c>
      <c r="N1277" s="262" t="s">
        <v>4249</v>
      </c>
    </row>
    <row r="1278" spans="1:14" ht="12.75" customHeight="1" x14ac:dyDescent="0.2">
      <c r="A1278" s="567"/>
      <c r="B1278" s="567" t="s">
        <v>1517</v>
      </c>
      <c r="C1278" s="567"/>
      <c r="D1278" s="567"/>
      <c r="E1278" s="567"/>
      <c r="F1278" s="567"/>
      <c r="G1278" s="568" t="s">
        <v>2323</v>
      </c>
      <c r="H1278" s="568" t="s">
        <v>296</v>
      </c>
      <c r="I1278" s="239" t="str">
        <f>IF(ISBLANK(continental!I345),"",continental!I345)</f>
        <v/>
      </c>
      <c r="K1278" s="262" t="s">
        <v>4249</v>
      </c>
      <c r="N1278" s="262" t="s">
        <v>4249</v>
      </c>
    </row>
    <row r="1279" spans="1:14" ht="12.75" customHeight="1" x14ac:dyDescent="0.2">
      <c r="A1279" s="567"/>
      <c r="B1279" s="567"/>
      <c r="C1279" s="567" t="s">
        <v>1519</v>
      </c>
      <c r="D1279" s="567"/>
      <c r="E1279" s="567"/>
      <c r="F1279" s="567"/>
      <c r="G1279" s="568" t="s">
        <v>2324</v>
      </c>
      <c r="H1279" s="568" t="s">
        <v>296</v>
      </c>
      <c r="I1279" s="239" t="str">
        <f>IF(ISBLANK(continental!I346),"",continental!I346)</f>
        <v/>
      </c>
      <c r="K1279" s="262" t="s">
        <v>4249</v>
      </c>
      <c r="N1279" s="262" t="s">
        <v>4249</v>
      </c>
    </row>
    <row r="1280" spans="1:14" ht="12.75" customHeight="1" x14ac:dyDescent="0.2">
      <c r="A1280" s="567"/>
      <c r="B1280" s="567"/>
      <c r="C1280" s="567"/>
      <c r="D1280" s="567" t="s">
        <v>1521</v>
      </c>
      <c r="E1280" s="567"/>
      <c r="F1280" s="567"/>
      <c r="G1280" s="567" t="s">
        <v>2325</v>
      </c>
      <c r="H1280" s="568" t="s">
        <v>296</v>
      </c>
      <c r="I1280" s="239" t="str">
        <f>IF(ISBLANK(continental!I347),"",continental!I347)</f>
        <v/>
      </c>
      <c r="K1280" s="262" t="s">
        <v>4249</v>
      </c>
      <c r="N1280" s="262" t="s">
        <v>4249</v>
      </c>
    </row>
    <row r="1281" spans="1:14" ht="12.75" customHeight="1" x14ac:dyDescent="0.2">
      <c r="A1281" s="567"/>
      <c r="B1281" s="567"/>
      <c r="C1281" s="567"/>
      <c r="D1281" s="567"/>
      <c r="E1281" s="567" t="s">
        <v>1563</v>
      </c>
      <c r="F1281" s="567"/>
      <c r="G1281" s="567" t="s">
        <v>2326</v>
      </c>
      <c r="H1281" s="568" t="s">
        <v>296</v>
      </c>
      <c r="I1281" s="239" t="str">
        <f>IF(ISBLANK(continental!I348),"",continental!I348)</f>
        <v/>
      </c>
      <c r="K1281" s="262" t="s">
        <v>4249</v>
      </c>
      <c r="N1281" s="262" t="s">
        <v>4249</v>
      </c>
    </row>
    <row r="1282" spans="1:14" ht="12.75" customHeight="1" x14ac:dyDescent="0.2">
      <c r="A1282" s="567"/>
      <c r="B1282" s="567"/>
      <c r="C1282" s="567"/>
      <c r="D1282" s="567"/>
      <c r="E1282" s="567"/>
      <c r="F1282" s="567" t="s">
        <v>1565</v>
      </c>
      <c r="G1282" s="567" t="s">
        <v>2327</v>
      </c>
      <c r="H1282" s="568" t="s">
        <v>1527</v>
      </c>
      <c r="I1282" s="239" t="str">
        <f>IF(ISBLANK(continental!I349),"",continental!I349)</f>
        <v/>
      </c>
      <c r="K1282" s="262" t="s">
        <v>4249</v>
      </c>
      <c r="N1282" s="262" t="s">
        <v>4249</v>
      </c>
    </row>
    <row r="1283" spans="1:14" ht="12.75" customHeight="1" x14ac:dyDescent="0.2">
      <c r="A1283" s="567"/>
      <c r="B1283" s="567"/>
      <c r="C1283" s="567" t="s">
        <v>1529</v>
      </c>
      <c r="D1283" s="567"/>
      <c r="E1283" s="567"/>
      <c r="F1283" s="567"/>
      <c r="G1283" s="568" t="s">
        <v>2328</v>
      </c>
      <c r="H1283" s="568" t="s">
        <v>296</v>
      </c>
      <c r="I1283" s="239" t="str">
        <f>IF(ISBLANK(continental!I350),"",continental!I350)</f>
        <v/>
      </c>
      <c r="K1283" s="262" t="s">
        <v>4249</v>
      </c>
      <c r="N1283" s="262" t="s">
        <v>4249</v>
      </c>
    </row>
    <row r="1284" spans="1:14" ht="12.75" customHeight="1" x14ac:dyDescent="0.2">
      <c r="A1284" s="567"/>
      <c r="B1284" s="567"/>
      <c r="C1284" s="567" t="s">
        <v>1531</v>
      </c>
      <c r="D1284" s="567"/>
      <c r="E1284" s="567"/>
      <c r="F1284" s="567"/>
      <c r="G1284" s="568" t="s">
        <v>2329</v>
      </c>
      <c r="H1284" s="568" t="s">
        <v>296</v>
      </c>
      <c r="I1284" s="239" t="str">
        <f>IF(ISBLANK(continental!I351),"",continental!I351)</f>
        <v/>
      </c>
      <c r="K1284" s="262" t="s">
        <v>4249</v>
      </c>
      <c r="N1284" s="262" t="s">
        <v>4249</v>
      </c>
    </row>
    <row r="1285" spans="1:14" ht="12.75" customHeight="1" x14ac:dyDescent="0.2">
      <c r="A1285" s="567"/>
      <c r="B1285" s="567"/>
      <c r="C1285" s="567"/>
      <c r="D1285" s="567" t="s">
        <v>1535</v>
      </c>
      <c r="E1285" s="567"/>
      <c r="F1285" s="567"/>
      <c r="G1285" s="567" t="s">
        <v>2330</v>
      </c>
      <c r="H1285" s="568" t="s">
        <v>1537</v>
      </c>
      <c r="I1285" s="239" t="str">
        <f>IF(ISBLANK(continental!I352),"",continental!I352)</f>
        <v/>
      </c>
      <c r="K1285" s="262" t="s">
        <v>4249</v>
      </c>
      <c r="N1285" s="262" t="s">
        <v>4249</v>
      </c>
    </row>
    <row r="1286" spans="1:14" ht="12.75" customHeight="1" x14ac:dyDescent="0.2">
      <c r="A1286" s="567"/>
      <c r="B1286" s="567"/>
      <c r="C1286" s="567"/>
      <c r="D1286" s="567" t="s">
        <v>1538</v>
      </c>
      <c r="E1286" s="567"/>
      <c r="F1286" s="567"/>
      <c r="G1286" s="567" t="s">
        <v>2331</v>
      </c>
      <c r="H1286" s="568" t="s">
        <v>296</v>
      </c>
      <c r="I1286" s="239" t="str">
        <f>IF(ISBLANK(continental!I353),"",continental!I353)</f>
        <v/>
      </c>
      <c r="K1286" s="262" t="s">
        <v>4249</v>
      </c>
      <c r="N1286" s="262" t="s">
        <v>4249</v>
      </c>
    </row>
    <row r="1287" spans="1:14" ht="12.75" customHeight="1" x14ac:dyDescent="0.2">
      <c r="A1287" s="567"/>
      <c r="B1287" s="567"/>
      <c r="C1287" s="567"/>
      <c r="D1287" s="567" t="s">
        <v>1533</v>
      </c>
      <c r="E1287" s="567"/>
      <c r="F1287" s="567"/>
      <c r="G1287" s="567" t="s">
        <v>2332</v>
      </c>
      <c r="H1287" s="568" t="s">
        <v>296</v>
      </c>
      <c r="I1287" s="239" t="str">
        <f>IF(ISBLANK(continental!I354),"",continental!I354)</f>
        <v/>
      </c>
      <c r="K1287" s="262" t="s">
        <v>4249</v>
      </c>
      <c r="N1287" s="262" t="s">
        <v>4249</v>
      </c>
    </row>
    <row r="1288" spans="1:14" ht="12.75" customHeight="1" x14ac:dyDescent="0.2">
      <c r="A1288" s="567"/>
      <c r="B1288" s="567"/>
      <c r="C1288" s="567"/>
      <c r="D1288" s="567" t="s">
        <v>1540</v>
      </c>
      <c r="E1288" s="567"/>
      <c r="F1288" s="567"/>
      <c r="G1288" s="568" t="s">
        <v>2333</v>
      </c>
      <c r="H1288" s="568" t="s">
        <v>296</v>
      </c>
      <c r="I1288" s="239" t="str">
        <f>IF(ISBLANK(continental!I355),"",continental!I355)</f>
        <v/>
      </c>
      <c r="K1288" s="262" t="s">
        <v>4249</v>
      </c>
      <c r="N1288" s="262" t="s">
        <v>4249</v>
      </c>
    </row>
    <row r="1289" spans="1:14" ht="12.75" customHeight="1" x14ac:dyDescent="0.2">
      <c r="I1289" s="239" t="str">
        <f>IF(ISBLANK(continental!I356),"",continental!I356)</f>
        <v/>
      </c>
      <c r="K1289" s="262" t="s">
        <v>4249</v>
      </c>
      <c r="N1289" s="262" t="s">
        <v>4249</v>
      </c>
    </row>
    <row r="1290" spans="1:14" ht="12.75" customHeight="1" x14ac:dyDescent="0.2">
      <c r="A1290" s="633" t="s">
        <v>1605</v>
      </c>
      <c r="B1290" s="634"/>
      <c r="C1290" s="634"/>
      <c r="D1290" s="634"/>
      <c r="E1290" s="634"/>
      <c r="F1290" s="634"/>
      <c r="G1290" s="633" t="s">
        <v>263</v>
      </c>
      <c r="H1290" s="633" t="s">
        <v>279</v>
      </c>
      <c r="I1290" s="239" t="str">
        <f>IF(ISBLANK(continental!I357),"",continental!I357)</f>
        <v>User input</v>
      </c>
      <c r="K1290" s="262" t="s">
        <v>264</v>
      </c>
      <c r="N1290" s="262" t="s">
        <v>264</v>
      </c>
    </row>
    <row r="1291" spans="1:14" ht="12.75" customHeight="1" x14ac:dyDescent="0.2">
      <c r="A1291" s="413" t="s">
        <v>1606</v>
      </c>
      <c r="B1291" s="413"/>
      <c r="C1291" s="413"/>
      <c r="D1291" s="413"/>
      <c r="E1291" s="413"/>
      <c r="F1291" s="413"/>
      <c r="G1291" s="631"/>
      <c r="H1291" s="631"/>
      <c r="I1291" s="239" t="str">
        <f>IF(ISBLANK(continental!I358),"",continental!I358)</f>
        <v/>
      </c>
      <c r="K1291" s="262" t="s">
        <v>4249</v>
      </c>
      <c r="N1291" s="262" t="s">
        <v>4249</v>
      </c>
    </row>
    <row r="1292" spans="1:14" ht="12.75" customHeight="1" x14ac:dyDescent="0.2">
      <c r="A1292" s="567"/>
      <c r="B1292" s="567" t="s">
        <v>1607</v>
      </c>
      <c r="C1292" s="567"/>
      <c r="D1292" s="567"/>
      <c r="E1292" s="567"/>
      <c r="F1292" s="567"/>
      <c r="G1292" s="568" t="s">
        <v>2334</v>
      </c>
      <c r="H1292" s="568" t="s">
        <v>820</v>
      </c>
      <c r="I1292" s="239" t="str">
        <f>IF(ISBLANK(continental!I359),"",continental!I359)</f>
        <v/>
      </c>
      <c r="K1292" s="262" t="s">
        <v>4249</v>
      </c>
      <c r="N1292" s="262" t="s">
        <v>4249</v>
      </c>
    </row>
    <row r="1293" spans="1:14" ht="12.75" customHeight="1" x14ac:dyDescent="0.2">
      <c r="A1293" s="567"/>
      <c r="B1293" s="567" t="s">
        <v>1610</v>
      </c>
      <c r="C1293" s="567"/>
      <c r="D1293" s="567"/>
      <c r="E1293" s="567"/>
      <c r="F1293" s="567"/>
      <c r="G1293" s="568" t="s">
        <v>2335</v>
      </c>
      <c r="H1293" s="568" t="s">
        <v>296</v>
      </c>
      <c r="I1293" s="239" t="str">
        <f>IF(ISBLANK(continental!I360),"",continental!I360)</f>
        <v/>
      </c>
      <c r="K1293" s="262" t="s">
        <v>4249</v>
      </c>
      <c r="N1293" s="262" t="s">
        <v>4249</v>
      </c>
    </row>
    <row r="1294" spans="1:14" ht="12.75" customHeight="1" x14ac:dyDescent="0.2">
      <c r="A1294" s="567"/>
      <c r="B1294" s="567" t="s">
        <v>1613</v>
      </c>
      <c r="C1294" s="567"/>
      <c r="D1294" s="567"/>
      <c r="E1294" s="567"/>
      <c r="F1294" s="567"/>
      <c r="G1294" s="568" t="s">
        <v>2336</v>
      </c>
      <c r="H1294" s="568" t="s">
        <v>873</v>
      </c>
      <c r="I1294" s="239" t="str">
        <f>IF(ISBLANK(continental!I361),"",continental!I361)</f>
        <v/>
      </c>
      <c r="K1294" s="262" t="s">
        <v>4249</v>
      </c>
      <c r="N1294" s="262" t="s">
        <v>4249</v>
      </c>
    </row>
    <row r="1295" spans="1:14" ht="12.75" customHeight="1" x14ac:dyDescent="0.2">
      <c r="A1295" s="567"/>
      <c r="B1295" s="567" t="s">
        <v>1617</v>
      </c>
      <c r="C1295" s="567"/>
      <c r="D1295" s="567"/>
      <c r="E1295" s="567"/>
      <c r="F1295" s="567"/>
      <c r="G1295" s="568" t="s">
        <v>2337</v>
      </c>
      <c r="H1295" s="568" t="s">
        <v>873</v>
      </c>
      <c r="I1295" s="239" t="str">
        <f>IF(ISBLANK(continental!I362),"",continental!I362)</f>
        <v/>
      </c>
      <c r="K1295" s="262" t="s">
        <v>4249</v>
      </c>
      <c r="N1295" s="262" t="s">
        <v>4249</v>
      </c>
    </row>
    <row r="1296" spans="1:14" ht="12.75" customHeight="1" x14ac:dyDescent="0.2">
      <c r="A1296" s="567"/>
      <c r="B1296" s="567" t="s">
        <v>1619</v>
      </c>
      <c r="C1296" s="567"/>
      <c r="D1296" s="567"/>
      <c r="E1296" s="567"/>
      <c r="F1296" s="567"/>
      <c r="G1296" s="568" t="s">
        <v>2338</v>
      </c>
      <c r="H1296" s="568" t="s">
        <v>296</v>
      </c>
      <c r="I1296" s="239" t="str">
        <f>IF(ISBLANK(continental!I363),"",continental!I363)</f>
        <v/>
      </c>
      <c r="K1296" s="262" t="s">
        <v>4249</v>
      </c>
      <c r="N1296" s="262" t="s">
        <v>4249</v>
      </c>
    </row>
    <row r="1297" spans="1:14" ht="12.75" customHeight="1" x14ac:dyDescent="0.2">
      <c r="A1297" s="567"/>
      <c r="B1297" s="567" t="s">
        <v>1621</v>
      </c>
      <c r="C1297" s="567"/>
      <c r="D1297" s="567"/>
      <c r="E1297" s="567"/>
      <c r="F1297" s="567"/>
      <c r="G1297" s="568" t="s">
        <v>2339</v>
      </c>
      <c r="H1297" s="568" t="s">
        <v>296</v>
      </c>
      <c r="I1297" s="239" t="str">
        <f>IF(ISBLANK(continental!I364),"",continental!I364)</f>
        <v/>
      </c>
      <c r="K1297" s="262" t="s">
        <v>4249</v>
      </c>
      <c r="N1297" s="262" t="s">
        <v>4249</v>
      </c>
    </row>
    <row r="1298" spans="1:14" ht="12.75" customHeight="1" x14ac:dyDescent="0.2">
      <c r="A1298" s="567"/>
      <c r="B1298" s="567" t="s">
        <v>1623</v>
      </c>
      <c r="C1298" s="567"/>
      <c r="D1298" s="567"/>
      <c r="E1298" s="567"/>
      <c r="F1298" s="567"/>
      <c r="G1298" s="568" t="s">
        <v>2340</v>
      </c>
      <c r="H1298" s="568" t="s">
        <v>296</v>
      </c>
      <c r="I1298" s="239" t="str">
        <f>IF(ISBLANK(continental!I365),"",continental!I365)</f>
        <v/>
      </c>
      <c r="K1298" s="262" t="s">
        <v>4249</v>
      </c>
      <c r="N1298" s="262" t="s">
        <v>4249</v>
      </c>
    </row>
    <row r="1299" spans="1:14" ht="12.75" customHeight="1" x14ac:dyDescent="0.2">
      <c r="A1299" s="413" t="s">
        <v>2342</v>
      </c>
      <c r="B1299" s="413"/>
      <c r="C1299" s="413"/>
      <c r="D1299" s="413"/>
      <c r="E1299" s="413"/>
      <c r="F1299" s="413"/>
      <c r="G1299" s="413"/>
      <c r="H1299" s="413"/>
      <c r="I1299" s="239" t="str">
        <f>IF(ISBLANK(continental!I366),"",continental!I366)</f>
        <v/>
      </c>
      <c r="K1299" s="262" t="s">
        <v>4249</v>
      </c>
      <c r="N1299" s="262" t="s">
        <v>4249</v>
      </c>
    </row>
    <row r="1300" spans="1:14" ht="12.75" customHeight="1" x14ac:dyDescent="0.2">
      <c r="A1300" s="567"/>
      <c r="B1300" s="567" t="s">
        <v>1626</v>
      </c>
      <c r="C1300" s="567"/>
      <c r="D1300" s="567"/>
      <c r="E1300" s="567"/>
      <c r="F1300" s="567"/>
      <c r="G1300" s="567" t="s">
        <v>2343</v>
      </c>
      <c r="H1300" s="567" t="s">
        <v>820</v>
      </c>
      <c r="I1300" s="239" t="str">
        <f>IF(ISBLANK(continental!I367),"",continental!I367)</f>
        <v/>
      </c>
      <c r="K1300" s="262" t="s">
        <v>4249</v>
      </c>
      <c r="N1300" s="262" t="s">
        <v>4249</v>
      </c>
    </row>
    <row r="1301" spans="1:14" ht="12.75" customHeight="1" x14ac:dyDescent="0.2">
      <c r="A1301" s="567"/>
      <c r="B1301" s="567" t="s">
        <v>1628</v>
      </c>
      <c r="C1301" s="567"/>
      <c r="D1301" s="567"/>
      <c r="E1301" s="567"/>
      <c r="F1301" s="567"/>
      <c r="G1301" s="567" t="s">
        <v>2344</v>
      </c>
      <c r="H1301" s="567" t="s">
        <v>287</v>
      </c>
      <c r="I1301" s="239" t="str">
        <f>IF(ISBLANK(continental!I368),"",continental!I368)</f>
        <v/>
      </c>
      <c r="K1301" s="262" t="s">
        <v>4249</v>
      </c>
      <c r="N1301" s="262" t="s">
        <v>4249</v>
      </c>
    </row>
    <row r="1302" spans="1:14" ht="12.75" customHeight="1" x14ac:dyDescent="0.2">
      <c r="A1302" s="567"/>
      <c r="B1302" s="567"/>
      <c r="C1302" s="567" t="s">
        <v>1630</v>
      </c>
      <c r="D1302" s="567"/>
      <c r="E1302" s="567"/>
      <c r="F1302" s="567"/>
      <c r="G1302" s="567" t="s">
        <v>2345</v>
      </c>
      <c r="H1302" s="567" t="s">
        <v>864</v>
      </c>
      <c r="I1302" s="239" t="str">
        <f>IF(ISBLANK(continental!I369),"",continental!I369)</f>
        <v/>
      </c>
      <c r="K1302" s="262" t="s">
        <v>4249</v>
      </c>
      <c r="N1302" s="262" t="s">
        <v>4249</v>
      </c>
    </row>
    <row r="1303" spans="1:14" ht="12.75" customHeight="1" x14ac:dyDescent="0.2">
      <c r="A1303" s="567"/>
      <c r="B1303" s="567"/>
      <c r="C1303" s="567" t="s">
        <v>1632</v>
      </c>
      <c r="D1303" s="567"/>
      <c r="E1303" s="567"/>
      <c r="F1303" s="567"/>
      <c r="G1303" s="567" t="s">
        <v>2346</v>
      </c>
      <c r="H1303" s="567" t="s">
        <v>895</v>
      </c>
      <c r="I1303" s="239" t="str">
        <f>IF(ISBLANK(continental!I370),"",continental!I370)</f>
        <v/>
      </c>
      <c r="K1303" s="262" t="s">
        <v>4249</v>
      </c>
      <c r="N1303" s="262" t="s">
        <v>4249</v>
      </c>
    </row>
    <row r="1304" spans="1:14" ht="12.75" customHeight="1" x14ac:dyDescent="0.2">
      <c r="A1304" s="583" t="s">
        <v>1635</v>
      </c>
      <c r="B1304" s="583"/>
      <c r="C1304" s="583"/>
      <c r="D1304" s="583"/>
      <c r="E1304" s="583"/>
      <c r="F1304" s="583"/>
      <c r="G1304" s="582" t="s">
        <v>2347</v>
      </c>
      <c r="H1304" s="582" t="s">
        <v>340</v>
      </c>
      <c r="I1304" s="239" t="str">
        <f>IF(ISBLANK(continental!I371),"",continental!I371)</f>
        <v/>
      </c>
      <c r="K1304" s="262" t="s">
        <v>4249</v>
      </c>
      <c r="N1304" s="262" t="s">
        <v>4249</v>
      </c>
    </row>
    <row r="1305" spans="1:14" ht="12.75" customHeight="1" x14ac:dyDescent="0.2">
      <c r="A1305" s="567"/>
      <c r="B1305" s="567" t="s">
        <v>1638</v>
      </c>
      <c r="C1305" s="567"/>
      <c r="D1305" s="567"/>
      <c r="E1305" s="567"/>
      <c r="F1305" s="567"/>
      <c r="G1305" s="568" t="s">
        <v>2349</v>
      </c>
      <c r="H1305" s="568" t="s">
        <v>1640</v>
      </c>
      <c r="I1305" s="239" t="str">
        <f>IF(ISBLANK(continental!I372),"",continental!I372)</f>
        <v/>
      </c>
      <c r="K1305" s="262" t="s">
        <v>4249</v>
      </c>
      <c r="N1305" s="262" t="s">
        <v>4249</v>
      </c>
    </row>
    <row r="1306" spans="1:14" ht="12.75" customHeight="1" x14ac:dyDescent="0.2">
      <c r="A1306" s="567"/>
      <c r="B1306" s="567" t="s">
        <v>1641</v>
      </c>
      <c r="C1306" s="567"/>
      <c r="D1306" s="567"/>
      <c r="E1306" s="567"/>
      <c r="F1306" s="567"/>
      <c r="G1306" s="568" t="s">
        <v>2350</v>
      </c>
      <c r="H1306" s="568" t="s">
        <v>296</v>
      </c>
      <c r="I1306" s="239" t="str">
        <f>IF(ISBLANK(continental!I373),"",continental!I373)</f>
        <v/>
      </c>
      <c r="K1306" s="262" t="s">
        <v>4249</v>
      </c>
      <c r="N1306" s="262" t="s">
        <v>4249</v>
      </c>
    </row>
    <row r="1307" spans="1:14" ht="12.75" customHeight="1" x14ac:dyDescent="0.2">
      <c r="A1307" s="567"/>
      <c r="B1307" s="567" t="s">
        <v>1644</v>
      </c>
      <c r="C1307" s="567"/>
      <c r="D1307" s="567"/>
      <c r="E1307" s="567"/>
      <c r="F1307" s="567"/>
      <c r="G1307" s="568" t="s">
        <v>2351</v>
      </c>
      <c r="H1307" s="568" t="s">
        <v>873</v>
      </c>
      <c r="I1307" s="239" t="str">
        <f>IF(ISBLANK(continental!I374),"",continental!I374)</f>
        <v/>
      </c>
      <c r="K1307" s="262" t="s">
        <v>4249</v>
      </c>
      <c r="N1307" s="262" t="s">
        <v>4249</v>
      </c>
    </row>
    <row r="1308" spans="1:14" ht="12.75" customHeight="1" x14ac:dyDescent="0.2">
      <c r="A1308" s="567"/>
      <c r="B1308" s="567" t="s">
        <v>1646</v>
      </c>
      <c r="C1308" s="567"/>
      <c r="D1308" s="567"/>
      <c r="E1308" s="567"/>
      <c r="F1308" s="567"/>
      <c r="G1308" s="568" t="s">
        <v>2352</v>
      </c>
      <c r="H1308" s="568" t="s">
        <v>296</v>
      </c>
      <c r="I1308" s="239" t="str">
        <f>IF(ISBLANK(continental!I375),"",continental!I375)</f>
        <v/>
      </c>
      <c r="K1308" s="262" t="s">
        <v>4249</v>
      </c>
      <c r="N1308" s="262" t="s">
        <v>4249</v>
      </c>
    </row>
    <row r="1309" spans="1:14" ht="12.75" customHeight="1" x14ac:dyDescent="0.2">
      <c r="A1309" s="567"/>
      <c r="B1309" s="567"/>
      <c r="C1309" s="567" t="s">
        <v>1648</v>
      </c>
      <c r="D1309" s="567"/>
      <c r="E1309" s="567"/>
      <c r="F1309" s="567"/>
      <c r="G1309" s="568" t="s">
        <v>2353</v>
      </c>
      <c r="H1309" s="568" t="s">
        <v>296</v>
      </c>
      <c r="I1309" s="239" t="str">
        <f>IF(ISBLANK(continental!I376),"",continental!I376)</f>
        <v/>
      </c>
      <c r="K1309" s="262" t="s">
        <v>4249</v>
      </c>
      <c r="N1309" s="262" t="s">
        <v>4249</v>
      </c>
    </row>
    <row r="1310" spans="1:14" ht="12.75" customHeight="1" x14ac:dyDescent="0.2">
      <c r="A1310" s="567"/>
      <c r="B1310" s="567"/>
      <c r="C1310" s="567" t="s">
        <v>1650</v>
      </c>
      <c r="D1310" s="567"/>
      <c r="E1310" s="567"/>
      <c r="F1310" s="567"/>
      <c r="G1310" s="568" t="s">
        <v>2354</v>
      </c>
      <c r="H1310" s="568" t="s">
        <v>296</v>
      </c>
      <c r="I1310" s="239" t="str">
        <f>IF(ISBLANK(continental!I377),"",continental!I377)</f>
        <v/>
      </c>
      <c r="K1310" s="262" t="s">
        <v>4249</v>
      </c>
      <c r="N1310" s="262" t="s">
        <v>4249</v>
      </c>
    </row>
    <row r="1311" spans="1:14" ht="12.75" customHeight="1" x14ac:dyDescent="0.2">
      <c r="A1311" s="567"/>
      <c r="B1311" s="567"/>
      <c r="C1311" s="567" t="s">
        <v>1652</v>
      </c>
      <c r="D1311" s="567"/>
      <c r="E1311" s="567"/>
      <c r="F1311" s="567"/>
      <c r="G1311" s="568" t="s">
        <v>2355</v>
      </c>
      <c r="H1311" s="568" t="s">
        <v>296</v>
      </c>
      <c r="I1311" s="239" t="str">
        <f>IF(ISBLANK(continental!I378),"",continental!I378)</f>
        <v/>
      </c>
      <c r="K1311" s="262" t="s">
        <v>4249</v>
      </c>
      <c r="N1311" s="262" t="s">
        <v>4249</v>
      </c>
    </row>
    <row r="1312" spans="1:14" ht="12.75" customHeight="1" x14ac:dyDescent="0.2">
      <c r="A1312" s="567"/>
      <c r="B1312" s="567"/>
      <c r="C1312" s="567" t="s">
        <v>1654</v>
      </c>
      <c r="D1312" s="567"/>
      <c r="E1312" s="567"/>
      <c r="F1312" s="567"/>
      <c r="G1312" s="568" t="s">
        <v>2356</v>
      </c>
      <c r="H1312" s="568" t="s">
        <v>296</v>
      </c>
      <c r="I1312" s="239" t="str">
        <f>IF(ISBLANK(continental!I379),"",continental!I379)</f>
        <v/>
      </c>
      <c r="K1312" s="262" t="s">
        <v>4249</v>
      </c>
      <c r="N1312" s="262" t="s">
        <v>4249</v>
      </c>
    </row>
    <row r="1313" spans="1:14" ht="12.75" customHeight="1" x14ac:dyDescent="0.2">
      <c r="A1313" s="567" t="s">
        <v>1656</v>
      </c>
      <c r="B1313" s="567"/>
      <c r="C1313" s="567"/>
      <c r="D1313" s="567"/>
      <c r="E1313" s="567"/>
      <c r="F1313" s="567"/>
      <c r="G1313" s="568" t="s">
        <v>2357</v>
      </c>
      <c r="H1313" s="568" t="s">
        <v>340</v>
      </c>
      <c r="I1313" s="239" t="str">
        <f>IF(ISBLANK(continental!I380),"",continental!I380)</f>
        <v/>
      </c>
      <c r="K1313" s="262" t="s">
        <v>4249</v>
      </c>
      <c r="N1313" s="262" t="s">
        <v>4249</v>
      </c>
    </row>
    <row r="1314" spans="1:14" ht="12.75" customHeight="1" x14ac:dyDescent="0.2">
      <c r="A1314" s="567"/>
      <c r="B1314" s="567" t="s">
        <v>1658</v>
      </c>
      <c r="C1314" s="567"/>
      <c r="D1314" s="567"/>
      <c r="E1314" s="567"/>
      <c r="F1314" s="567"/>
      <c r="G1314" s="568" t="s">
        <v>2358</v>
      </c>
      <c r="H1314" s="568" t="s">
        <v>296</v>
      </c>
      <c r="I1314" s="239" t="str">
        <f>IF(ISBLANK(continental!I381),"",continental!I381)</f>
        <v/>
      </c>
      <c r="K1314" s="262" t="s">
        <v>4249</v>
      </c>
      <c r="N1314" s="262" t="s">
        <v>4249</v>
      </c>
    </row>
    <row r="1315" spans="1:14" ht="12.75" customHeight="1" x14ac:dyDescent="0.2">
      <c r="A1315" s="567"/>
      <c r="B1315" s="567" t="s">
        <v>1660</v>
      </c>
      <c r="C1315" s="567"/>
      <c r="D1315" s="567"/>
      <c r="E1315" s="567"/>
      <c r="F1315" s="567"/>
      <c r="G1315" s="568" t="s">
        <v>2359</v>
      </c>
      <c r="H1315" s="568"/>
      <c r="I1315" s="239" t="str">
        <f>IF(ISBLANK(continental!I382),"",continental!I382)</f>
        <v/>
      </c>
      <c r="K1315" s="262" t="s">
        <v>4249</v>
      </c>
      <c r="N1315" s="262" t="s">
        <v>4249</v>
      </c>
    </row>
    <row r="1316" spans="1:14" ht="12.75" customHeight="1" x14ac:dyDescent="0.2">
      <c r="A1316" s="567"/>
      <c r="B1316" s="567" t="s">
        <v>1638</v>
      </c>
      <c r="C1316" s="567"/>
      <c r="D1316" s="567"/>
      <c r="E1316" s="567"/>
      <c r="F1316" s="567"/>
      <c r="G1316" s="568" t="s">
        <v>2360</v>
      </c>
      <c r="H1316" s="568" t="s">
        <v>1640</v>
      </c>
      <c r="I1316" s="239" t="str">
        <f>IF(ISBLANK(continental!I383),"",continental!I383)</f>
        <v/>
      </c>
      <c r="K1316" s="262" t="s">
        <v>4249</v>
      </c>
      <c r="N1316" s="262" t="s">
        <v>4249</v>
      </c>
    </row>
    <row r="1317" spans="1:14" ht="12.75" customHeight="1" x14ac:dyDescent="0.2">
      <c r="A1317" s="567"/>
      <c r="B1317" s="567" t="s">
        <v>1663</v>
      </c>
      <c r="C1317" s="567"/>
      <c r="D1317" s="567"/>
      <c r="E1317" s="567"/>
      <c r="F1317" s="567"/>
      <c r="G1317" s="568" t="s">
        <v>2361</v>
      </c>
      <c r="H1317" s="568" t="s">
        <v>296</v>
      </c>
      <c r="I1317" s="239" t="str">
        <f>IF(ISBLANK(continental!I384),"",continental!I384)</f>
        <v/>
      </c>
      <c r="K1317" s="262" t="s">
        <v>4249</v>
      </c>
      <c r="N1317" s="262" t="s">
        <v>4249</v>
      </c>
    </row>
    <row r="1318" spans="1:14" ht="12.75" customHeight="1" x14ac:dyDescent="0.2">
      <c r="A1318" s="567"/>
      <c r="B1318" s="567" t="s">
        <v>1644</v>
      </c>
      <c r="C1318" s="567"/>
      <c r="D1318" s="567"/>
      <c r="E1318" s="567"/>
      <c r="F1318" s="567"/>
      <c r="G1318" s="568" t="s">
        <v>2362</v>
      </c>
      <c r="H1318" s="568" t="s">
        <v>873</v>
      </c>
      <c r="I1318" s="239" t="str">
        <f>IF(ISBLANK(continental!I385),"",continental!I385)</f>
        <v/>
      </c>
      <c r="K1318" s="262" t="s">
        <v>4249</v>
      </c>
      <c r="N1318" s="262" t="s">
        <v>4249</v>
      </c>
    </row>
    <row r="1319" spans="1:14" ht="12.75" customHeight="1" x14ac:dyDescent="0.2">
      <c r="A1319" s="567"/>
      <c r="B1319" s="567" t="s">
        <v>1646</v>
      </c>
      <c r="C1319" s="567"/>
      <c r="D1319" s="567"/>
      <c r="E1319" s="567"/>
      <c r="F1319" s="567"/>
      <c r="G1319" s="568" t="s">
        <v>2363</v>
      </c>
      <c r="H1319" s="568" t="s">
        <v>296</v>
      </c>
      <c r="I1319" s="239" t="str">
        <f>IF(ISBLANK(continental!I386),"",continental!I386)</f>
        <v/>
      </c>
      <c r="K1319" s="262" t="s">
        <v>4249</v>
      </c>
      <c r="N1319" s="262" t="s">
        <v>4249</v>
      </c>
    </row>
    <row r="1320" spans="1:14" ht="12.75" customHeight="1" x14ac:dyDescent="0.2">
      <c r="A1320" s="567"/>
      <c r="B1320" s="567"/>
      <c r="C1320" s="567" t="s">
        <v>1648</v>
      </c>
      <c r="D1320" s="567"/>
      <c r="E1320" s="567"/>
      <c r="F1320" s="567"/>
      <c r="G1320" s="568" t="s">
        <v>2364</v>
      </c>
      <c r="H1320" s="568" t="s">
        <v>296</v>
      </c>
      <c r="I1320" s="239" t="str">
        <f>IF(ISBLANK(continental!I387),"",continental!I387)</f>
        <v/>
      </c>
      <c r="K1320" s="262" t="s">
        <v>4249</v>
      </c>
      <c r="N1320" s="262" t="s">
        <v>4249</v>
      </c>
    </row>
    <row r="1321" spans="1:14" ht="12.75" customHeight="1" x14ac:dyDescent="0.2">
      <c r="A1321" s="567"/>
      <c r="B1321" s="567"/>
      <c r="C1321" s="567" t="s">
        <v>1650</v>
      </c>
      <c r="D1321" s="567"/>
      <c r="E1321" s="567"/>
      <c r="F1321" s="567"/>
      <c r="G1321" s="568" t="s">
        <v>2365</v>
      </c>
      <c r="H1321" s="568" t="s">
        <v>296</v>
      </c>
      <c r="I1321" s="239" t="str">
        <f>IF(ISBLANK(continental!I388),"",continental!I388)</f>
        <v/>
      </c>
      <c r="K1321" s="262" t="s">
        <v>4249</v>
      </c>
      <c r="N1321" s="262" t="s">
        <v>4249</v>
      </c>
    </row>
    <row r="1322" spans="1:14" ht="12.75" customHeight="1" x14ac:dyDescent="0.2">
      <c r="A1322" s="567"/>
      <c r="B1322" s="567"/>
      <c r="C1322" s="567" t="s">
        <v>1652</v>
      </c>
      <c r="D1322" s="567"/>
      <c r="E1322" s="567"/>
      <c r="F1322" s="567"/>
      <c r="G1322" s="568" t="s">
        <v>2366</v>
      </c>
      <c r="H1322" s="568" t="s">
        <v>296</v>
      </c>
      <c r="I1322" s="239" t="str">
        <f>IF(ISBLANK(continental!I389),"",continental!I389)</f>
        <v/>
      </c>
      <c r="K1322" s="262" t="s">
        <v>4249</v>
      </c>
      <c r="N1322" s="262" t="s">
        <v>4249</v>
      </c>
    </row>
    <row r="1323" spans="1:14" ht="12.75" customHeight="1" x14ac:dyDescent="0.2">
      <c r="A1323" s="567"/>
      <c r="B1323" s="567"/>
      <c r="C1323" s="567" t="s">
        <v>1654</v>
      </c>
      <c r="D1323" s="567"/>
      <c r="E1323" s="567"/>
      <c r="F1323" s="567"/>
      <c r="G1323" s="568" t="s">
        <v>2367</v>
      </c>
      <c r="H1323" s="568" t="s">
        <v>296</v>
      </c>
      <c r="I1323" s="239" t="str">
        <f>IF(ISBLANK(continental!I390),"",continental!I390)</f>
        <v/>
      </c>
      <c r="K1323" s="262" t="s">
        <v>4249</v>
      </c>
      <c r="N1323" s="262" t="s">
        <v>4249</v>
      </c>
    </row>
    <row r="1324" spans="1:14" ht="12.75" customHeight="1" x14ac:dyDescent="0.2">
      <c r="A1324" s="567" t="s">
        <v>1671</v>
      </c>
      <c r="B1324" s="567"/>
      <c r="C1324" s="567"/>
      <c r="D1324" s="567"/>
      <c r="E1324" s="567"/>
      <c r="F1324" s="567"/>
      <c r="G1324" s="568" t="s">
        <v>2368</v>
      </c>
      <c r="H1324" s="568" t="s">
        <v>340</v>
      </c>
      <c r="I1324" s="239" t="str">
        <f>IF(ISBLANK(continental!I391),"",continental!I391)</f>
        <v/>
      </c>
      <c r="K1324" s="262" t="s">
        <v>4249</v>
      </c>
      <c r="N1324" s="262" t="s">
        <v>4249</v>
      </c>
    </row>
    <row r="1325" spans="1:14" ht="12.75" customHeight="1" x14ac:dyDescent="0.2">
      <c r="A1325" s="583" t="s">
        <v>1674</v>
      </c>
      <c r="B1325" s="583"/>
      <c r="C1325" s="583"/>
      <c r="D1325" s="583"/>
      <c r="E1325" s="583"/>
      <c r="F1325" s="583"/>
      <c r="G1325" s="582" t="s">
        <v>2369</v>
      </c>
      <c r="H1325" s="582" t="s">
        <v>340</v>
      </c>
      <c r="I1325" s="239" t="str">
        <f>IF(ISBLANK(continental!I392),"",continental!I392)</f>
        <v/>
      </c>
      <c r="K1325" s="262" t="s">
        <v>4249</v>
      </c>
      <c r="N1325" s="262" t="s">
        <v>4249</v>
      </c>
    </row>
    <row r="1326" spans="1:14" ht="12.75" customHeight="1" x14ac:dyDescent="0.2">
      <c r="A1326" s="567"/>
      <c r="B1326" s="567" t="s">
        <v>1676</v>
      </c>
      <c r="C1326" s="567"/>
      <c r="D1326" s="567"/>
      <c r="E1326" s="567"/>
      <c r="F1326" s="567"/>
      <c r="G1326" s="568" t="s">
        <v>2370</v>
      </c>
      <c r="H1326" s="568" t="s">
        <v>873</v>
      </c>
      <c r="I1326" s="239" t="str">
        <f>IF(ISBLANK(continental!I393),"",continental!I393)</f>
        <v/>
      </c>
      <c r="K1326" s="262" t="s">
        <v>4249</v>
      </c>
      <c r="N1326" s="262" t="s">
        <v>4249</v>
      </c>
    </row>
    <row r="1327" spans="1:14" ht="12.75" customHeight="1" x14ac:dyDescent="0.2">
      <c r="A1327" s="567"/>
      <c r="B1327" s="567" t="s">
        <v>1678</v>
      </c>
      <c r="C1327" s="567"/>
      <c r="D1327" s="567"/>
      <c r="E1327" s="567"/>
      <c r="F1327" s="567"/>
      <c r="G1327" s="568" t="s">
        <v>2371</v>
      </c>
      <c r="H1327" s="568" t="s">
        <v>1680</v>
      </c>
      <c r="I1327" s="239" t="str">
        <f>IF(ISBLANK(continental!I394),"",continental!I394)</f>
        <v/>
      </c>
      <c r="K1327" s="262" t="s">
        <v>4249</v>
      </c>
      <c r="N1327" s="262" t="s">
        <v>4249</v>
      </c>
    </row>
    <row r="1328" spans="1:14" ht="12.75" customHeight="1" x14ac:dyDescent="0.2">
      <c r="A1328" s="567"/>
      <c r="B1328" s="567" t="s">
        <v>1683</v>
      </c>
      <c r="C1328" s="567"/>
      <c r="D1328" s="567"/>
      <c r="E1328" s="567"/>
      <c r="F1328" s="567"/>
      <c r="G1328" s="568" t="s">
        <v>2372</v>
      </c>
      <c r="H1328" s="568" t="s">
        <v>1680</v>
      </c>
      <c r="I1328" s="239" t="str">
        <f>IF(ISBLANK(continental!I395),"",continental!I395)</f>
        <v/>
      </c>
      <c r="K1328" s="262" t="s">
        <v>4249</v>
      </c>
      <c r="N1328" s="262" t="s">
        <v>4249</v>
      </c>
    </row>
    <row r="1329" spans="1:14" ht="12.75" customHeight="1" x14ac:dyDescent="0.2">
      <c r="A1329" s="567"/>
      <c r="B1329" s="567"/>
      <c r="C1329" s="567" t="s">
        <v>1686</v>
      </c>
      <c r="D1329" s="567"/>
      <c r="E1329" s="567"/>
      <c r="F1329" s="567"/>
      <c r="G1329" s="568" t="s">
        <v>2373</v>
      </c>
      <c r="H1329" s="568" t="s">
        <v>873</v>
      </c>
      <c r="I1329" s="239" t="str">
        <f>IF(ISBLANK(continental!I396),"",continental!I396)</f>
        <v/>
      </c>
      <c r="K1329" s="262" t="s">
        <v>4249</v>
      </c>
      <c r="N1329" s="262" t="s">
        <v>4249</v>
      </c>
    </row>
    <row r="1330" spans="1:14" ht="12.75" customHeight="1" x14ac:dyDescent="0.2">
      <c r="A1330" s="567"/>
      <c r="B1330" s="567"/>
      <c r="C1330" s="567" t="s">
        <v>1648</v>
      </c>
      <c r="D1330" s="567"/>
      <c r="E1330" s="567"/>
      <c r="F1330" s="567"/>
      <c r="G1330" s="568" t="s">
        <v>2374</v>
      </c>
      <c r="H1330" s="568" t="s">
        <v>296</v>
      </c>
      <c r="I1330" s="239" t="str">
        <f>IF(ISBLANK(continental!I397),"",continental!I397)</f>
        <v/>
      </c>
      <c r="K1330" s="262" t="s">
        <v>4249</v>
      </c>
      <c r="N1330" s="262" t="s">
        <v>4249</v>
      </c>
    </row>
    <row r="1331" spans="1:14" ht="12.75" customHeight="1" x14ac:dyDescent="0.2">
      <c r="A1331" s="567"/>
      <c r="B1331" s="567"/>
      <c r="C1331" s="567" t="s">
        <v>1650</v>
      </c>
      <c r="D1331" s="567"/>
      <c r="E1331" s="567"/>
      <c r="F1331" s="567"/>
      <c r="G1331" s="568" t="s">
        <v>2375</v>
      </c>
      <c r="H1331" s="568" t="s">
        <v>296</v>
      </c>
      <c r="I1331" s="239" t="str">
        <f>IF(ISBLANK(continental!I398),"",continental!I398)</f>
        <v/>
      </c>
      <c r="K1331" s="262" t="s">
        <v>4249</v>
      </c>
      <c r="N1331" s="262" t="s">
        <v>4249</v>
      </c>
    </row>
    <row r="1332" spans="1:14" ht="12.75" customHeight="1" x14ac:dyDescent="0.2">
      <c r="A1332" s="567"/>
      <c r="B1332" s="567"/>
      <c r="C1332" s="567"/>
      <c r="D1332" s="567" t="s">
        <v>1693</v>
      </c>
      <c r="E1332" s="567"/>
      <c r="F1332" s="567"/>
      <c r="G1332" s="568" t="s">
        <v>2376</v>
      </c>
      <c r="H1332" s="568" t="s">
        <v>820</v>
      </c>
      <c r="I1332" s="239" t="str">
        <f>IF(ISBLANK(continental!I399),"",continental!I399)</f>
        <v/>
      </c>
      <c r="K1332" s="262" t="s">
        <v>4249</v>
      </c>
      <c r="N1332" s="262" t="s">
        <v>4249</v>
      </c>
    </row>
    <row r="1333" spans="1:14" ht="12.75" customHeight="1" x14ac:dyDescent="0.2">
      <c r="A1333" s="567"/>
      <c r="B1333" s="567"/>
      <c r="C1333" s="567"/>
      <c r="D1333" s="567" t="s">
        <v>1695</v>
      </c>
      <c r="E1333" s="567"/>
      <c r="F1333" s="567"/>
      <c r="G1333" s="568" t="s">
        <v>2377</v>
      </c>
      <c r="H1333" s="568" t="s">
        <v>820</v>
      </c>
      <c r="I1333" s="239" t="str">
        <f>IF(ISBLANK(continental!I400),"",continental!I400)</f>
        <v/>
      </c>
      <c r="K1333" s="262" t="s">
        <v>4249</v>
      </c>
      <c r="N1333" s="262" t="s">
        <v>4249</v>
      </c>
    </row>
    <row r="1334" spans="1:14" ht="12.75" customHeight="1" x14ac:dyDescent="0.2">
      <c r="A1334" s="567"/>
      <c r="B1334" s="567"/>
      <c r="C1334" s="567"/>
      <c r="D1334" s="567" t="s">
        <v>1697</v>
      </c>
      <c r="E1334" s="567"/>
      <c r="F1334" s="567"/>
      <c r="G1334" s="568" t="s">
        <v>2378</v>
      </c>
      <c r="H1334" s="568" t="s">
        <v>296</v>
      </c>
      <c r="I1334" s="239" t="str">
        <f>IF(ISBLANK(continental!I401),"",continental!I401)</f>
        <v/>
      </c>
      <c r="K1334" s="262" t="s">
        <v>4249</v>
      </c>
      <c r="N1334" s="262" t="s">
        <v>4249</v>
      </c>
    </row>
    <row r="1335" spans="1:14" ht="12.75" customHeight="1" x14ac:dyDescent="0.2">
      <c r="A1335" s="567"/>
      <c r="B1335" s="567"/>
      <c r="C1335" s="567" t="s">
        <v>1652</v>
      </c>
      <c r="D1335" s="567"/>
      <c r="E1335" s="567"/>
      <c r="F1335" s="567"/>
      <c r="G1335" s="568" t="s">
        <v>2379</v>
      </c>
      <c r="H1335" s="568" t="s">
        <v>296</v>
      </c>
      <c r="I1335" s="239" t="str">
        <f>IF(ISBLANK(continental!I402),"",continental!I402)</f>
        <v/>
      </c>
      <c r="K1335" s="262" t="s">
        <v>4249</v>
      </c>
      <c r="N1335" s="262" t="s">
        <v>4249</v>
      </c>
    </row>
    <row r="1336" spans="1:14" ht="12.75" customHeight="1" x14ac:dyDescent="0.2">
      <c r="A1336" s="567" t="s">
        <v>1701</v>
      </c>
      <c r="B1336" s="567"/>
      <c r="C1336" s="567"/>
      <c r="D1336" s="567"/>
      <c r="E1336" s="567"/>
      <c r="F1336" s="567"/>
      <c r="G1336" s="568" t="s">
        <v>2380</v>
      </c>
      <c r="H1336" s="568" t="s">
        <v>340</v>
      </c>
      <c r="I1336" s="239" t="str">
        <f>IF(ISBLANK(continental!I403),"",continental!I403)</f>
        <v/>
      </c>
      <c r="K1336" s="262" t="s">
        <v>4249</v>
      </c>
      <c r="N1336" s="262" t="s">
        <v>4249</v>
      </c>
    </row>
    <row r="1337" spans="1:14" ht="12.75" customHeight="1" x14ac:dyDescent="0.2">
      <c r="A1337" s="567"/>
      <c r="B1337" s="567" t="s">
        <v>1676</v>
      </c>
      <c r="C1337" s="567"/>
      <c r="D1337" s="567"/>
      <c r="E1337" s="567"/>
      <c r="F1337" s="567"/>
      <c r="G1337" s="568" t="s">
        <v>2381</v>
      </c>
      <c r="H1337" s="568" t="s">
        <v>873</v>
      </c>
      <c r="I1337" s="239" t="str">
        <f>IF(ISBLANK(continental!I404),"",continental!I404)</f>
        <v/>
      </c>
      <c r="K1337" s="262" t="s">
        <v>4249</v>
      </c>
      <c r="N1337" s="262" t="s">
        <v>4249</v>
      </c>
    </row>
    <row r="1338" spans="1:14" ht="12.75" customHeight="1" x14ac:dyDescent="0.2">
      <c r="A1338" s="567"/>
      <c r="B1338" s="567" t="s">
        <v>1678</v>
      </c>
      <c r="C1338" s="567"/>
      <c r="D1338" s="567"/>
      <c r="E1338" s="567"/>
      <c r="F1338" s="567"/>
      <c r="G1338" s="568" t="s">
        <v>2382</v>
      </c>
      <c r="H1338" s="568" t="s">
        <v>1680</v>
      </c>
      <c r="I1338" s="239" t="str">
        <f>IF(ISBLANK(continental!I405),"",continental!I405)</f>
        <v/>
      </c>
      <c r="K1338" s="262" t="s">
        <v>4249</v>
      </c>
      <c r="N1338" s="262" t="s">
        <v>4249</v>
      </c>
    </row>
    <row r="1339" spans="1:14" ht="12.75" customHeight="1" x14ac:dyDescent="0.2">
      <c r="A1339" s="567"/>
      <c r="B1339" s="567" t="s">
        <v>1683</v>
      </c>
      <c r="C1339" s="567"/>
      <c r="D1339" s="567"/>
      <c r="E1339" s="567"/>
      <c r="F1339" s="567"/>
      <c r="G1339" s="568" t="s">
        <v>2383</v>
      </c>
      <c r="H1339" s="568" t="s">
        <v>1680</v>
      </c>
      <c r="I1339" s="239" t="str">
        <f>IF(ISBLANK(continental!I406),"",continental!I406)</f>
        <v/>
      </c>
      <c r="K1339" s="262" t="s">
        <v>4249</v>
      </c>
      <c r="N1339" s="262" t="s">
        <v>4249</v>
      </c>
    </row>
    <row r="1340" spans="1:14" ht="12.75" customHeight="1" x14ac:dyDescent="0.2">
      <c r="A1340" s="567"/>
      <c r="B1340" s="567"/>
      <c r="C1340" s="567" t="s">
        <v>1686</v>
      </c>
      <c r="D1340" s="567"/>
      <c r="E1340" s="567"/>
      <c r="F1340" s="567"/>
      <c r="G1340" s="568" t="s">
        <v>2384</v>
      </c>
      <c r="H1340" s="568" t="s">
        <v>873</v>
      </c>
      <c r="I1340" s="239" t="str">
        <f>IF(ISBLANK(continental!I407),"",continental!I407)</f>
        <v/>
      </c>
      <c r="K1340" s="262" t="s">
        <v>4249</v>
      </c>
      <c r="N1340" s="262" t="s">
        <v>4249</v>
      </c>
    </row>
    <row r="1341" spans="1:14" ht="12.75" customHeight="1" x14ac:dyDescent="0.2">
      <c r="A1341" s="567"/>
      <c r="B1341" s="567"/>
      <c r="C1341" s="567" t="s">
        <v>1648</v>
      </c>
      <c r="D1341" s="567"/>
      <c r="E1341" s="567"/>
      <c r="F1341" s="567"/>
      <c r="G1341" s="568" t="s">
        <v>2385</v>
      </c>
      <c r="H1341" s="568" t="s">
        <v>296</v>
      </c>
      <c r="I1341" s="239" t="str">
        <f>IF(ISBLANK(continental!I408),"",continental!I408)</f>
        <v/>
      </c>
      <c r="K1341" s="262" t="s">
        <v>4249</v>
      </c>
      <c r="N1341" s="262" t="s">
        <v>4249</v>
      </c>
    </row>
    <row r="1342" spans="1:14" ht="12.75" customHeight="1" x14ac:dyDescent="0.2">
      <c r="A1342" s="567"/>
      <c r="B1342" s="567"/>
      <c r="C1342" s="567" t="s">
        <v>1650</v>
      </c>
      <c r="D1342" s="567"/>
      <c r="E1342" s="567"/>
      <c r="F1342" s="567"/>
      <c r="G1342" s="568" t="s">
        <v>2386</v>
      </c>
      <c r="H1342" s="568" t="s">
        <v>296</v>
      </c>
      <c r="I1342" s="239" t="str">
        <f>IF(ISBLANK(continental!I409),"",continental!I409)</f>
        <v/>
      </c>
      <c r="K1342" s="262" t="s">
        <v>4249</v>
      </c>
      <c r="N1342" s="262" t="s">
        <v>4249</v>
      </c>
    </row>
    <row r="1343" spans="1:14" ht="12.75" customHeight="1" x14ac:dyDescent="0.2">
      <c r="A1343" s="567"/>
      <c r="B1343" s="567"/>
      <c r="C1343" s="567"/>
      <c r="D1343" s="567" t="s">
        <v>1693</v>
      </c>
      <c r="E1343" s="567"/>
      <c r="F1343" s="567"/>
      <c r="G1343" s="568" t="s">
        <v>2387</v>
      </c>
      <c r="H1343" s="568" t="s">
        <v>820</v>
      </c>
      <c r="I1343" s="239" t="str">
        <f>IF(ISBLANK(continental!I410),"",continental!I410)</f>
        <v/>
      </c>
      <c r="K1343" s="262" t="s">
        <v>4249</v>
      </c>
      <c r="N1343" s="262" t="s">
        <v>4249</v>
      </c>
    </row>
    <row r="1344" spans="1:14" ht="12.75" customHeight="1" x14ac:dyDescent="0.2">
      <c r="A1344" s="567"/>
      <c r="B1344" s="567"/>
      <c r="C1344" s="567"/>
      <c r="D1344" s="567" t="s">
        <v>1695</v>
      </c>
      <c r="E1344" s="567"/>
      <c r="F1344" s="567"/>
      <c r="G1344" s="568" t="s">
        <v>2388</v>
      </c>
      <c r="H1344" s="568" t="s">
        <v>820</v>
      </c>
      <c r="I1344" s="239" t="str">
        <f>IF(ISBLANK(continental!I411),"",continental!I411)</f>
        <v/>
      </c>
      <c r="K1344" s="262" t="s">
        <v>4249</v>
      </c>
      <c r="N1344" s="262" t="s">
        <v>4249</v>
      </c>
    </row>
    <row r="1345" spans="1:14" ht="12.75" customHeight="1" x14ac:dyDescent="0.2">
      <c r="A1345" s="567"/>
      <c r="B1345" s="567"/>
      <c r="C1345" s="567"/>
      <c r="D1345" s="567" t="s">
        <v>1697</v>
      </c>
      <c r="E1345" s="567"/>
      <c r="F1345" s="567"/>
      <c r="G1345" s="568" t="s">
        <v>2389</v>
      </c>
      <c r="H1345" s="568" t="s">
        <v>296</v>
      </c>
      <c r="I1345" s="239" t="str">
        <f>IF(ISBLANK(continental!I412),"",continental!I412)</f>
        <v/>
      </c>
      <c r="K1345" s="262" t="s">
        <v>4249</v>
      </c>
      <c r="N1345" s="262" t="s">
        <v>4249</v>
      </c>
    </row>
    <row r="1346" spans="1:14" ht="12.75" customHeight="1" x14ac:dyDescent="0.2">
      <c r="A1346" s="567"/>
      <c r="B1346" s="567"/>
      <c r="C1346" s="567" t="s">
        <v>1652</v>
      </c>
      <c r="D1346" s="567"/>
      <c r="E1346" s="567"/>
      <c r="F1346" s="567"/>
      <c r="G1346" s="568" t="s">
        <v>2390</v>
      </c>
      <c r="H1346" s="568" t="s">
        <v>296</v>
      </c>
      <c r="I1346" s="239" t="str">
        <f>IF(ISBLANK(continental!I413),"",continental!I413)</f>
        <v/>
      </c>
      <c r="K1346" s="262" t="s">
        <v>4249</v>
      </c>
      <c r="N1346" s="262" t="s">
        <v>4249</v>
      </c>
    </row>
    <row r="1347" spans="1:14" ht="12.75" customHeight="1" x14ac:dyDescent="0.2">
      <c r="A1347" s="567" t="s">
        <v>1713</v>
      </c>
      <c r="B1347" s="567"/>
      <c r="C1347" s="567"/>
      <c r="D1347" s="567"/>
      <c r="E1347" s="567"/>
      <c r="F1347" s="567"/>
      <c r="G1347" s="568" t="s">
        <v>2391</v>
      </c>
      <c r="H1347" s="568" t="s">
        <v>340</v>
      </c>
      <c r="I1347" s="239" t="str">
        <f>IF(ISBLANK(continental!I414),"",continental!I414)</f>
        <v/>
      </c>
      <c r="K1347" s="262" t="s">
        <v>4249</v>
      </c>
      <c r="N1347" s="262" t="s">
        <v>4249</v>
      </c>
    </row>
    <row r="1348" spans="1:14" ht="12.75" customHeight="1" x14ac:dyDescent="0.2">
      <c r="A1348" s="567"/>
      <c r="B1348" s="567" t="s">
        <v>1676</v>
      </c>
      <c r="C1348" s="567"/>
      <c r="D1348" s="567"/>
      <c r="E1348" s="567"/>
      <c r="F1348" s="567"/>
      <c r="G1348" s="568" t="s">
        <v>2392</v>
      </c>
      <c r="H1348" s="568" t="s">
        <v>873</v>
      </c>
      <c r="I1348" s="239" t="str">
        <f>IF(ISBLANK(continental!I415),"",continental!I415)</f>
        <v/>
      </c>
      <c r="K1348" s="262" t="s">
        <v>4249</v>
      </c>
      <c r="N1348" s="262" t="s">
        <v>4249</v>
      </c>
    </row>
    <row r="1349" spans="1:14" ht="12.75" customHeight="1" x14ac:dyDescent="0.2">
      <c r="A1349" s="567"/>
      <c r="B1349" s="567" t="s">
        <v>1678</v>
      </c>
      <c r="C1349" s="567"/>
      <c r="D1349" s="567"/>
      <c r="E1349" s="567"/>
      <c r="F1349" s="567"/>
      <c r="G1349" s="568" t="s">
        <v>2393</v>
      </c>
      <c r="H1349" s="568" t="s">
        <v>1680</v>
      </c>
      <c r="I1349" s="239" t="str">
        <f>IF(ISBLANK(continental!I416),"",continental!I416)</f>
        <v/>
      </c>
      <c r="K1349" s="262" t="s">
        <v>4249</v>
      </c>
      <c r="N1349" s="262" t="s">
        <v>4249</v>
      </c>
    </row>
    <row r="1350" spans="1:14" ht="12.75" customHeight="1" x14ac:dyDescent="0.2">
      <c r="A1350" s="567"/>
      <c r="B1350" s="567" t="s">
        <v>1683</v>
      </c>
      <c r="C1350" s="567"/>
      <c r="D1350" s="567"/>
      <c r="E1350" s="567"/>
      <c r="F1350" s="567"/>
      <c r="G1350" s="568" t="s">
        <v>2394</v>
      </c>
      <c r="H1350" s="568" t="s">
        <v>1680</v>
      </c>
      <c r="I1350" s="239" t="str">
        <f>IF(ISBLANK(continental!I417),"",continental!I417)</f>
        <v/>
      </c>
      <c r="K1350" s="262" t="s">
        <v>4249</v>
      </c>
      <c r="N1350" s="262" t="s">
        <v>4249</v>
      </c>
    </row>
    <row r="1351" spans="1:14" ht="12.75" customHeight="1" x14ac:dyDescent="0.2">
      <c r="A1351" s="567"/>
      <c r="B1351" s="567"/>
      <c r="C1351" s="567" t="s">
        <v>1686</v>
      </c>
      <c r="D1351" s="567"/>
      <c r="E1351" s="567"/>
      <c r="F1351" s="567"/>
      <c r="G1351" s="568" t="s">
        <v>2395</v>
      </c>
      <c r="H1351" s="568" t="s">
        <v>873</v>
      </c>
      <c r="I1351" s="239" t="str">
        <f>IF(ISBLANK(continental!I418),"",continental!I418)</f>
        <v/>
      </c>
      <c r="K1351" s="262" t="s">
        <v>4249</v>
      </c>
      <c r="N1351" s="262" t="s">
        <v>4249</v>
      </c>
    </row>
    <row r="1352" spans="1:14" ht="12.75" customHeight="1" x14ac:dyDescent="0.2">
      <c r="A1352" s="567"/>
      <c r="B1352" s="567"/>
      <c r="C1352" s="567" t="s">
        <v>1648</v>
      </c>
      <c r="D1352" s="567"/>
      <c r="E1352" s="567"/>
      <c r="F1352" s="567"/>
      <c r="G1352" s="568" t="s">
        <v>2396</v>
      </c>
      <c r="H1352" s="568" t="s">
        <v>296</v>
      </c>
      <c r="I1352" s="239" t="str">
        <f>IF(ISBLANK(continental!I419),"",continental!I419)</f>
        <v/>
      </c>
      <c r="K1352" s="262" t="s">
        <v>4249</v>
      </c>
      <c r="N1352" s="262" t="s">
        <v>4249</v>
      </c>
    </row>
    <row r="1353" spans="1:14" ht="12.75" customHeight="1" x14ac:dyDescent="0.2">
      <c r="A1353" s="567"/>
      <c r="B1353" s="567"/>
      <c r="C1353" s="567" t="s">
        <v>1650</v>
      </c>
      <c r="D1353" s="567"/>
      <c r="E1353" s="567"/>
      <c r="F1353" s="567"/>
      <c r="G1353" s="568" t="s">
        <v>2397</v>
      </c>
      <c r="H1353" s="568" t="s">
        <v>296</v>
      </c>
      <c r="I1353" s="239" t="str">
        <f>IF(ISBLANK(continental!I420),"",continental!I420)</f>
        <v/>
      </c>
      <c r="K1353" s="262" t="s">
        <v>4249</v>
      </c>
      <c r="N1353" s="262" t="s">
        <v>4249</v>
      </c>
    </row>
    <row r="1354" spans="1:14" ht="12.75" customHeight="1" x14ac:dyDescent="0.2">
      <c r="A1354" s="567"/>
      <c r="B1354" s="567"/>
      <c r="C1354" s="567"/>
      <c r="D1354" s="567" t="s">
        <v>1693</v>
      </c>
      <c r="E1354" s="567"/>
      <c r="F1354" s="567"/>
      <c r="G1354" s="568" t="s">
        <v>2398</v>
      </c>
      <c r="H1354" s="568" t="s">
        <v>820</v>
      </c>
      <c r="I1354" s="239" t="str">
        <f>IF(ISBLANK(continental!I421),"",continental!I421)</f>
        <v/>
      </c>
      <c r="K1354" s="262" t="s">
        <v>4249</v>
      </c>
      <c r="N1354" s="262" t="s">
        <v>4249</v>
      </c>
    </row>
    <row r="1355" spans="1:14" ht="12.75" customHeight="1" x14ac:dyDescent="0.2">
      <c r="A1355" s="567"/>
      <c r="B1355" s="567"/>
      <c r="C1355" s="567"/>
      <c r="D1355" s="567" t="s">
        <v>1695</v>
      </c>
      <c r="E1355" s="567"/>
      <c r="F1355" s="567"/>
      <c r="G1355" s="568" t="s">
        <v>2399</v>
      </c>
      <c r="H1355" s="568" t="s">
        <v>820</v>
      </c>
      <c r="I1355" s="239" t="str">
        <f>IF(ISBLANK(continental!I422),"",continental!I422)</f>
        <v/>
      </c>
      <c r="K1355" s="262" t="s">
        <v>4249</v>
      </c>
      <c r="N1355" s="262" t="s">
        <v>4249</v>
      </c>
    </row>
    <row r="1356" spans="1:14" ht="12.75" customHeight="1" x14ac:dyDescent="0.2">
      <c r="A1356" s="567"/>
      <c r="B1356" s="567"/>
      <c r="C1356" s="567"/>
      <c r="D1356" s="567" t="s">
        <v>1697</v>
      </c>
      <c r="E1356" s="567"/>
      <c r="F1356" s="567"/>
      <c r="G1356" s="568" t="s">
        <v>2400</v>
      </c>
      <c r="H1356" s="568" t="s">
        <v>296</v>
      </c>
      <c r="I1356" s="239" t="str">
        <f>IF(ISBLANK(continental!I423),"",continental!I423)</f>
        <v/>
      </c>
      <c r="K1356" s="262" t="s">
        <v>4249</v>
      </c>
      <c r="N1356" s="262" t="s">
        <v>4249</v>
      </c>
    </row>
    <row r="1357" spans="1:14" ht="12.75" customHeight="1" x14ac:dyDescent="0.2">
      <c r="A1357" s="567"/>
      <c r="B1357" s="567"/>
      <c r="C1357" s="567" t="s">
        <v>1652</v>
      </c>
      <c r="D1357" s="567"/>
      <c r="E1357" s="567"/>
      <c r="F1357" s="567"/>
      <c r="G1357" s="568" t="s">
        <v>2401</v>
      </c>
      <c r="H1357" s="568" t="s">
        <v>296</v>
      </c>
      <c r="I1357" s="239" t="str">
        <f>IF(ISBLANK(continental!I424),"",continental!I424)</f>
        <v/>
      </c>
      <c r="K1357" s="262" t="s">
        <v>4249</v>
      </c>
      <c r="N1357" s="262" t="s">
        <v>4249</v>
      </c>
    </row>
    <row r="1358" spans="1:14" ht="12.75" customHeight="1" x14ac:dyDescent="0.2">
      <c r="A1358" s="567" t="s">
        <v>1725</v>
      </c>
      <c r="B1358" s="567"/>
      <c r="C1358" s="567"/>
      <c r="D1358" s="567"/>
      <c r="E1358" s="567"/>
      <c r="F1358" s="567"/>
      <c r="G1358" s="568" t="s">
        <v>2402</v>
      </c>
      <c r="H1358" s="568" t="s">
        <v>340</v>
      </c>
      <c r="I1358" s="239" t="str">
        <f>IF(ISBLANK(continental!I425),"",continental!I425)</f>
        <v/>
      </c>
      <c r="K1358" s="262" t="s">
        <v>4249</v>
      </c>
      <c r="N1358" s="262" t="s">
        <v>4249</v>
      </c>
    </row>
    <row r="1359" spans="1:14" ht="12.75" customHeight="1" x14ac:dyDescent="0.2">
      <c r="A1359" s="567"/>
      <c r="B1359" s="567" t="s">
        <v>1676</v>
      </c>
      <c r="C1359" s="567"/>
      <c r="D1359" s="567"/>
      <c r="E1359" s="567"/>
      <c r="F1359" s="567"/>
      <c r="G1359" s="568" t="s">
        <v>2403</v>
      </c>
      <c r="H1359" s="568" t="s">
        <v>873</v>
      </c>
      <c r="I1359" s="239" t="str">
        <f>IF(ISBLANK(continental!I426),"",continental!I426)</f>
        <v/>
      </c>
      <c r="K1359" s="262" t="s">
        <v>4249</v>
      </c>
      <c r="N1359" s="262" t="s">
        <v>4249</v>
      </c>
    </row>
    <row r="1360" spans="1:14" ht="12.75" customHeight="1" x14ac:dyDescent="0.2">
      <c r="A1360" s="567"/>
      <c r="B1360" s="567" t="s">
        <v>1683</v>
      </c>
      <c r="C1360" s="567"/>
      <c r="D1360" s="567"/>
      <c r="E1360" s="567"/>
      <c r="F1360" s="567"/>
      <c r="G1360" s="568" t="s">
        <v>2404</v>
      </c>
      <c r="H1360" s="568" t="s">
        <v>1680</v>
      </c>
      <c r="I1360" s="239" t="str">
        <f>IF(ISBLANK(continental!I427),"",continental!I427)</f>
        <v/>
      </c>
      <c r="K1360" s="262" t="s">
        <v>4249</v>
      </c>
      <c r="N1360" s="262" t="s">
        <v>4249</v>
      </c>
    </row>
    <row r="1361" spans="1:14" ht="12.75" customHeight="1" x14ac:dyDescent="0.2">
      <c r="A1361" s="567"/>
      <c r="B1361" s="567"/>
      <c r="C1361" s="567" t="s">
        <v>1648</v>
      </c>
      <c r="D1361" s="567"/>
      <c r="E1361" s="567"/>
      <c r="F1361" s="567"/>
      <c r="G1361" s="568" t="s">
        <v>2405</v>
      </c>
      <c r="H1361" s="568" t="s">
        <v>296</v>
      </c>
      <c r="I1361" s="239" t="str">
        <f>IF(ISBLANK(continental!I428),"",continental!I428)</f>
        <v/>
      </c>
      <c r="K1361" s="262" t="s">
        <v>4249</v>
      </c>
      <c r="N1361" s="262" t="s">
        <v>4249</v>
      </c>
    </row>
    <row r="1362" spans="1:14" ht="12.75" customHeight="1" x14ac:dyDescent="0.2">
      <c r="A1362" s="567"/>
      <c r="B1362" s="567"/>
      <c r="C1362" s="567" t="s">
        <v>1650</v>
      </c>
      <c r="D1362" s="567"/>
      <c r="E1362" s="567"/>
      <c r="F1362" s="567"/>
      <c r="G1362" s="568" t="s">
        <v>2406</v>
      </c>
      <c r="H1362" s="568" t="s">
        <v>296</v>
      </c>
      <c r="I1362" s="239" t="str">
        <f>IF(ISBLANK(continental!I429),"",continental!I429)</f>
        <v/>
      </c>
      <c r="K1362" s="262" t="s">
        <v>4249</v>
      </c>
      <c r="N1362" s="262" t="s">
        <v>4249</v>
      </c>
    </row>
    <row r="1363" spans="1:14" ht="12.75" customHeight="1" x14ac:dyDescent="0.2">
      <c r="A1363" s="567"/>
      <c r="B1363" s="567"/>
      <c r="C1363" s="567" t="s">
        <v>1652</v>
      </c>
      <c r="D1363" s="567"/>
      <c r="E1363" s="567"/>
      <c r="F1363" s="567"/>
      <c r="G1363" s="568" t="s">
        <v>2407</v>
      </c>
      <c r="H1363" s="568" t="s">
        <v>296</v>
      </c>
      <c r="I1363" s="239" t="str">
        <f>IF(ISBLANK(continental!I430),"",continental!I430)</f>
        <v/>
      </c>
      <c r="K1363" s="262" t="s">
        <v>4249</v>
      </c>
      <c r="N1363" s="262" t="s">
        <v>4249</v>
      </c>
    </row>
    <row r="1364" spans="1:14" ht="12.75" customHeight="1" x14ac:dyDescent="0.2">
      <c r="A1364" s="567" t="s">
        <v>1732</v>
      </c>
      <c r="B1364" s="567"/>
      <c r="C1364" s="567"/>
      <c r="D1364" s="567"/>
      <c r="E1364" s="567"/>
      <c r="F1364" s="567"/>
      <c r="G1364" s="568" t="s">
        <v>2408</v>
      </c>
      <c r="H1364" s="568" t="s">
        <v>340</v>
      </c>
      <c r="I1364" s="239" t="str">
        <f>IF(ISBLANK(continental!I431),"",continental!I431)</f>
        <v/>
      </c>
      <c r="K1364" s="262" t="s">
        <v>4249</v>
      </c>
      <c r="N1364" s="262" t="s">
        <v>4249</v>
      </c>
    </row>
    <row r="1365" spans="1:14" ht="12.75" customHeight="1" x14ac:dyDescent="0.2">
      <c r="A1365" s="567"/>
      <c r="B1365" s="567" t="s">
        <v>1676</v>
      </c>
      <c r="C1365" s="567"/>
      <c r="D1365" s="567"/>
      <c r="E1365" s="567"/>
      <c r="F1365" s="567"/>
      <c r="G1365" s="568" t="s">
        <v>2409</v>
      </c>
      <c r="H1365" s="568" t="s">
        <v>873</v>
      </c>
      <c r="I1365" s="239" t="str">
        <f>IF(ISBLANK(continental!I432),"",continental!I432)</f>
        <v/>
      </c>
      <c r="K1365" s="262" t="s">
        <v>4249</v>
      </c>
      <c r="N1365" s="262" t="s">
        <v>4249</v>
      </c>
    </row>
    <row r="1366" spans="1:14" ht="12.75" customHeight="1" x14ac:dyDescent="0.2">
      <c r="A1366" s="567"/>
      <c r="B1366" s="567" t="s">
        <v>1683</v>
      </c>
      <c r="C1366" s="567"/>
      <c r="D1366" s="567"/>
      <c r="E1366" s="567"/>
      <c r="F1366" s="567"/>
      <c r="G1366" s="568" t="s">
        <v>2410</v>
      </c>
      <c r="H1366" s="568" t="s">
        <v>1680</v>
      </c>
      <c r="I1366" s="239" t="str">
        <f>IF(ISBLANK(continental!I433),"",continental!I433)</f>
        <v/>
      </c>
      <c r="K1366" s="262" t="s">
        <v>4249</v>
      </c>
      <c r="N1366" s="262" t="s">
        <v>4249</v>
      </c>
    </row>
    <row r="1367" spans="1:14" ht="12.75" customHeight="1" x14ac:dyDescent="0.2">
      <c r="A1367" s="567"/>
      <c r="B1367" s="567"/>
      <c r="C1367" s="567" t="s">
        <v>1648</v>
      </c>
      <c r="D1367" s="567"/>
      <c r="E1367" s="567"/>
      <c r="F1367" s="567"/>
      <c r="G1367" s="568" t="s">
        <v>2411</v>
      </c>
      <c r="H1367" s="568" t="s">
        <v>296</v>
      </c>
      <c r="I1367" s="239" t="str">
        <f>IF(ISBLANK(continental!I434),"",continental!I434)</f>
        <v/>
      </c>
      <c r="K1367" s="262" t="s">
        <v>4249</v>
      </c>
      <c r="N1367" s="262" t="s">
        <v>4249</v>
      </c>
    </row>
    <row r="1368" spans="1:14" ht="12.75" customHeight="1" x14ac:dyDescent="0.2">
      <c r="A1368" s="567"/>
      <c r="B1368" s="567"/>
      <c r="C1368" s="567" t="s">
        <v>1650</v>
      </c>
      <c r="D1368" s="567"/>
      <c r="E1368" s="567"/>
      <c r="F1368" s="567"/>
      <c r="G1368" s="568" t="s">
        <v>2412</v>
      </c>
      <c r="H1368" s="568" t="s">
        <v>296</v>
      </c>
      <c r="I1368" s="239" t="str">
        <f>IF(ISBLANK(continental!I435),"",continental!I435)</f>
        <v/>
      </c>
      <c r="K1368" s="262" t="s">
        <v>4249</v>
      </c>
      <c r="N1368" s="262" t="s">
        <v>4249</v>
      </c>
    </row>
    <row r="1369" spans="1:14" ht="12.75" customHeight="1" x14ac:dyDescent="0.2">
      <c r="A1369" s="567"/>
      <c r="B1369" s="567"/>
      <c r="C1369" s="567" t="s">
        <v>1652</v>
      </c>
      <c r="D1369" s="567"/>
      <c r="E1369" s="567"/>
      <c r="F1369" s="567"/>
      <c r="G1369" s="568" t="s">
        <v>2413</v>
      </c>
      <c r="H1369" s="568" t="s">
        <v>296</v>
      </c>
      <c r="I1369" s="239" t="str">
        <f>IF(ISBLANK(continental!I436),"",continental!I436)</f>
        <v/>
      </c>
      <c r="K1369" s="262" t="s">
        <v>4249</v>
      </c>
      <c r="N1369" s="262" t="s">
        <v>4249</v>
      </c>
    </row>
    <row r="1370" spans="1:14" ht="12.75" customHeight="1" x14ac:dyDescent="0.2">
      <c r="A1370" s="567" t="s">
        <v>1739</v>
      </c>
      <c r="B1370" s="567"/>
      <c r="C1370" s="567"/>
      <c r="D1370" s="567"/>
      <c r="E1370" s="567"/>
      <c r="F1370" s="567"/>
      <c r="G1370" s="568" t="s">
        <v>2414</v>
      </c>
      <c r="H1370" s="568" t="s">
        <v>340</v>
      </c>
      <c r="I1370" s="239" t="str">
        <f>IF(ISBLANK(continental!I437),"",continental!I437)</f>
        <v/>
      </c>
      <c r="K1370" s="262" t="s">
        <v>4249</v>
      </c>
      <c r="N1370" s="262" t="s">
        <v>4249</v>
      </c>
    </row>
    <row r="1371" spans="1:14" ht="12.75" customHeight="1" x14ac:dyDescent="0.2">
      <c r="A1371" s="567"/>
      <c r="B1371" s="567" t="s">
        <v>1676</v>
      </c>
      <c r="C1371" s="567"/>
      <c r="D1371" s="567"/>
      <c r="E1371" s="567"/>
      <c r="F1371" s="567"/>
      <c r="G1371" s="568" t="s">
        <v>2415</v>
      </c>
      <c r="H1371" s="568" t="s">
        <v>873</v>
      </c>
      <c r="I1371" s="239" t="str">
        <f>IF(ISBLANK(continental!I438),"",continental!I438)</f>
        <v/>
      </c>
      <c r="K1371" s="262" t="s">
        <v>4249</v>
      </c>
      <c r="N1371" s="262" t="s">
        <v>4249</v>
      </c>
    </row>
    <row r="1372" spans="1:14" ht="12.75" customHeight="1" x14ac:dyDescent="0.2">
      <c r="A1372" s="567"/>
      <c r="B1372" s="567" t="s">
        <v>1683</v>
      </c>
      <c r="C1372" s="567"/>
      <c r="D1372" s="567"/>
      <c r="E1372" s="567"/>
      <c r="F1372" s="567"/>
      <c r="G1372" s="568" t="s">
        <v>2416</v>
      </c>
      <c r="H1372" s="568" t="s">
        <v>1680</v>
      </c>
      <c r="I1372" s="239" t="str">
        <f>IF(ISBLANK(continental!I439),"",continental!I439)</f>
        <v/>
      </c>
      <c r="K1372" s="262" t="s">
        <v>4249</v>
      </c>
      <c r="N1372" s="262" t="s">
        <v>4249</v>
      </c>
    </row>
    <row r="1373" spans="1:14" ht="12.75" customHeight="1" x14ac:dyDescent="0.2">
      <c r="A1373" s="567"/>
      <c r="B1373" s="567"/>
      <c r="C1373" s="567" t="s">
        <v>1648</v>
      </c>
      <c r="D1373" s="567"/>
      <c r="E1373" s="567"/>
      <c r="F1373" s="567"/>
      <c r="G1373" s="568" t="s">
        <v>2417</v>
      </c>
      <c r="H1373" s="568" t="s">
        <v>296</v>
      </c>
      <c r="I1373" s="239" t="str">
        <f>IF(ISBLANK(continental!I440),"",continental!I440)</f>
        <v/>
      </c>
      <c r="K1373" s="262" t="s">
        <v>4249</v>
      </c>
      <c r="N1373" s="262" t="s">
        <v>4249</v>
      </c>
    </row>
    <row r="1374" spans="1:14" ht="12.75" customHeight="1" x14ac:dyDescent="0.2">
      <c r="A1374" s="567"/>
      <c r="B1374" s="567"/>
      <c r="C1374" s="567" t="s">
        <v>1650</v>
      </c>
      <c r="D1374" s="567"/>
      <c r="E1374" s="567"/>
      <c r="F1374" s="567"/>
      <c r="G1374" s="568" t="s">
        <v>2418</v>
      </c>
      <c r="H1374" s="568" t="s">
        <v>296</v>
      </c>
      <c r="I1374" s="239" t="str">
        <f>IF(ISBLANK(continental!I441),"",continental!I441)</f>
        <v/>
      </c>
      <c r="K1374" s="262" t="s">
        <v>4249</v>
      </c>
      <c r="N1374" s="262" t="s">
        <v>4249</v>
      </c>
    </row>
    <row r="1375" spans="1:14" ht="12.75" customHeight="1" x14ac:dyDescent="0.2">
      <c r="A1375" s="567"/>
      <c r="B1375" s="567"/>
      <c r="C1375" s="567" t="s">
        <v>1652</v>
      </c>
      <c r="D1375" s="567"/>
      <c r="E1375" s="567"/>
      <c r="F1375" s="567"/>
      <c r="G1375" s="568" t="s">
        <v>2419</v>
      </c>
      <c r="H1375" s="568" t="s">
        <v>296</v>
      </c>
      <c r="I1375" s="239" t="str">
        <f>IF(ISBLANK(continental!I442),"",continental!I442)</f>
        <v/>
      </c>
      <c r="K1375" s="262" t="s">
        <v>4249</v>
      </c>
      <c r="N1375" s="262" t="s">
        <v>4249</v>
      </c>
    </row>
    <row r="1376" spans="1:14" ht="12.75" customHeight="1" x14ac:dyDescent="0.2">
      <c r="A1376" s="567" t="s">
        <v>1746</v>
      </c>
      <c r="B1376" s="567"/>
      <c r="C1376" s="567"/>
      <c r="D1376" s="567"/>
      <c r="E1376" s="567"/>
      <c r="F1376" s="567"/>
      <c r="G1376" s="568" t="s">
        <v>2420</v>
      </c>
      <c r="H1376" s="568" t="s">
        <v>340</v>
      </c>
      <c r="I1376" s="239" t="str">
        <f>IF(ISBLANK(continental!I443),"",continental!I443)</f>
        <v/>
      </c>
      <c r="K1376" s="262" t="s">
        <v>4249</v>
      </c>
      <c r="N1376" s="262" t="s">
        <v>4249</v>
      </c>
    </row>
    <row r="1377" spans="1:14" ht="12.75" customHeight="1" x14ac:dyDescent="0.2">
      <c r="A1377" s="567" t="s">
        <v>1749</v>
      </c>
      <c r="B1377" s="567"/>
      <c r="C1377" s="567"/>
      <c r="D1377" s="567"/>
      <c r="E1377" s="567"/>
      <c r="F1377" s="567"/>
      <c r="G1377" s="568" t="s">
        <v>2422</v>
      </c>
      <c r="H1377" s="568" t="s">
        <v>340</v>
      </c>
      <c r="I1377" s="239" t="str">
        <f>IF(ISBLANK(continental!I444),"",continental!I444)</f>
        <v/>
      </c>
      <c r="K1377" s="262" t="s">
        <v>4249</v>
      </c>
      <c r="N1377" s="262" t="s">
        <v>4249</v>
      </c>
    </row>
    <row r="1378" spans="1:14" ht="12.75" customHeight="1" x14ac:dyDescent="0.2">
      <c r="A1378" s="567" t="s">
        <v>1751</v>
      </c>
      <c r="B1378" s="567"/>
      <c r="C1378" s="567"/>
      <c r="D1378" s="567"/>
      <c r="E1378" s="567"/>
      <c r="F1378" s="567"/>
      <c r="G1378" s="568" t="s">
        <v>2423</v>
      </c>
      <c r="H1378" s="568" t="s">
        <v>340</v>
      </c>
      <c r="I1378" s="239" t="str">
        <f>IF(ISBLANK(continental!I445),"",continental!I445)</f>
        <v/>
      </c>
      <c r="K1378" s="262" t="s">
        <v>4249</v>
      </c>
      <c r="N1378" s="262" t="s">
        <v>4249</v>
      </c>
    </row>
    <row r="1379" spans="1:14" ht="12.75" customHeight="1" x14ac:dyDescent="0.2">
      <c r="A1379" s="567" t="s">
        <v>1753</v>
      </c>
      <c r="B1379" s="567"/>
      <c r="C1379" s="567"/>
      <c r="D1379" s="567"/>
      <c r="E1379" s="567"/>
      <c r="F1379" s="567"/>
      <c r="G1379" s="568" t="s">
        <v>2424</v>
      </c>
      <c r="H1379" s="568" t="s">
        <v>340</v>
      </c>
      <c r="I1379" s="239" t="str">
        <f>IF(ISBLANK(continental!I446),"",continental!I446)</f>
        <v/>
      </c>
      <c r="K1379" s="262" t="s">
        <v>4249</v>
      </c>
      <c r="N1379" s="262" t="s">
        <v>4249</v>
      </c>
    </row>
    <row r="1380" spans="1:14" ht="12.75" customHeight="1" x14ac:dyDescent="0.2">
      <c r="A1380" s="567"/>
      <c r="B1380" s="567" t="s">
        <v>1676</v>
      </c>
      <c r="C1380" s="567"/>
      <c r="D1380" s="567"/>
      <c r="E1380" s="567"/>
      <c r="F1380" s="567"/>
      <c r="G1380" s="568" t="s">
        <v>2425</v>
      </c>
      <c r="H1380" s="568" t="s">
        <v>873</v>
      </c>
      <c r="I1380" s="239" t="str">
        <f>IF(ISBLANK(continental!I447),"",continental!I447)</f>
        <v/>
      </c>
      <c r="K1380" s="262" t="s">
        <v>4249</v>
      </c>
      <c r="N1380" s="262" t="s">
        <v>4249</v>
      </c>
    </row>
    <row r="1381" spans="1:14" ht="12.75" customHeight="1" x14ac:dyDescent="0.2">
      <c r="A1381" s="567"/>
      <c r="B1381" s="567"/>
      <c r="C1381" s="567" t="s">
        <v>1756</v>
      </c>
      <c r="D1381" s="567"/>
      <c r="E1381" s="567"/>
      <c r="F1381" s="567"/>
      <c r="G1381" s="567" t="s">
        <v>2426</v>
      </c>
      <c r="H1381" s="568" t="s">
        <v>1680</v>
      </c>
      <c r="I1381" s="239" t="str">
        <f>IF(ISBLANK(continental!I448),"",continental!I448)</f>
        <v/>
      </c>
      <c r="K1381" s="262" t="s">
        <v>4249</v>
      </c>
      <c r="N1381" s="262" t="s">
        <v>4249</v>
      </c>
    </row>
    <row r="1382" spans="1:14" ht="12.75" customHeight="1" x14ac:dyDescent="0.2">
      <c r="A1382" s="567"/>
      <c r="B1382" s="567"/>
      <c r="C1382" s="567" t="s">
        <v>1758</v>
      </c>
      <c r="D1382" s="567"/>
      <c r="E1382" s="567"/>
      <c r="F1382" s="567"/>
      <c r="G1382" s="568" t="s">
        <v>2427</v>
      </c>
      <c r="H1382" s="568" t="s">
        <v>1680</v>
      </c>
      <c r="I1382" s="239" t="str">
        <f>IF(ISBLANK(continental!I449),"",continental!I449)</f>
        <v/>
      </c>
      <c r="K1382" s="262" t="s">
        <v>4249</v>
      </c>
      <c r="N1382" s="262" t="s">
        <v>4249</v>
      </c>
    </row>
    <row r="1383" spans="1:14" ht="12.75" customHeight="1" x14ac:dyDescent="0.2">
      <c r="A1383" s="567"/>
      <c r="B1383" s="567"/>
      <c r="C1383" s="567" t="s">
        <v>1760</v>
      </c>
      <c r="D1383" s="567"/>
      <c r="E1383" s="567"/>
      <c r="F1383" s="567"/>
      <c r="G1383" s="568" t="s">
        <v>2428</v>
      </c>
      <c r="H1383" s="568" t="s">
        <v>873</v>
      </c>
      <c r="I1383" s="239" t="str">
        <f>IF(ISBLANK(continental!I450),"",continental!I450)</f>
        <v/>
      </c>
      <c r="K1383" s="262" t="s">
        <v>4249</v>
      </c>
      <c r="N1383" s="262" t="s">
        <v>4249</v>
      </c>
    </row>
    <row r="1384" spans="1:14" ht="12.75" customHeight="1" x14ac:dyDescent="0.2">
      <c r="A1384" s="567"/>
      <c r="B1384" s="567"/>
      <c r="C1384" s="567"/>
      <c r="D1384" s="567" t="s">
        <v>1648</v>
      </c>
      <c r="E1384" s="567"/>
      <c r="F1384" s="567"/>
      <c r="G1384" s="568" t="s">
        <v>2429</v>
      </c>
      <c r="H1384" s="568" t="s">
        <v>296</v>
      </c>
      <c r="I1384" s="239" t="str">
        <f>IF(ISBLANK(continental!I451),"",continental!I451)</f>
        <v/>
      </c>
      <c r="K1384" s="262" t="s">
        <v>4249</v>
      </c>
      <c r="N1384" s="262" t="s">
        <v>4249</v>
      </c>
    </row>
    <row r="1385" spans="1:14" ht="12.75" customHeight="1" x14ac:dyDescent="0.2">
      <c r="A1385" s="567"/>
      <c r="B1385" s="567"/>
      <c r="C1385" s="567"/>
      <c r="D1385" s="567" t="s">
        <v>1652</v>
      </c>
      <c r="E1385" s="567"/>
      <c r="F1385" s="567"/>
      <c r="G1385" s="568" t="s">
        <v>2430</v>
      </c>
      <c r="H1385" s="568" t="s">
        <v>296</v>
      </c>
      <c r="I1385" s="239" t="str">
        <f>IF(ISBLANK(continental!I452),"",continental!I452)</f>
        <v/>
      </c>
      <c r="K1385" s="262" t="s">
        <v>4249</v>
      </c>
      <c r="N1385" s="262" t="s">
        <v>4249</v>
      </c>
    </row>
    <row r="1386" spans="1:14" ht="12.75" customHeight="1" x14ac:dyDescent="0.2">
      <c r="A1386" s="567" t="s">
        <v>1764</v>
      </c>
      <c r="B1386" s="567"/>
      <c r="C1386" s="567"/>
      <c r="D1386" s="567"/>
      <c r="E1386" s="567"/>
      <c r="F1386" s="567"/>
      <c r="G1386" s="568" t="s">
        <v>2431</v>
      </c>
      <c r="H1386" s="568" t="s">
        <v>340</v>
      </c>
      <c r="I1386" s="239" t="str">
        <f>IF(ISBLANK(continental!I453),"",continental!I453)</f>
        <v/>
      </c>
      <c r="K1386" s="262" t="s">
        <v>4249</v>
      </c>
      <c r="N1386" s="262" t="s">
        <v>4249</v>
      </c>
    </row>
    <row r="1387" spans="1:14" ht="12.75" customHeight="1" x14ac:dyDescent="0.2">
      <c r="A1387" s="567"/>
      <c r="B1387" s="567" t="s">
        <v>1676</v>
      </c>
      <c r="C1387" s="567"/>
      <c r="D1387" s="567"/>
      <c r="E1387" s="567"/>
      <c r="F1387" s="567"/>
      <c r="G1387" s="568" t="s">
        <v>2432</v>
      </c>
      <c r="H1387" s="568" t="s">
        <v>873</v>
      </c>
      <c r="I1387" s="239" t="str">
        <f>IF(ISBLANK(continental!I454),"",continental!I454)</f>
        <v/>
      </c>
      <c r="K1387" s="262" t="s">
        <v>4249</v>
      </c>
      <c r="N1387" s="262" t="s">
        <v>4249</v>
      </c>
    </row>
    <row r="1388" spans="1:14" ht="12.75" customHeight="1" x14ac:dyDescent="0.2">
      <c r="A1388" s="567"/>
      <c r="B1388" s="567"/>
      <c r="C1388" s="567" t="s">
        <v>1767</v>
      </c>
      <c r="D1388" s="567"/>
      <c r="E1388" s="567"/>
      <c r="F1388" s="567"/>
      <c r="G1388" s="567" t="s">
        <v>2433</v>
      </c>
      <c r="H1388" s="568" t="s">
        <v>1680</v>
      </c>
      <c r="I1388" s="239" t="str">
        <f>IF(ISBLANK(continental!I455),"",continental!I455)</f>
        <v/>
      </c>
      <c r="K1388" s="262" t="s">
        <v>4249</v>
      </c>
      <c r="N1388" s="262" t="s">
        <v>4249</v>
      </c>
    </row>
    <row r="1389" spans="1:14" ht="12.75" customHeight="1" x14ac:dyDescent="0.2">
      <c r="A1389" s="567" t="s">
        <v>1769</v>
      </c>
      <c r="B1389" s="567"/>
      <c r="C1389" s="567"/>
      <c r="D1389" s="567"/>
      <c r="E1389" s="567"/>
      <c r="F1389" s="567"/>
      <c r="G1389" s="568" t="s">
        <v>2434</v>
      </c>
      <c r="H1389" s="568" t="s">
        <v>340</v>
      </c>
      <c r="I1389" s="239" t="str">
        <f>IF(ISBLANK(continental!I456),"",continental!I456)</f>
        <v/>
      </c>
      <c r="K1389" s="262" t="s">
        <v>4249</v>
      </c>
      <c r="N1389" s="262" t="s">
        <v>4249</v>
      </c>
    </row>
    <row r="1390" spans="1:14" ht="12.75" customHeight="1" x14ac:dyDescent="0.2">
      <c r="A1390" s="567"/>
      <c r="B1390" s="567" t="s">
        <v>1676</v>
      </c>
      <c r="C1390" s="567"/>
      <c r="D1390" s="567"/>
      <c r="E1390" s="567"/>
      <c r="F1390" s="567"/>
      <c r="G1390" s="568" t="s">
        <v>2435</v>
      </c>
      <c r="H1390" s="568" t="s">
        <v>873</v>
      </c>
      <c r="I1390" s="239" t="str">
        <f>IF(ISBLANK(continental!I457),"",continental!I457)</f>
        <v/>
      </c>
      <c r="K1390" s="262" t="s">
        <v>4249</v>
      </c>
      <c r="N1390" s="262" t="s">
        <v>4249</v>
      </c>
    </row>
    <row r="1391" spans="1:14" ht="12.75" customHeight="1" x14ac:dyDescent="0.2">
      <c r="A1391" s="567"/>
      <c r="B1391" s="567"/>
      <c r="C1391" s="567" t="s">
        <v>1772</v>
      </c>
      <c r="D1391" s="567"/>
      <c r="E1391" s="567"/>
      <c r="F1391" s="567"/>
      <c r="G1391" s="567" t="s">
        <v>2436</v>
      </c>
      <c r="H1391" s="568" t="s">
        <v>1680</v>
      </c>
      <c r="I1391" s="239" t="str">
        <f>IF(ISBLANK(continental!I458),"",continental!I458)</f>
        <v/>
      </c>
      <c r="K1391" s="262" t="s">
        <v>4249</v>
      </c>
      <c r="N1391" s="262" t="s">
        <v>4249</v>
      </c>
    </row>
    <row r="1392" spans="1:14" ht="12.75" customHeight="1" x14ac:dyDescent="0.2">
      <c r="A1392" s="567" t="s">
        <v>1774</v>
      </c>
      <c r="B1392" s="567"/>
      <c r="C1392" s="567"/>
      <c r="D1392" s="567"/>
      <c r="E1392" s="567"/>
      <c r="F1392" s="567"/>
      <c r="G1392" s="567" t="s">
        <v>2437</v>
      </c>
      <c r="H1392" s="568" t="s">
        <v>340</v>
      </c>
      <c r="I1392" s="239" t="str">
        <f>IF(ISBLANK(continental!I459),"",continental!I459)</f>
        <v/>
      </c>
      <c r="K1392" s="262" t="s">
        <v>4249</v>
      </c>
      <c r="N1392" s="262" t="s">
        <v>4249</v>
      </c>
    </row>
    <row r="1393" spans="1:14" ht="12.75" customHeight="1" x14ac:dyDescent="0.2">
      <c r="A1393" s="567"/>
      <c r="B1393" s="567" t="s">
        <v>1676</v>
      </c>
      <c r="C1393" s="567"/>
      <c r="D1393" s="567"/>
      <c r="E1393" s="567"/>
      <c r="F1393" s="567"/>
      <c r="G1393" s="568" t="s">
        <v>2438</v>
      </c>
      <c r="H1393" s="568" t="s">
        <v>873</v>
      </c>
      <c r="I1393" s="239" t="str">
        <f>IF(ISBLANK(continental!I460),"",continental!I460)</f>
        <v/>
      </c>
      <c r="K1393" s="262" t="s">
        <v>4249</v>
      </c>
      <c r="N1393" s="262" t="s">
        <v>4249</v>
      </c>
    </row>
    <row r="1394" spans="1:14" ht="12.75" customHeight="1" x14ac:dyDescent="0.2">
      <c r="A1394" s="567"/>
      <c r="B1394" s="567"/>
      <c r="C1394" s="567" t="s">
        <v>1758</v>
      </c>
      <c r="D1394" s="567"/>
      <c r="E1394" s="567"/>
      <c r="F1394" s="567"/>
      <c r="G1394" s="568" t="s">
        <v>2439</v>
      </c>
      <c r="H1394" s="568" t="s">
        <v>1680</v>
      </c>
      <c r="I1394" s="239" t="str">
        <f>IF(ISBLANK(continental!I461),"",continental!I461)</f>
        <v/>
      </c>
      <c r="K1394" s="262" t="s">
        <v>4249</v>
      </c>
      <c r="N1394" s="262" t="s">
        <v>4249</v>
      </c>
    </row>
    <row r="1395" spans="1:14" ht="12.75" customHeight="1" x14ac:dyDescent="0.2">
      <c r="A1395" s="567"/>
      <c r="B1395" s="567"/>
      <c r="C1395" s="567"/>
      <c r="D1395" s="567" t="s">
        <v>1648</v>
      </c>
      <c r="E1395" s="567"/>
      <c r="F1395" s="567"/>
      <c r="G1395" s="568" t="s">
        <v>2440</v>
      </c>
      <c r="H1395" s="568" t="s">
        <v>296</v>
      </c>
      <c r="I1395" s="239" t="str">
        <f>IF(ISBLANK(continental!I462),"",continental!I462)</f>
        <v/>
      </c>
      <c r="K1395" s="262" t="s">
        <v>4249</v>
      </c>
      <c r="N1395" s="262" t="s">
        <v>4249</v>
      </c>
    </row>
    <row r="1396" spans="1:14" ht="12.75" customHeight="1" x14ac:dyDescent="0.2">
      <c r="A1396" s="567"/>
      <c r="B1396" s="567"/>
      <c r="C1396" s="567"/>
      <c r="D1396" s="567" t="s">
        <v>1652</v>
      </c>
      <c r="E1396" s="567"/>
      <c r="F1396" s="567"/>
      <c r="G1396" s="568" t="s">
        <v>2441</v>
      </c>
      <c r="H1396" s="568" t="s">
        <v>296</v>
      </c>
      <c r="I1396" s="239" t="str">
        <f>IF(ISBLANK(continental!I463),"",continental!I463)</f>
        <v/>
      </c>
      <c r="K1396" s="262" t="s">
        <v>4249</v>
      </c>
      <c r="N1396" s="262" t="s">
        <v>4249</v>
      </c>
    </row>
    <row r="1397" spans="1:14" ht="12.75" customHeight="1" x14ac:dyDescent="0.2">
      <c r="A1397" s="567" t="s">
        <v>1781</v>
      </c>
      <c r="B1397" s="567"/>
      <c r="C1397" s="567"/>
      <c r="D1397" s="567"/>
      <c r="E1397" s="567"/>
      <c r="F1397" s="567"/>
      <c r="G1397" s="567" t="s">
        <v>2442</v>
      </c>
      <c r="H1397" s="568" t="s">
        <v>340</v>
      </c>
      <c r="I1397" s="239" t="str">
        <f>IF(ISBLANK(continental!I464),"",continental!I464)</f>
        <v/>
      </c>
      <c r="K1397" s="262" t="s">
        <v>4249</v>
      </c>
      <c r="N1397" s="262" t="s">
        <v>4249</v>
      </c>
    </row>
    <row r="1398" spans="1:14" ht="12.75" customHeight="1" x14ac:dyDescent="0.2">
      <c r="A1398" s="567"/>
      <c r="B1398" s="567" t="s">
        <v>1676</v>
      </c>
      <c r="C1398" s="567"/>
      <c r="D1398" s="567"/>
      <c r="E1398" s="567"/>
      <c r="F1398" s="567"/>
      <c r="G1398" s="568" t="s">
        <v>2443</v>
      </c>
      <c r="H1398" s="568" t="s">
        <v>873</v>
      </c>
      <c r="I1398" s="239" t="str">
        <f>IF(ISBLANK(continental!I465),"",continental!I465)</f>
        <v/>
      </c>
      <c r="K1398" s="262" t="s">
        <v>4249</v>
      </c>
      <c r="N1398" s="262" t="s">
        <v>4249</v>
      </c>
    </row>
    <row r="1399" spans="1:14" ht="12.75" customHeight="1" x14ac:dyDescent="0.2">
      <c r="A1399" s="567" t="s">
        <v>1784</v>
      </c>
      <c r="B1399" s="567"/>
      <c r="C1399" s="567"/>
      <c r="D1399" s="567"/>
      <c r="E1399" s="567"/>
      <c r="F1399" s="567"/>
      <c r="G1399" s="567" t="s">
        <v>2444</v>
      </c>
      <c r="H1399" s="568" t="s">
        <v>340</v>
      </c>
      <c r="I1399" s="239" t="str">
        <f>IF(ISBLANK(continental!I466),"",continental!I466)</f>
        <v/>
      </c>
      <c r="K1399" s="262" t="s">
        <v>4249</v>
      </c>
      <c r="N1399" s="262" t="s">
        <v>4249</v>
      </c>
    </row>
    <row r="1400" spans="1:14" ht="12.75" customHeight="1" x14ac:dyDescent="0.2">
      <c r="A1400" s="567"/>
      <c r="B1400" s="567" t="s">
        <v>1676</v>
      </c>
      <c r="C1400" s="567"/>
      <c r="D1400" s="567"/>
      <c r="E1400" s="567"/>
      <c r="F1400" s="567"/>
      <c r="G1400" s="568" t="s">
        <v>2445</v>
      </c>
      <c r="H1400" s="568" t="s">
        <v>873</v>
      </c>
      <c r="I1400" s="239" t="str">
        <f>IF(ISBLANK(continental!I467),"",continental!I467)</f>
        <v/>
      </c>
      <c r="K1400" s="262" t="s">
        <v>4249</v>
      </c>
      <c r="N1400" s="262" t="s">
        <v>4249</v>
      </c>
    </row>
    <row r="1401" spans="1:14" ht="12.75" customHeight="1" x14ac:dyDescent="0.2">
      <c r="A1401" s="567" t="s">
        <v>1787</v>
      </c>
      <c r="B1401" s="567"/>
      <c r="C1401" s="567"/>
      <c r="D1401" s="567"/>
      <c r="E1401" s="567"/>
      <c r="F1401" s="567"/>
      <c r="G1401" s="567" t="s">
        <v>2446</v>
      </c>
      <c r="H1401" s="568" t="s">
        <v>340</v>
      </c>
      <c r="I1401" s="239" t="str">
        <f>IF(ISBLANK(continental!I468),"",continental!I468)</f>
        <v/>
      </c>
      <c r="K1401" s="262" t="s">
        <v>4249</v>
      </c>
      <c r="N1401" s="262" t="s">
        <v>4249</v>
      </c>
    </row>
    <row r="1402" spans="1:14" ht="12.75" customHeight="1" x14ac:dyDescent="0.2">
      <c r="A1402" s="567" t="s">
        <v>1789</v>
      </c>
      <c r="B1402" s="567"/>
      <c r="C1402" s="567"/>
      <c r="D1402" s="567"/>
      <c r="E1402" s="567"/>
      <c r="F1402" s="567"/>
      <c r="G1402" s="567" t="s">
        <v>2447</v>
      </c>
      <c r="H1402" s="568" t="s">
        <v>340</v>
      </c>
      <c r="I1402" s="239" t="str">
        <f>IF(ISBLANK(continental!I469),"",continental!I469)</f>
        <v/>
      </c>
      <c r="K1402" s="262" t="s">
        <v>4249</v>
      </c>
      <c r="N1402" s="262" t="s">
        <v>4249</v>
      </c>
    </row>
    <row r="1403" spans="1:14" ht="12.75" customHeight="1" x14ac:dyDescent="0.2">
      <c r="A1403" s="567" t="s">
        <v>1791</v>
      </c>
      <c r="B1403" s="567"/>
      <c r="C1403" s="567"/>
      <c r="D1403" s="567"/>
      <c r="E1403" s="567"/>
      <c r="F1403" s="567"/>
      <c r="G1403" s="567" t="s">
        <v>2448</v>
      </c>
      <c r="H1403" s="568" t="s">
        <v>340</v>
      </c>
      <c r="I1403" s="239" t="str">
        <f>IF(ISBLANK(continental!I470),"",continental!I470)</f>
        <v/>
      </c>
      <c r="K1403" s="262" t="s">
        <v>4249</v>
      </c>
      <c r="N1403" s="262" t="s">
        <v>4249</v>
      </c>
    </row>
    <row r="1404" spans="1:14" ht="12.75" customHeight="1" x14ac:dyDescent="0.2">
      <c r="A1404" s="583" t="s">
        <v>1793</v>
      </c>
      <c r="B1404" s="583"/>
      <c r="C1404" s="583"/>
      <c r="D1404" s="583"/>
      <c r="E1404" s="583"/>
      <c r="F1404" s="583"/>
      <c r="G1404" s="582" t="s">
        <v>2449</v>
      </c>
      <c r="H1404" s="582" t="s">
        <v>340</v>
      </c>
      <c r="I1404" s="239" t="str">
        <f>IF(ISBLANK(continental!I471),"",continental!I471)</f>
        <v/>
      </c>
      <c r="K1404" s="262" t="s">
        <v>4249</v>
      </c>
      <c r="N1404" s="262" t="s">
        <v>4249</v>
      </c>
    </row>
    <row r="1405" spans="1:14" ht="12.75" customHeight="1" x14ac:dyDescent="0.2">
      <c r="A1405" s="567" t="s">
        <v>1796</v>
      </c>
      <c r="B1405" s="567"/>
      <c r="C1405" s="567"/>
      <c r="D1405" s="567"/>
      <c r="E1405" s="567"/>
      <c r="F1405" s="567"/>
      <c r="G1405" s="568" t="s">
        <v>2450</v>
      </c>
      <c r="H1405" s="568" t="s">
        <v>340</v>
      </c>
      <c r="I1405" s="239" t="str">
        <f>IF(ISBLANK(continental!I472),"",continental!I472)</f>
        <v/>
      </c>
      <c r="K1405" s="262" t="s">
        <v>4249</v>
      </c>
      <c r="N1405" s="262" t="s">
        <v>4249</v>
      </c>
    </row>
    <row r="1406" spans="1:14" ht="12.75" customHeight="1" x14ac:dyDescent="0.2">
      <c r="A1406" s="567" t="s">
        <v>1798</v>
      </c>
      <c r="B1406" s="567"/>
      <c r="C1406" s="567"/>
      <c r="D1406" s="567"/>
      <c r="E1406" s="567"/>
      <c r="F1406" s="567"/>
      <c r="G1406" s="568" t="s">
        <v>2451</v>
      </c>
      <c r="H1406" s="568" t="s">
        <v>340</v>
      </c>
      <c r="I1406" s="239" t="str">
        <f>IF(ISBLANK(continental!I473),"",continental!I473)</f>
        <v/>
      </c>
      <c r="K1406" s="262" t="s">
        <v>4249</v>
      </c>
      <c r="N1406" s="262" t="s">
        <v>4249</v>
      </c>
    </row>
    <row r="1407" spans="1:14" ht="12.75" customHeight="1" x14ac:dyDescent="0.2">
      <c r="A1407" s="567" t="s">
        <v>1800</v>
      </c>
      <c r="B1407" s="567"/>
      <c r="C1407" s="567"/>
      <c r="D1407" s="567"/>
      <c r="E1407" s="567"/>
      <c r="F1407" s="567"/>
      <c r="G1407" s="568" t="s">
        <v>2452</v>
      </c>
      <c r="H1407" s="568" t="s">
        <v>340</v>
      </c>
      <c r="I1407" s="239" t="str">
        <f>IF(ISBLANK(continental!I474),"",continental!I474)</f>
        <v/>
      </c>
      <c r="K1407" s="262" t="s">
        <v>4249</v>
      </c>
      <c r="N1407" s="262" t="s">
        <v>4249</v>
      </c>
    </row>
    <row r="1408" spans="1:14" ht="12.75" customHeight="1" x14ac:dyDescent="0.2">
      <c r="A1408" s="567" t="s">
        <v>1802</v>
      </c>
      <c r="B1408" s="567"/>
      <c r="C1408" s="567"/>
      <c r="D1408" s="567"/>
      <c r="E1408" s="567"/>
      <c r="F1408" s="567"/>
      <c r="G1408" s="568" t="s">
        <v>2453</v>
      </c>
      <c r="H1408" s="568" t="s">
        <v>340</v>
      </c>
      <c r="I1408" s="239" t="str">
        <f>IF(ISBLANK(continental!I475),"",continental!I475)</f>
        <v/>
      </c>
      <c r="K1408" s="262" t="s">
        <v>4249</v>
      </c>
      <c r="N1408" s="262" t="s">
        <v>4249</v>
      </c>
    </row>
    <row r="1409" spans="1:14" ht="12.75" customHeight="1" x14ac:dyDescent="0.2">
      <c r="A1409" s="567" t="s">
        <v>1804</v>
      </c>
      <c r="B1409" s="567"/>
      <c r="C1409" s="567"/>
      <c r="D1409" s="567"/>
      <c r="E1409" s="567"/>
      <c r="F1409" s="567"/>
      <c r="G1409" s="568" t="s">
        <v>2454</v>
      </c>
      <c r="H1409" s="568" t="s">
        <v>340</v>
      </c>
      <c r="I1409" s="239" t="str">
        <f>IF(ISBLANK(continental!I476),"",continental!I476)</f>
        <v/>
      </c>
      <c r="K1409" s="262" t="s">
        <v>4249</v>
      </c>
      <c r="N1409" s="262" t="s">
        <v>4249</v>
      </c>
    </row>
    <row r="1410" spans="1:14" ht="12.75" customHeight="1" x14ac:dyDescent="0.2">
      <c r="A1410" s="567" t="s">
        <v>1806</v>
      </c>
      <c r="B1410" s="567"/>
      <c r="C1410" s="567"/>
      <c r="D1410" s="567"/>
      <c r="E1410" s="567"/>
      <c r="F1410" s="567"/>
      <c r="G1410" s="568" t="s">
        <v>2455</v>
      </c>
      <c r="H1410" s="568" t="s">
        <v>340</v>
      </c>
      <c r="I1410" s="239" t="str">
        <f>IF(ISBLANK(continental!I477),"",continental!I477)</f>
        <v/>
      </c>
      <c r="K1410" s="262" t="s">
        <v>4249</v>
      </c>
      <c r="N1410" s="262" t="s">
        <v>4249</v>
      </c>
    </row>
    <row r="1411" spans="1:14" ht="12.75" customHeight="1" x14ac:dyDescent="0.2">
      <c r="A1411" s="567" t="s">
        <v>1808</v>
      </c>
      <c r="B1411" s="567"/>
      <c r="C1411" s="567"/>
      <c r="D1411" s="567"/>
      <c r="E1411" s="567"/>
      <c r="F1411" s="567"/>
      <c r="G1411" s="568" t="s">
        <v>2456</v>
      </c>
      <c r="H1411" s="568" t="s">
        <v>340</v>
      </c>
      <c r="I1411" s="239" t="str">
        <f>IF(ISBLANK(continental!I478),"",continental!I478)</f>
        <v/>
      </c>
      <c r="K1411" s="262" t="s">
        <v>4249</v>
      </c>
      <c r="N1411" s="262" t="s">
        <v>4249</v>
      </c>
    </row>
    <row r="1412" spans="1:14" ht="12.75" customHeight="1" x14ac:dyDescent="0.2">
      <c r="A1412" s="567" t="s">
        <v>1810</v>
      </c>
      <c r="B1412" s="567"/>
      <c r="C1412" s="567"/>
      <c r="D1412" s="567"/>
      <c r="E1412" s="567"/>
      <c r="F1412" s="567"/>
      <c r="G1412" s="568" t="s">
        <v>2457</v>
      </c>
      <c r="H1412" s="568" t="s">
        <v>340</v>
      </c>
      <c r="I1412" s="239" t="str">
        <f>IF(ISBLANK(continental!I479),"",continental!I479)</f>
        <v/>
      </c>
      <c r="K1412" s="262" t="s">
        <v>4249</v>
      </c>
      <c r="N1412" s="262" t="s">
        <v>4249</v>
      </c>
    </row>
    <row r="1413" spans="1:14" ht="12.75" customHeight="1" x14ac:dyDescent="0.2">
      <c r="A1413" s="567" t="s">
        <v>1812</v>
      </c>
      <c r="B1413" s="567"/>
      <c r="C1413" s="567"/>
      <c r="D1413" s="567"/>
      <c r="E1413" s="567"/>
      <c r="F1413" s="567"/>
      <c r="G1413" s="568" t="s">
        <v>2458</v>
      </c>
      <c r="H1413" s="568" t="s">
        <v>340</v>
      </c>
      <c r="I1413" s="239" t="str">
        <f>IF(ISBLANK(continental!I480),"",continental!I480)</f>
        <v/>
      </c>
      <c r="K1413" s="262" t="s">
        <v>4249</v>
      </c>
      <c r="N1413" s="262" t="s">
        <v>4249</v>
      </c>
    </row>
    <row r="1414" spans="1:14" ht="12.75" customHeight="1" x14ac:dyDescent="0.2">
      <c r="A1414" s="567" t="s">
        <v>1814</v>
      </c>
      <c r="B1414" s="567"/>
      <c r="C1414" s="567"/>
      <c r="D1414" s="567"/>
      <c r="E1414" s="567"/>
      <c r="F1414" s="567"/>
      <c r="G1414" s="568" t="s">
        <v>2459</v>
      </c>
      <c r="H1414" s="568" t="s">
        <v>340</v>
      </c>
      <c r="I1414" s="239" t="str">
        <f>IF(ISBLANK(continental!I481),"",continental!I481)</f>
        <v/>
      </c>
      <c r="K1414" s="262" t="s">
        <v>4249</v>
      </c>
      <c r="N1414" s="262" t="s">
        <v>4249</v>
      </c>
    </row>
    <row r="1415" spans="1:14" ht="12.75" customHeight="1" x14ac:dyDescent="0.2">
      <c r="A1415" s="567" t="s">
        <v>1816</v>
      </c>
      <c r="B1415" s="567"/>
      <c r="C1415" s="567"/>
      <c r="D1415" s="567"/>
      <c r="E1415" s="567"/>
      <c r="F1415" s="567"/>
      <c r="G1415" s="568" t="s">
        <v>2460</v>
      </c>
      <c r="H1415" s="568" t="s">
        <v>340</v>
      </c>
      <c r="I1415" s="239" t="str">
        <f>IF(ISBLANK(continental!I482),"",continental!I482)</f>
        <v/>
      </c>
      <c r="K1415" s="262" t="s">
        <v>4249</v>
      </c>
      <c r="N1415" s="262" t="s">
        <v>4249</v>
      </c>
    </row>
    <row r="1416" spans="1:14" ht="12.75" customHeight="1" x14ac:dyDescent="0.2">
      <c r="A1416" s="567" t="s">
        <v>1818</v>
      </c>
      <c r="B1416" s="567"/>
      <c r="C1416" s="567"/>
      <c r="D1416" s="567"/>
      <c r="E1416" s="567"/>
      <c r="F1416" s="567"/>
      <c r="G1416" s="568" t="s">
        <v>2461</v>
      </c>
      <c r="H1416" s="568" t="s">
        <v>340</v>
      </c>
      <c r="I1416" s="239" t="str">
        <f>IF(ISBLANK(continental!I483),"",continental!I483)</f>
        <v/>
      </c>
      <c r="K1416" s="262" t="s">
        <v>4249</v>
      </c>
      <c r="N1416" s="262" t="s">
        <v>4249</v>
      </c>
    </row>
    <row r="1417" spans="1:14" ht="12.75" customHeight="1" x14ac:dyDescent="0.2">
      <c r="A1417" s="567" t="s">
        <v>1820</v>
      </c>
      <c r="B1417" s="567"/>
      <c r="C1417" s="567"/>
      <c r="D1417" s="567"/>
      <c r="E1417" s="567"/>
      <c r="F1417" s="567"/>
      <c r="G1417" s="568" t="s">
        <v>2462</v>
      </c>
      <c r="H1417" s="568" t="s">
        <v>340</v>
      </c>
      <c r="I1417" s="239" t="str">
        <f>IF(ISBLANK(continental!I484),"",continental!I484)</f>
        <v/>
      </c>
      <c r="K1417" s="262" t="s">
        <v>4249</v>
      </c>
      <c r="N1417" s="262" t="s">
        <v>4249</v>
      </c>
    </row>
    <row r="1418" spans="1:14" ht="12.75" customHeight="1" x14ac:dyDescent="0.2">
      <c r="A1418" s="567" t="s">
        <v>1822</v>
      </c>
      <c r="B1418" s="567"/>
      <c r="C1418" s="567"/>
      <c r="D1418" s="567"/>
      <c r="E1418" s="567"/>
      <c r="F1418" s="567"/>
      <c r="G1418" s="568" t="s">
        <v>2463</v>
      </c>
      <c r="H1418" s="568" t="s">
        <v>340</v>
      </c>
      <c r="I1418" s="239" t="str">
        <f>IF(ISBLANK(continental!I485),"",continental!I485)</f>
        <v/>
      </c>
      <c r="K1418" s="262" t="s">
        <v>4249</v>
      </c>
      <c r="N1418" s="262" t="s">
        <v>4249</v>
      </c>
    </row>
    <row r="1419" spans="1:14" ht="12.75" customHeight="1" x14ac:dyDescent="0.2">
      <c r="A1419" s="567" t="s">
        <v>1824</v>
      </c>
      <c r="B1419" s="567"/>
      <c r="C1419" s="567"/>
      <c r="D1419" s="567"/>
      <c r="E1419" s="567"/>
      <c r="F1419" s="567"/>
      <c r="G1419" s="568" t="s">
        <v>2464</v>
      </c>
      <c r="H1419" s="568" t="s">
        <v>340</v>
      </c>
      <c r="I1419" s="239" t="str">
        <f>IF(ISBLANK(continental!I486),"",continental!I486)</f>
        <v/>
      </c>
      <c r="K1419" s="262" t="s">
        <v>4249</v>
      </c>
      <c r="N1419" s="262" t="s">
        <v>4249</v>
      </c>
    </row>
    <row r="1420" spans="1:14" ht="12.75" customHeight="1" x14ac:dyDescent="0.2">
      <c r="A1420" s="567" t="s">
        <v>1826</v>
      </c>
      <c r="B1420" s="567"/>
      <c r="C1420" s="567"/>
      <c r="D1420" s="567"/>
      <c r="E1420" s="567"/>
      <c r="F1420" s="567"/>
      <c r="G1420" s="568" t="s">
        <v>2465</v>
      </c>
      <c r="H1420" s="568" t="s">
        <v>340</v>
      </c>
      <c r="I1420" s="239" t="str">
        <f>IF(ISBLANK(continental!I487),"",continental!I487)</f>
        <v/>
      </c>
      <c r="K1420" s="262" t="s">
        <v>4249</v>
      </c>
      <c r="N1420" s="262" t="s">
        <v>4249</v>
      </c>
    </row>
    <row r="1421" spans="1:14" ht="12.75" customHeight="1" x14ac:dyDescent="0.2">
      <c r="A1421" s="567" t="s">
        <v>1828</v>
      </c>
      <c r="B1421" s="567"/>
      <c r="C1421" s="567"/>
      <c r="D1421" s="567"/>
      <c r="E1421" s="567"/>
      <c r="F1421" s="567"/>
      <c r="G1421" s="568" t="s">
        <v>2466</v>
      </c>
      <c r="H1421" s="568" t="s">
        <v>340</v>
      </c>
      <c r="I1421" s="239" t="str">
        <f>IF(ISBLANK(continental!I488),"",continental!I488)</f>
        <v/>
      </c>
      <c r="K1421" s="262" t="s">
        <v>4249</v>
      </c>
      <c r="N1421" s="262" t="s">
        <v>4249</v>
      </c>
    </row>
    <row r="1422" spans="1:14" ht="12.75" customHeight="1" x14ac:dyDescent="0.2">
      <c r="A1422" s="583" t="s">
        <v>1830</v>
      </c>
      <c r="B1422" s="583"/>
      <c r="C1422" s="583"/>
      <c r="D1422" s="583"/>
      <c r="E1422" s="583"/>
      <c r="F1422" s="583"/>
      <c r="G1422" s="582" t="s">
        <v>2467</v>
      </c>
      <c r="H1422" s="582" t="s">
        <v>340</v>
      </c>
      <c r="I1422" s="239" t="str">
        <f>IF(ISBLANK(continental!I489),"",continental!I489)</f>
        <v/>
      </c>
      <c r="K1422" s="262" t="s">
        <v>4249</v>
      </c>
      <c r="N1422" s="262" t="s">
        <v>4249</v>
      </c>
    </row>
    <row r="1423" spans="1:14" ht="12.75" customHeight="1" x14ac:dyDescent="0.2">
      <c r="A1423" s="567" t="s">
        <v>1832</v>
      </c>
      <c r="B1423" s="567"/>
      <c r="C1423" s="567"/>
      <c r="D1423" s="567"/>
      <c r="E1423" s="567"/>
      <c r="F1423" s="567"/>
      <c r="G1423" s="568" t="s">
        <v>2468</v>
      </c>
      <c r="H1423" s="568" t="s">
        <v>340</v>
      </c>
      <c r="I1423" s="239" t="str">
        <f>IF(ISBLANK(continental!I490),"",continental!I490)</f>
        <v/>
      </c>
      <c r="K1423" s="262" t="s">
        <v>4249</v>
      </c>
      <c r="N1423" s="262" t="s">
        <v>4249</v>
      </c>
    </row>
    <row r="1424" spans="1:14" ht="12.75" customHeight="1" x14ac:dyDescent="0.2">
      <c r="A1424" s="567" t="s">
        <v>1834</v>
      </c>
      <c r="B1424" s="567"/>
      <c r="C1424" s="567"/>
      <c r="D1424" s="567"/>
      <c r="E1424" s="567"/>
      <c r="F1424" s="567"/>
      <c r="G1424" s="568" t="s">
        <v>2469</v>
      </c>
      <c r="H1424" s="568" t="s">
        <v>340</v>
      </c>
      <c r="I1424" s="239" t="str">
        <f>IF(ISBLANK(continental!I491),"",continental!I491)</f>
        <v/>
      </c>
      <c r="K1424" s="262" t="s">
        <v>4249</v>
      </c>
      <c r="N1424" s="262" t="s">
        <v>4249</v>
      </c>
    </row>
    <row r="1425" spans="1:14" ht="12.75" customHeight="1" x14ac:dyDescent="0.2">
      <c r="A1425" s="567" t="s">
        <v>1836</v>
      </c>
      <c r="B1425" s="567"/>
      <c r="C1425" s="567"/>
      <c r="D1425" s="567"/>
      <c r="E1425" s="567"/>
      <c r="F1425" s="567"/>
      <c r="G1425" s="568" t="s">
        <v>2470</v>
      </c>
      <c r="H1425" s="568" t="s">
        <v>340</v>
      </c>
      <c r="I1425" s="239" t="str">
        <f>IF(ISBLANK(continental!I492),"",continental!I492)</f>
        <v/>
      </c>
      <c r="K1425" s="262" t="s">
        <v>4249</v>
      </c>
      <c r="N1425" s="262" t="s">
        <v>4249</v>
      </c>
    </row>
    <row r="1426" spans="1:14" ht="12.75" customHeight="1" x14ac:dyDescent="0.2">
      <c r="A1426" s="567" t="s">
        <v>1838</v>
      </c>
      <c r="B1426" s="567"/>
      <c r="C1426" s="567"/>
      <c r="D1426" s="567"/>
      <c r="E1426" s="567"/>
      <c r="F1426" s="567"/>
      <c r="G1426" s="568" t="s">
        <v>2471</v>
      </c>
      <c r="H1426" s="568" t="s">
        <v>340</v>
      </c>
      <c r="I1426" s="239" t="str">
        <f>IF(ISBLANK(continental!I493),"",continental!I493)</f>
        <v/>
      </c>
      <c r="K1426" s="262" t="s">
        <v>4249</v>
      </c>
      <c r="N1426" s="262" t="s">
        <v>4249</v>
      </c>
    </row>
    <row r="1427" spans="1:14" ht="12.75" customHeight="1" x14ac:dyDescent="0.2">
      <c r="A1427" s="567" t="s">
        <v>1840</v>
      </c>
      <c r="B1427" s="567"/>
      <c r="C1427" s="567"/>
      <c r="D1427" s="567"/>
      <c r="E1427" s="567"/>
      <c r="F1427" s="567"/>
      <c r="G1427" s="568" t="s">
        <v>2472</v>
      </c>
      <c r="H1427" s="568" t="s">
        <v>340</v>
      </c>
      <c r="I1427" s="239" t="str">
        <f>IF(ISBLANK(continental!I494),"",continental!I494)</f>
        <v/>
      </c>
      <c r="K1427" s="262" t="s">
        <v>4249</v>
      </c>
      <c r="N1427" s="262" t="s">
        <v>4249</v>
      </c>
    </row>
    <row r="1428" spans="1:14" ht="12.75" customHeight="1" x14ac:dyDescent="0.2">
      <c r="A1428" s="567" t="s">
        <v>1842</v>
      </c>
      <c r="B1428" s="567"/>
      <c r="C1428" s="567"/>
      <c r="D1428" s="567"/>
      <c r="E1428" s="567"/>
      <c r="F1428" s="567"/>
      <c r="G1428" s="568" t="s">
        <v>2473</v>
      </c>
      <c r="H1428" s="568" t="s">
        <v>340</v>
      </c>
      <c r="I1428" s="239" t="str">
        <f>IF(ISBLANK(continental!I495),"",continental!I495)</f>
        <v/>
      </c>
      <c r="K1428" s="262" t="s">
        <v>4249</v>
      </c>
      <c r="N1428" s="262" t="s">
        <v>4249</v>
      </c>
    </row>
    <row r="1429" spans="1:14" ht="12.75" customHeight="1" x14ac:dyDescent="0.2">
      <c r="A1429" s="567" t="s">
        <v>1844</v>
      </c>
      <c r="B1429" s="567"/>
      <c r="C1429" s="567"/>
      <c r="D1429" s="567"/>
      <c r="E1429" s="567"/>
      <c r="F1429" s="567"/>
      <c r="G1429" s="568" t="s">
        <v>2474</v>
      </c>
      <c r="H1429" s="568" t="s">
        <v>340</v>
      </c>
      <c r="I1429" s="239" t="str">
        <f>IF(ISBLANK(continental!I496),"",continental!I496)</f>
        <v/>
      </c>
      <c r="K1429" s="262" t="s">
        <v>4249</v>
      </c>
      <c r="N1429" s="262" t="s">
        <v>4249</v>
      </c>
    </row>
    <row r="1430" spans="1:14" ht="12.75" customHeight="1" x14ac:dyDescent="0.2">
      <c r="A1430" s="567" t="s">
        <v>1846</v>
      </c>
      <c r="B1430" s="567"/>
      <c r="C1430" s="567"/>
      <c r="D1430" s="567"/>
      <c r="E1430" s="567"/>
      <c r="F1430" s="567"/>
      <c r="G1430" s="568" t="s">
        <v>2475</v>
      </c>
      <c r="H1430" s="568" t="s">
        <v>340</v>
      </c>
      <c r="I1430" s="239" t="str">
        <f>IF(ISBLANK(continental!I497),"",continental!I497)</f>
        <v/>
      </c>
      <c r="K1430" s="262" t="s">
        <v>4249</v>
      </c>
      <c r="N1430" s="262" t="s">
        <v>4249</v>
      </c>
    </row>
    <row r="1431" spans="1:14" ht="12.75" customHeight="1" x14ac:dyDescent="0.2">
      <c r="A1431" s="583" t="s">
        <v>1848</v>
      </c>
      <c r="B1431" s="583"/>
      <c r="C1431" s="583"/>
      <c r="D1431" s="583"/>
      <c r="E1431" s="583"/>
      <c r="F1431" s="583"/>
      <c r="G1431" s="582" t="s">
        <v>2476</v>
      </c>
      <c r="H1431" s="582" t="s">
        <v>340</v>
      </c>
      <c r="I1431" s="239" t="str">
        <f>IF(ISBLANK(continental!I498),"",continental!I498)</f>
        <v/>
      </c>
      <c r="K1431" s="262" t="s">
        <v>4249</v>
      </c>
      <c r="N1431" s="262" t="s">
        <v>4249</v>
      </c>
    </row>
    <row r="1432" spans="1:14" ht="12.75" customHeight="1" x14ac:dyDescent="0.2">
      <c r="A1432" s="567" t="s">
        <v>1851</v>
      </c>
      <c r="B1432" s="567"/>
      <c r="C1432" s="567"/>
      <c r="D1432" s="567"/>
      <c r="E1432" s="567"/>
      <c r="F1432" s="567"/>
      <c r="G1432" s="568" t="s">
        <v>2477</v>
      </c>
      <c r="H1432" s="568" t="s">
        <v>340</v>
      </c>
      <c r="I1432" s="239" t="str">
        <f>IF(ISBLANK(continental!I499),"",continental!I499)</f>
        <v/>
      </c>
      <c r="K1432" s="262" t="s">
        <v>4249</v>
      </c>
      <c r="N1432" s="262" t="s">
        <v>4249</v>
      </c>
    </row>
    <row r="1433" spans="1:14" ht="12.75" customHeight="1" x14ac:dyDescent="0.2">
      <c r="A1433" s="567" t="s">
        <v>1853</v>
      </c>
      <c r="B1433" s="567"/>
      <c r="C1433" s="567"/>
      <c r="D1433" s="567"/>
      <c r="E1433" s="567"/>
      <c r="F1433" s="567"/>
      <c r="G1433" s="568" t="s">
        <v>2478</v>
      </c>
      <c r="H1433" s="568" t="s">
        <v>340</v>
      </c>
      <c r="I1433" s="239" t="str">
        <f>IF(ISBLANK(continental!I500),"",continental!I500)</f>
        <v/>
      </c>
      <c r="K1433" s="262" t="s">
        <v>4249</v>
      </c>
      <c r="N1433" s="262" t="s">
        <v>4249</v>
      </c>
    </row>
    <row r="1434" spans="1:14" ht="12.75" customHeight="1" x14ac:dyDescent="0.2">
      <c r="A1434" s="567" t="s">
        <v>1855</v>
      </c>
      <c r="B1434" s="567"/>
      <c r="C1434" s="567"/>
      <c r="D1434" s="567"/>
      <c r="E1434" s="567"/>
      <c r="F1434" s="567"/>
      <c r="G1434" s="568" t="s">
        <v>2479</v>
      </c>
      <c r="H1434" s="568" t="s">
        <v>340</v>
      </c>
      <c r="I1434" s="239" t="str">
        <f>IF(ISBLANK(continental!I501),"",continental!I501)</f>
        <v/>
      </c>
      <c r="K1434" s="262" t="s">
        <v>4249</v>
      </c>
      <c r="N1434" s="262" t="s">
        <v>4249</v>
      </c>
    </row>
    <row r="1435" spans="1:14" ht="12.75" customHeight="1" x14ac:dyDescent="0.2">
      <c r="A1435" s="567" t="s">
        <v>1857</v>
      </c>
      <c r="B1435" s="567"/>
      <c r="C1435" s="567"/>
      <c r="D1435" s="567"/>
      <c r="E1435" s="567"/>
      <c r="F1435" s="567"/>
      <c r="G1435" s="568" t="s">
        <v>2480</v>
      </c>
      <c r="H1435" s="568" t="s">
        <v>340</v>
      </c>
      <c r="I1435" s="239" t="str">
        <f>IF(ISBLANK(continental!I502),"",continental!I502)</f>
        <v/>
      </c>
      <c r="K1435" s="262" t="s">
        <v>4249</v>
      </c>
      <c r="N1435" s="262" t="s">
        <v>4249</v>
      </c>
    </row>
    <row r="1436" spans="1:14" ht="12.75" customHeight="1" x14ac:dyDescent="0.2">
      <c r="A1436" s="567" t="s">
        <v>1859</v>
      </c>
      <c r="B1436" s="567"/>
      <c r="C1436" s="567"/>
      <c r="D1436" s="567"/>
      <c r="E1436" s="567"/>
      <c r="F1436" s="567"/>
      <c r="G1436" s="568" t="s">
        <v>2481</v>
      </c>
      <c r="H1436" s="568" t="s">
        <v>340</v>
      </c>
      <c r="I1436" s="239" t="str">
        <f>IF(ISBLANK(continental!I503),"",continental!I503)</f>
        <v/>
      </c>
      <c r="K1436" s="262" t="s">
        <v>4249</v>
      </c>
      <c r="N1436" s="262" t="s">
        <v>4249</v>
      </c>
    </row>
    <row r="1437" spans="1:14" ht="12.75" customHeight="1" x14ac:dyDescent="0.2">
      <c r="A1437" s="567" t="s">
        <v>1861</v>
      </c>
      <c r="B1437" s="567"/>
      <c r="C1437" s="567"/>
      <c r="D1437" s="567"/>
      <c r="E1437" s="567"/>
      <c r="F1437" s="567"/>
      <c r="G1437" s="568" t="s">
        <v>2482</v>
      </c>
      <c r="H1437" s="568" t="s">
        <v>340</v>
      </c>
      <c r="I1437" s="239" t="str">
        <f>IF(ISBLANK(continental!I504),"",continental!I504)</f>
        <v/>
      </c>
      <c r="K1437" s="262" t="s">
        <v>4249</v>
      </c>
      <c r="N1437" s="262" t="s">
        <v>4249</v>
      </c>
    </row>
    <row r="1438" spans="1:14" ht="12.75" customHeight="1" x14ac:dyDescent="0.2">
      <c r="A1438" s="567" t="s">
        <v>1863</v>
      </c>
      <c r="B1438" s="567"/>
      <c r="C1438" s="567"/>
      <c r="D1438" s="567"/>
      <c r="E1438" s="567"/>
      <c r="F1438" s="567"/>
      <c r="G1438" s="568" t="s">
        <v>2483</v>
      </c>
      <c r="H1438" s="568" t="s">
        <v>340</v>
      </c>
      <c r="I1438" s="239" t="str">
        <f>IF(ISBLANK(continental!I505),"",continental!I505)</f>
        <v/>
      </c>
      <c r="K1438" s="262" t="s">
        <v>4249</v>
      </c>
      <c r="N1438" s="262" t="s">
        <v>4249</v>
      </c>
    </row>
    <row r="1439" spans="1:14" ht="12.75" customHeight="1" x14ac:dyDescent="0.2">
      <c r="A1439" s="567" t="s">
        <v>1865</v>
      </c>
      <c r="B1439" s="567"/>
      <c r="C1439" s="567"/>
      <c r="D1439" s="567"/>
      <c r="E1439" s="567"/>
      <c r="F1439" s="567"/>
      <c r="G1439" s="568" t="s">
        <v>2484</v>
      </c>
      <c r="H1439" s="568" t="s">
        <v>340</v>
      </c>
      <c r="I1439" s="239" t="str">
        <f>IF(ISBLANK(continental!I506),"",continental!I506)</f>
        <v/>
      </c>
      <c r="K1439" s="262" t="s">
        <v>4249</v>
      </c>
      <c r="N1439" s="262" t="s">
        <v>4249</v>
      </c>
    </row>
    <row r="1440" spans="1:14" ht="12.75" customHeight="1" x14ac:dyDescent="0.2">
      <c r="A1440" s="583" t="s">
        <v>1867</v>
      </c>
      <c r="B1440" s="583"/>
      <c r="C1440" s="583"/>
      <c r="D1440" s="583"/>
      <c r="E1440" s="583"/>
      <c r="F1440" s="583"/>
      <c r="G1440" s="582" t="s">
        <v>2485</v>
      </c>
      <c r="H1440" s="582" t="s">
        <v>340</v>
      </c>
      <c r="I1440" s="239" t="str">
        <f>IF(ISBLANK(continental!I507),"",continental!I507)</f>
        <v/>
      </c>
      <c r="K1440" s="262" t="s">
        <v>4249</v>
      </c>
      <c r="N1440" s="262" t="s">
        <v>4249</v>
      </c>
    </row>
    <row r="1441" spans="1:14" ht="12.75" customHeight="1" x14ac:dyDescent="0.2">
      <c r="A1441" s="567" t="s">
        <v>1870</v>
      </c>
      <c r="B1441" s="567"/>
      <c r="C1441" s="567"/>
      <c r="D1441" s="567"/>
      <c r="E1441" s="567"/>
      <c r="F1441" s="567"/>
      <c r="G1441" s="568" t="s">
        <v>2486</v>
      </c>
      <c r="H1441" s="568" t="s">
        <v>340</v>
      </c>
      <c r="I1441" s="239" t="str">
        <f>IF(ISBLANK(continental!I508),"",continental!I508)</f>
        <v/>
      </c>
      <c r="K1441" s="262" t="s">
        <v>4249</v>
      </c>
      <c r="N1441" s="262" t="s">
        <v>4249</v>
      </c>
    </row>
    <row r="1442" spans="1:14" ht="12.75" customHeight="1" x14ac:dyDescent="0.2">
      <c r="A1442" s="567" t="s">
        <v>1872</v>
      </c>
      <c r="B1442" s="567"/>
      <c r="C1442" s="567"/>
      <c r="D1442" s="567"/>
      <c r="E1442" s="567"/>
      <c r="F1442" s="567"/>
      <c r="G1442" s="568" t="s">
        <v>2487</v>
      </c>
      <c r="H1442" s="568" t="s">
        <v>340</v>
      </c>
      <c r="I1442" s="239" t="str">
        <f>IF(ISBLANK(continental!I509),"",continental!I509)</f>
        <v/>
      </c>
      <c r="K1442" s="262" t="s">
        <v>4249</v>
      </c>
      <c r="N1442" s="262" t="s">
        <v>4249</v>
      </c>
    </row>
    <row r="1443" spans="1:14" ht="12.75" customHeight="1" x14ac:dyDescent="0.2">
      <c r="A1443" s="567" t="s">
        <v>1874</v>
      </c>
      <c r="B1443" s="567"/>
      <c r="C1443" s="567"/>
      <c r="D1443" s="567"/>
      <c r="E1443" s="567"/>
      <c r="F1443" s="567"/>
      <c r="G1443" s="568" t="s">
        <v>2488</v>
      </c>
      <c r="H1443" s="568" t="s">
        <v>340</v>
      </c>
      <c r="I1443" s="239" t="str">
        <f>IF(ISBLANK(continental!I510),"",continental!I510)</f>
        <v/>
      </c>
      <c r="K1443" s="262" t="s">
        <v>4249</v>
      </c>
      <c r="N1443" s="262" t="s">
        <v>4249</v>
      </c>
    </row>
    <row r="1444" spans="1:14" ht="12.75" customHeight="1" x14ac:dyDescent="0.2">
      <c r="A1444" s="567" t="s">
        <v>1876</v>
      </c>
      <c r="B1444" s="567"/>
      <c r="C1444" s="567"/>
      <c r="D1444" s="567"/>
      <c r="E1444" s="567"/>
      <c r="F1444" s="567"/>
      <c r="G1444" s="568" t="s">
        <v>2489</v>
      </c>
      <c r="H1444" s="568" t="s">
        <v>340</v>
      </c>
      <c r="I1444" s="239" t="str">
        <f>IF(ISBLANK(continental!I511),"",continental!I511)</f>
        <v/>
      </c>
      <c r="K1444" s="262" t="s">
        <v>4249</v>
      </c>
      <c r="N1444" s="262" t="s">
        <v>4249</v>
      </c>
    </row>
    <row r="1445" spans="1:14" ht="12.75" customHeight="1" x14ac:dyDescent="0.2">
      <c r="A1445" s="567" t="s">
        <v>1878</v>
      </c>
      <c r="B1445" s="567"/>
      <c r="C1445" s="567"/>
      <c r="D1445" s="567"/>
      <c r="E1445" s="567"/>
      <c r="F1445" s="567"/>
      <c r="G1445" s="568" t="s">
        <v>2490</v>
      </c>
      <c r="H1445" s="568" t="s">
        <v>340</v>
      </c>
      <c r="I1445" s="239" t="str">
        <f>IF(ISBLANK(continental!I512),"",continental!I512)</f>
        <v/>
      </c>
      <c r="K1445" s="262" t="s">
        <v>4249</v>
      </c>
      <c r="N1445" s="262" t="s">
        <v>4249</v>
      </c>
    </row>
    <row r="1446" spans="1:14" ht="12.75" customHeight="1" x14ac:dyDescent="0.2">
      <c r="A1446" s="567" t="s">
        <v>1880</v>
      </c>
      <c r="B1446" s="567"/>
      <c r="C1446" s="567"/>
      <c r="D1446" s="567"/>
      <c r="E1446" s="567"/>
      <c r="F1446" s="567"/>
      <c r="G1446" s="568" t="s">
        <v>2491</v>
      </c>
      <c r="H1446" s="568" t="s">
        <v>340</v>
      </c>
      <c r="I1446" s="239" t="str">
        <f>IF(ISBLANK(continental!I513),"",continental!I513)</f>
        <v/>
      </c>
      <c r="K1446" s="262" t="s">
        <v>4249</v>
      </c>
      <c r="N1446" s="262" t="s">
        <v>4249</v>
      </c>
    </row>
    <row r="1447" spans="1:14" ht="12.75" customHeight="1" x14ac:dyDescent="0.2">
      <c r="A1447" s="567" t="s">
        <v>1883</v>
      </c>
      <c r="B1447" s="567"/>
      <c r="C1447" s="567"/>
      <c r="D1447" s="567"/>
      <c r="E1447" s="567"/>
      <c r="F1447" s="567"/>
      <c r="G1447" s="568" t="s">
        <v>2492</v>
      </c>
      <c r="H1447" s="568" t="s">
        <v>340</v>
      </c>
      <c r="I1447" s="239" t="str">
        <f>IF(ISBLANK(continental!I514),"",continental!I514)</f>
        <v/>
      </c>
      <c r="K1447" s="262" t="s">
        <v>4249</v>
      </c>
      <c r="N1447" s="262" t="s">
        <v>4249</v>
      </c>
    </row>
    <row r="1448" spans="1:14" ht="12.75" customHeight="1" x14ac:dyDescent="0.2">
      <c r="A1448" s="599" t="s">
        <v>1885</v>
      </c>
      <c r="B1448" s="599"/>
      <c r="C1448" s="599"/>
      <c r="D1448" s="599"/>
      <c r="E1448" s="599"/>
      <c r="F1448" s="599"/>
      <c r="G1448" s="602" t="s">
        <v>2493</v>
      </c>
      <c r="H1448" s="602" t="s">
        <v>340</v>
      </c>
      <c r="I1448" s="239" t="str">
        <f>IF(ISBLANK(continental!I515),"",continental!I515)</f>
        <v/>
      </c>
      <c r="K1448" s="262" t="s">
        <v>4249</v>
      </c>
      <c r="N1448" s="262" t="s">
        <v>4249</v>
      </c>
    </row>
    <row r="1449" spans="1:14" ht="12.75" customHeight="1" x14ac:dyDescent="0.2">
      <c r="A1449" s="487"/>
      <c r="B1449" s="487"/>
      <c r="C1449" s="487"/>
      <c r="D1449" s="487"/>
      <c r="E1449" s="487"/>
      <c r="F1449" s="487"/>
      <c r="G1449" s="651"/>
      <c r="H1449" s="651"/>
      <c r="I1449" s="239" t="str">
        <f>IF(ISBLANK(continental!I516),"",continental!I516)</f>
        <v/>
      </c>
      <c r="K1449" s="262" t="s">
        <v>4249</v>
      </c>
      <c r="N1449" s="262" t="s">
        <v>4249</v>
      </c>
    </row>
    <row r="1450" spans="1:14" ht="12.75" customHeight="1" x14ac:dyDescent="0.2">
      <c r="A1450" s="631" t="s">
        <v>2494</v>
      </c>
      <c r="B1450" s="413"/>
      <c r="C1450" s="413"/>
      <c r="D1450" s="413"/>
      <c r="E1450" s="413"/>
      <c r="F1450" s="413"/>
      <c r="G1450" s="631" t="s">
        <v>263</v>
      </c>
      <c r="H1450" s="631" t="s">
        <v>279</v>
      </c>
      <c r="I1450" s="239" t="str">
        <f>IF(ISBLANK(continental!I517),"",continental!I517)</f>
        <v>User input</v>
      </c>
      <c r="K1450" s="262" t="s">
        <v>264</v>
      </c>
      <c r="N1450" s="262" t="s">
        <v>264</v>
      </c>
    </row>
    <row r="1451" spans="1:14" ht="12.75" customHeight="1" x14ac:dyDescent="0.2">
      <c r="A1451" s="568" t="s">
        <v>1322</v>
      </c>
      <c r="B1451" s="567"/>
      <c r="C1451" s="567"/>
      <c r="D1451" s="567"/>
      <c r="E1451" s="567"/>
      <c r="F1451" s="567"/>
      <c r="G1451" s="568" t="s">
        <v>2495</v>
      </c>
      <c r="H1451" s="568" t="s">
        <v>624</v>
      </c>
      <c r="I1451" s="239" t="str">
        <f>IF(ISBLANK(continental!I518),"",continental!I518)</f>
        <v/>
      </c>
      <c r="K1451" s="262" t="s">
        <v>4249</v>
      </c>
      <c r="N1451" s="262" t="s">
        <v>4249</v>
      </c>
    </row>
    <row r="1452" spans="1:14" ht="12.75" customHeight="1" x14ac:dyDescent="0.2">
      <c r="A1452" s="568" t="s">
        <v>1322</v>
      </c>
      <c r="B1452" s="567"/>
      <c r="C1452" s="567"/>
      <c r="D1452" s="567"/>
      <c r="E1452" s="567"/>
      <c r="F1452" s="567"/>
      <c r="G1452" s="568" t="s">
        <v>2496</v>
      </c>
      <c r="H1452" s="568" t="s">
        <v>624</v>
      </c>
      <c r="I1452" s="239" t="str">
        <f>IF(ISBLANK(continental!I519),"",continental!I519)</f>
        <v/>
      </c>
      <c r="K1452" s="262" t="s">
        <v>4249</v>
      </c>
      <c r="N1452" s="262" t="s">
        <v>4249</v>
      </c>
    </row>
    <row r="1453" spans="1:14" ht="12.75" customHeight="1" x14ac:dyDescent="0.2">
      <c r="A1453" s="568" t="s">
        <v>1322</v>
      </c>
      <c r="B1453" s="567"/>
      <c r="C1453" s="567"/>
      <c r="D1453" s="567"/>
      <c r="E1453" s="567"/>
      <c r="F1453" s="567"/>
      <c r="G1453" s="568" t="s">
        <v>2497</v>
      </c>
      <c r="H1453" s="568" t="s">
        <v>624</v>
      </c>
      <c r="I1453" s="239" t="str">
        <f>IF(ISBLANK(continental!I520),"",continental!I520)</f>
        <v/>
      </c>
      <c r="K1453" s="262" t="s">
        <v>4249</v>
      </c>
      <c r="N1453" s="262" t="s">
        <v>4249</v>
      </c>
    </row>
    <row r="1454" spans="1:14" ht="12.75" customHeight="1" x14ac:dyDescent="0.2">
      <c r="A1454" s="568" t="s">
        <v>1324</v>
      </c>
      <c r="B1454" s="567"/>
      <c r="C1454" s="567"/>
      <c r="D1454" s="567"/>
      <c r="E1454" s="567"/>
      <c r="F1454" s="567"/>
      <c r="G1454" s="568" t="s">
        <v>2498</v>
      </c>
      <c r="H1454" s="568" t="s">
        <v>624</v>
      </c>
      <c r="I1454" s="239" t="str">
        <f>IF(ISBLANK(continental!I521),"",continental!I521)</f>
        <v/>
      </c>
      <c r="K1454" s="262" t="s">
        <v>4249</v>
      </c>
      <c r="N1454" s="262" t="s">
        <v>4249</v>
      </c>
    </row>
    <row r="1455" spans="1:14" ht="12.75" customHeight="1" x14ac:dyDescent="0.2">
      <c r="A1455" s="568" t="s">
        <v>1324</v>
      </c>
      <c r="B1455" s="567"/>
      <c r="C1455" s="567"/>
      <c r="D1455" s="567"/>
      <c r="E1455" s="567"/>
      <c r="F1455" s="567"/>
      <c r="G1455" s="568" t="s">
        <v>2499</v>
      </c>
      <c r="H1455" s="568" t="s">
        <v>624</v>
      </c>
      <c r="I1455" s="239" t="str">
        <f>IF(ISBLANK(continental!I522),"",continental!I522)</f>
        <v/>
      </c>
      <c r="K1455" s="262" t="s">
        <v>4249</v>
      </c>
      <c r="N1455" s="262" t="s">
        <v>4249</v>
      </c>
    </row>
    <row r="1456" spans="1:14" ht="12.75" customHeight="1" x14ac:dyDescent="0.2">
      <c r="A1456" s="568" t="s">
        <v>1324</v>
      </c>
      <c r="B1456" s="567"/>
      <c r="C1456" s="567"/>
      <c r="D1456" s="567"/>
      <c r="E1456" s="567"/>
      <c r="F1456" s="567"/>
      <c r="G1456" s="568" t="s">
        <v>2500</v>
      </c>
      <c r="H1456" s="568" t="s">
        <v>624</v>
      </c>
      <c r="I1456" s="239" t="str">
        <f>IF(ISBLANK(continental!I523),"",continental!I523)</f>
        <v/>
      </c>
      <c r="K1456" s="262" t="s">
        <v>4249</v>
      </c>
      <c r="N1456" s="262" t="s">
        <v>4249</v>
      </c>
    </row>
    <row r="1457" spans="1:14" ht="12.75" customHeight="1" x14ac:dyDescent="0.2">
      <c r="A1457" s="568" t="s">
        <v>1326</v>
      </c>
      <c r="B1457" s="567"/>
      <c r="C1457" s="567"/>
      <c r="D1457" s="567"/>
      <c r="E1457" s="567"/>
      <c r="F1457" s="567"/>
      <c r="G1457" s="568" t="s">
        <v>2501</v>
      </c>
      <c r="H1457" s="568" t="s">
        <v>624</v>
      </c>
      <c r="I1457" s="239" t="str">
        <f>IF(ISBLANK(continental!I524),"",continental!I524)</f>
        <v/>
      </c>
      <c r="K1457" s="262" t="s">
        <v>4249</v>
      </c>
      <c r="N1457" s="262" t="s">
        <v>4249</v>
      </c>
    </row>
    <row r="1458" spans="1:14" ht="12.75" customHeight="1" x14ac:dyDescent="0.2">
      <c r="A1458" s="568" t="s">
        <v>1326</v>
      </c>
      <c r="B1458" s="567"/>
      <c r="C1458" s="567"/>
      <c r="D1458" s="567"/>
      <c r="E1458" s="567"/>
      <c r="F1458" s="567"/>
      <c r="G1458" s="568" t="s">
        <v>2502</v>
      </c>
      <c r="H1458" s="568" t="s">
        <v>624</v>
      </c>
      <c r="I1458" s="239" t="str">
        <f>IF(ISBLANK(continental!I525),"",continental!I525)</f>
        <v/>
      </c>
      <c r="K1458" s="262" t="s">
        <v>4249</v>
      </c>
      <c r="N1458" s="262" t="s">
        <v>4249</v>
      </c>
    </row>
    <row r="1459" spans="1:14" ht="12.75" customHeight="1" x14ac:dyDescent="0.2">
      <c r="A1459" s="568" t="s">
        <v>1326</v>
      </c>
      <c r="B1459" s="567"/>
      <c r="C1459" s="567"/>
      <c r="D1459" s="567"/>
      <c r="E1459" s="567"/>
      <c r="F1459" s="567"/>
      <c r="G1459" s="568" t="s">
        <v>2503</v>
      </c>
      <c r="H1459" s="568" t="s">
        <v>624</v>
      </c>
      <c r="I1459" s="239" t="str">
        <f>IF(ISBLANK(continental!I526),"",continental!I526)</f>
        <v/>
      </c>
      <c r="K1459" s="262" t="s">
        <v>4249</v>
      </c>
      <c r="N1459" s="262" t="s">
        <v>4249</v>
      </c>
    </row>
    <row r="1460" spans="1:14" ht="12.75" customHeight="1" x14ac:dyDescent="0.2">
      <c r="A1460" s="568" t="s">
        <v>1328</v>
      </c>
      <c r="B1460" s="567"/>
      <c r="C1460" s="567"/>
      <c r="D1460" s="567"/>
      <c r="E1460" s="567"/>
      <c r="F1460" s="567"/>
      <c r="G1460" s="568" t="s">
        <v>2504</v>
      </c>
      <c r="H1460" s="568" t="s">
        <v>624</v>
      </c>
      <c r="I1460" s="239" t="str">
        <f>IF(ISBLANK(continental!I527),"",continental!I527)</f>
        <v/>
      </c>
      <c r="K1460" s="262" t="s">
        <v>4249</v>
      </c>
      <c r="N1460" s="262" t="s">
        <v>4249</v>
      </c>
    </row>
    <row r="1461" spans="1:14" ht="12.75" customHeight="1" x14ac:dyDescent="0.2">
      <c r="A1461" s="568" t="s">
        <v>1328</v>
      </c>
      <c r="B1461" s="567"/>
      <c r="C1461" s="567"/>
      <c r="D1461" s="567"/>
      <c r="E1461" s="567"/>
      <c r="F1461" s="567"/>
      <c r="G1461" s="568" t="s">
        <v>2505</v>
      </c>
      <c r="H1461" s="568" t="s">
        <v>624</v>
      </c>
      <c r="I1461" s="239" t="str">
        <f>IF(ISBLANK(continental!I528),"",continental!I528)</f>
        <v/>
      </c>
      <c r="K1461" s="262" t="s">
        <v>4249</v>
      </c>
      <c r="N1461" s="262" t="s">
        <v>4249</v>
      </c>
    </row>
    <row r="1462" spans="1:14" ht="12.75" customHeight="1" x14ac:dyDescent="0.2">
      <c r="A1462" s="568" t="s">
        <v>1328</v>
      </c>
      <c r="B1462" s="567"/>
      <c r="C1462" s="567"/>
      <c r="D1462" s="567"/>
      <c r="E1462" s="567"/>
      <c r="F1462" s="567"/>
      <c r="G1462" s="568" t="s">
        <v>2506</v>
      </c>
      <c r="H1462" s="568" t="s">
        <v>624</v>
      </c>
      <c r="I1462" s="239" t="str">
        <f>IF(ISBLANK(continental!I529),"",continental!I529)</f>
        <v/>
      </c>
      <c r="K1462" s="262" t="s">
        <v>4249</v>
      </c>
      <c r="N1462" s="262" t="s">
        <v>4249</v>
      </c>
    </row>
    <row r="1463" spans="1:14" ht="12.75" customHeight="1" x14ac:dyDescent="0.2">
      <c r="A1463" s="568" t="s">
        <v>1330</v>
      </c>
      <c r="B1463" s="567"/>
      <c r="C1463" s="567"/>
      <c r="D1463" s="567"/>
      <c r="E1463" s="567"/>
      <c r="F1463" s="567"/>
      <c r="G1463" s="568" t="s">
        <v>2507</v>
      </c>
      <c r="H1463" s="568" t="s">
        <v>624</v>
      </c>
      <c r="I1463" s="239" t="str">
        <f>IF(ISBLANK(continental!I530),"",continental!I530)</f>
        <v/>
      </c>
      <c r="K1463" s="262" t="s">
        <v>4249</v>
      </c>
      <c r="N1463" s="262" t="s">
        <v>4249</v>
      </c>
    </row>
    <row r="1464" spans="1:14" ht="12.75" customHeight="1" x14ac:dyDescent="0.2">
      <c r="A1464" s="568" t="s">
        <v>1330</v>
      </c>
      <c r="B1464" s="567"/>
      <c r="C1464" s="567"/>
      <c r="D1464" s="567"/>
      <c r="E1464" s="567"/>
      <c r="F1464" s="567"/>
      <c r="G1464" s="568" t="s">
        <v>2508</v>
      </c>
      <c r="H1464" s="568" t="s">
        <v>624</v>
      </c>
      <c r="I1464" s="239" t="str">
        <f>IF(ISBLANK(continental!I531),"",continental!I531)</f>
        <v/>
      </c>
      <c r="K1464" s="262" t="s">
        <v>4249</v>
      </c>
      <c r="N1464" s="262" t="s">
        <v>4249</v>
      </c>
    </row>
    <row r="1465" spans="1:14" ht="12.75" customHeight="1" x14ac:dyDescent="0.2">
      <c r="A1465" s="568" t="s">
        <v>1330</v>
      </c>
      <c r="B1465" s="567"/>
      <c r="C1465" s="567"/>
      <c r="D1465" s="567"/>
      <c r="E1465" s="567"/>
      <c r="F1465" s="567"/>
      <c r="G1465" s="568" t="s">
        <v>2509</v>
      </c>
      <c r="H1465" s="568" t="s">
        <v>624</v>
      </c>
      <c r="I1465" s="239" t="str">
        <f>IF(ISBLANK(continental!I532),"",continental!I532)</f>
        <v/>
      </c>
      <c r="K1465" s="262" t="s">
        <v>4249</v>
      </c>
      <c r="N1465" s="262" t="s">
        <v>4249</v>
      </c>
    </row>
    <row r="1466" spans="1:14" ht="12.75" customHeight="1" x14ac:dyDescent="0.2">
      <c r="A1466" s="568" t="s">
        <v>1332</v>
      </c>
      <c r="B1466" s="567"/>
      <c r="C1466" s="567"/>
      <c r="D1466" s="567"/>
      <c r="E1466" s="567"/>
      <c r="F1466" s="567"/>
      <c r="G1466" s="568" t="s">
        <v>2510</v>
      </c>
      <c r="H1466" s="568" t="s">
        <v>624</v>
      </c>
      <c r="I1466" s="239" t="str">
        <f>IF(ISBLANK(continental!I533),"",continental!I533)</f>
        <v/>
      </c>
      <c r="K1466" s="262" t="s">
        <v>4249</v>
      </c>
      <c r="N1466" s="262" t="s">
        <v>4249</v>
      </c>
    </row>
    <row r="1467" spans="1:14" ht="12.75" customHeight="1" x14ac:dyDescent="0.2">
      <c r="A1467" s="568" t="s">
        <v>1332</v>
      </c>
      <c r="B1467" s="567"/>
      <c r="C1467" s="567"/>
      <c r="D1467" s="567"/>
      <c r="E1467" s="567"/>
      <c r="F1467" s="567"/>
      <c r="G1467" s="568" t="s">
        <v>2511</v>
      </c>
      <c r="H1467" s="568" t="s">
        <v>624</v>
      </c>
      <c r="I1467" s="239" t="str">
        <f>IF(ISBLANK(continental!I534),"",continental!I534)</f>
        <v/>
      </c>
      <c r="K1467" s="262" t="s">
        <v>4249</v>
      </c>
      <c r="N1467" s="262" t="s">
        <v>4249</v>
      </c>
    </row>
    <row r="1468" spans="1:14" ht="12.75" customHeight="1" x14ac:dyDescent="0.2">
      <c r="A1468" s="568" t="s">
        <v>1332</v>
      </c>
      <c r="B1468" s="567"/>
      <c r="C1468" s="567"/>
      <c r="D1468" s="567"/>
      <c r="E1468" s="567"/>
      <c r="F1468" s="567"/>
      <c r="G1468" s="568" t="s">
        <v>2512</v>
      </c>
      <c r="H1468" s="568" t="s">
        <v>624</v>
      </c>
      <c r="I1468" s="239" t="str">
        <f>IF(ISBLANK(continental!I535),"",continental!I535)</f>
        <v/>
      </c>
      <c r="K1468" s="262" t="s">
        <v>4249</v>
      </c>
      <c r="N1468" s="262" t="s">
        <v>4249</v>
      </c>
    </row>
    <row r="1469" spans="1:14" ht="12.75" customHeight="1" x14ac:dyDescent="0.2">
      <c r="A1469" s="568" t="s">
        <v>1334</v>
      </c>
      <c r="B1469" s="567"/>
      <c r="C1469" s="567"/>
      <c r="D1469" s="567"/>
      <c r="E1469" s="567"/>
      <c r="F1469" s="567"/>
      <c r="G1469" s="568" t="s">
        <v>2513</v>
      </c>
      <c r="H1469" s="568" t="s">
        <v>624</v>
      </c>
      <c r="I1469" s="239" t="str">
        <f>IF(ISBLANK(continental!I536),"",continental!I536)</f>
        <v/>
      </c>
      <c r="K1469" s="262" t="s">
        <v>4249</v>
      </c>
      <c r="N1469" s="262" t="s">
        <v>4249</v>
      </c>
    </row>
    <row r="1470" spans="1:14" ht="12.75" customHeight="1" x14ac:dyDescent="0.2">
      <c r="A1470" s="568" t="s">
        <v>1334</v>
      </c>
      <c r="B1470" s="567"/>
      <c r="C1470" s="567"/>
      <c r="D1470" s="567"/>
      <c r="E1470" s="567"/>
      <c r="F1470" s="567"/>
      <c r="G1470" s="568" t="s">
        <v>2514</v>
      </c>
      <c r="H1470" s="568" t="s">
        <v>624</v>
      </c>
      <c r="I1470" s="239" t="str">
        <f>IF(ISBLANK(continental!I537),"",continental!I537)</f>
        <v/>
      </c>
      <c r="K1470" s="262" t="s">
        <v>4249</v>
      </c>
      <c r="N1470" s="262" t="s">
        <v>4249</v>
      </c>
    </row>
    <row r="1471" spans="1:14" ht="12.75" customHeight="1" x14ac:dyDescent="0.2">
      <c r="A1471" s="568" t="s">
        <v>1334</v>
      </c>
      <c r="B1471" s="567"/>
      <c r="C1471" s="567"/>
      <c r="D1471" s="567"/>
      <c r="E1471" s="567"/>
      <c r="F1471" s="567"/>
      <c r="G1471" s="568" t="s">
        <v>2515</v>
      </c>
      <c r="H1471" s="568" t="s">
        <v>624</v>
      </c>
      <c r="I1471" s="239" t="str">
        <f>IF(ISBLANK(continental!I538),"",continental!I538)</f>
        <v/>
      </c>
      <c r="K1471" s="262" t="s">
        <v>4249</v>
      </c>
      <c r="N1471" s="262" t="s">
        <v>4249</v>
      </c>
    </row>
    <row r="1472" spans="1:14" ht="12.75" customHeight="1" x14ac:dyDescent="0.2">
      <c r="A1472" s="568" t="s">
        <v>1336</v>
      </c>
      <c r="B1472" s="567"/>
      <c r="C1472" s="567"/>
      <c r="D1472" s="567"/>
      <c r="E1472" s="567"/>
      <c r="F1472" s="567"/>
      <c r="G1472" s="568" t="s">
        <v>2516</v>
      </c>
      <c r="H1472" s="568" t="s">
        <v>624</v>
      </c>
      <c r="I1472" s="239" t="str">
        <f>IF(ISBLANK(continental!I539),"",continental!I539)</f>
        <v/>
      </c>
      <c r="K1472" s="262" t="s">
        <v>4249</v>
      </c>
      <c r="N1472" s="262" t="s">
        <v>4249</v>
      </c>
    </row>
    <row r="1473" spans="1:14" ht="12.75" customHeight="1" x14ac:dyDescent="0.2">
      <c r="A1473" s="568" t="s">
        <v>1336</v>
      </c>
      <c r="B1473" s="567"/>
      <c r="C1473" s="567"/>
      <c r="D1473" s="567"/>
      <c r="E1473" s="567"/>
      <c r="F1473" s="567"/>
      <c r="G1473" s="568" t="s">
        <v>2517</v>
      </c>
      <c r="H1473" s="568" t="s">
        <v>624</v>
      </c>
      <c r="I1473" s="239" t="str">
        <f>IF(ISBLANK(continental!I540),"",continental!I540)</f>
        <v/>
      </c>
      <c r="K1473" s="262" t="s">
        <v>4249</v>
      </c>
      <c r="N1473" s="262" t="s">
        <v>4249</v>
      </c>
    </row>
    <row r="1474" spans="1:14" ht="12.75" customHeight="1" x14ac:dyDescent="0.2">
      <c r="A1474" s="568" t="s">
        <v>1336</v>
      </c>
      <c r="B1474" s="567"/>
      <c r="C1474" s="567"/>
      <c r="D1474" s="567"/>
      <c r="E1474" s="567"/>
      <c r="F1474" s="567"/>
      <c r="G1474" s="568" t="s">
        <v>2518</v>
      </c>
      <c r="H1474" s="568" t="s">
        <v>624</v>
      </c>
      <c r="I1474" s="239" t="str">
        <f>IF(ISBLANK(continental!I541),"",continental!I541)</f>
        <v/>
      </c>
      <c r="K1474" s="262" t="s">
        <v>4249</v>
      </c>
      <c r="N1474" s="262" t="s">
        <v>4249</v>
      </c>
    </row>
    <row r="1475" spans="1:14" ht="12.75" customHeight="1" x14ac:dyDescent="0.2">
      <c r="A1475" s="568" t="s">
        <v>1338</v>
      </c>
      <c r="B1475" s="567"/>
      <c r="C1475" s="567"/>
      <c r="D1475" s="567"/>
      <c r="E1475" s="567"/>
      <c r="F1475" s="567"/>
      <c r="G1475" s="568" t="s">
        <v>2519</v>
      </c>
      <c r="H1475" s="568" t="s">
        <v>624</v>
      </c>
      <c r="I1475" s="239" t="str">
        <f>IF(ISBLANK(continental!I542),"",continental!I542)</f>
        <v/>
      </c>
      <c r="K1475" s="262" t="s">
        <v>4249</v>
      </c>
      <c r="N1475" s="262" t="s">
        <v>4249</v>
      </c>
    </row>
    <row r="1476" spans="1:14" ht="12.75" customHeight="1" x14ac:dyDescent="0.2">
      <c r="A1476" s="568" t="s">
        <v>1338</v>
      </c>
      <c r="B1476" s="567"/>
      <c r="C1476" s="567"/>
      <c r="D1476" s="567"/>
      <c r="E1476" s="567"/>
      <c r="F1476" s="567"/>
      <c r="G1476" s="568" t="s">
        <v>2520</v>
      </c>
      <c r="H1476" s="568" t="s">
        <v>624</v>
      </c>
      <c r="I1476" s="239" t="str">
        <f>IF(ISBLANK(continental!I543),"",continental!I543)</f>
        <v/>
      </c>
      <c r="K1476" s="262" t="s">
        <v>4249</v>
      </c>
      <c r="N1476" s="262" t="s">
        <v>4249</v>
      </c>
    </row>
    <row r="1477" spans="1:14" ht="12.75" customHeight="1" x14ac:dyDescent="0.2">
      <c r="A1477" s="568" t="s">
        <v>1338</v>
      </c>
      <c r="B1477" s="567"/>
      <c r="C1477" s="567"/>
      <c r="D1477" s="567"/>
      <c r="E1477" s="567"/>
      <c r="F1477" s="567"/>
      <c r="G1477" s="568" t="s">
        <v>2521</v>
      </c>
      <c r="H1477" s="568" t="s">
        <v>624</v>
      </c>
      <c r="I1477" s="239" t="str">
        <f>IF(ISBLANK(continental!I544),"",continental!I544)</f>
        <v/>
      </c>
      <c r="K1477" s="262" t="s">
        <v>4249</v>
      </c>
      <c r="N1477" s="262" t="s">
        <v>4249</v>
      </c>
    </row>
    <row r="1478" spans="1:14" ht="12.75" customHeight="1" x14ac:dyDescent="0.2">
      <c r="A1478" s="568" t="s">
        <v>1340</v>
      </c>
      <c r="B1478" s="567"/>
      <c r="C1478" s="567"/>
      <c r="D1478" s="567"/>
      <c r="E1478" s="567"/>
      <c r="F1478" s="567"/>
      <c r="G1478" s="568" t="s">
        <v>2522</v>
      </c>
      <c r="H1478" s="568" t="s">
        <v>624</v>
      </c>
      <c r="I1478" s="239" t="str">
        <f>IF(ISBLANK(continental!I545),"",continental!I545)</f>
        <v/>
      </c>
      <c r="K1478" s="262" t="s">
        <v>4249</v>
      </c>
      <c r="N1478" s="262" t="s">
        <v>4249</v>
      </c>
    </row>
    <row r="1479" spans="1:14" ht="12.75" customHeight="1" x14ac:dyDescent="0.2">
      <c r="A1479" s="568" t="s">
        <v>1340</v>
      </c>
      <c r="B1479" s="567"/>
      <c r="C1479" s="567"/>
      <c r="D1479" s="567"/>
      <c r="E1479" s="567"/>
      <c r="F1479" s="567"/>
      <c r="G1479" s="568" t="s">
        <v>2523</v>
      </c>
      <c r="H1479" s="568" t="s">
        <v>624</v>
      </c>
      <c r="I1479" s="239" t="str">
        <f>IF(ISBLANK(continental!I546),"",continental!I546)</f>
        <v/>
      </c>
      <c r="K1479" s="262" t="s">
        <v>4249</v>
      </c>
      <c r="N1479" s="262" t="s">
        <v>4249</v>
      </c>
    </row>
    <row r="1480" spans="1:14" ht="12.75" customHeight="1" x14ac:dyDescent="0.2">
      <c r="A1480" s="568" t="s">
        <v>1340</v>
      </c>
      <c r="B1480" s="567"/>
      <c r="C1480" s="567"/>
      <c r="D1480" s="567"/>
      <c r="E1480" s="567"/>
      <c r="F1480" s="567"/>
      <c r="G1480" s="568" t="s">
        <v>2524</v>
      </c>
      <c r="H1480" s="568" t="s">
        <v>624</v>
      </c>
      <c r="I1480" s="239" t="str">
        <f>IF(ISBLANK(continental!I547),"",continental!I547)</f>
        <v/>
      </c>
      <c r="K1480" s="262" t="s">
        <v>4249</v>
      </c>
      <c r="N1480" s="262" t="s">
        <v>4249</v>
      </c>
    </row>
    <row r="1481" spans="1:14" ht="12.75" customHeight="1" x14ac:dyDescent="0.2">
      <c r="A1481" s="567"/>
      <c r="B1481" s="567" t="s">
        <v>1919</v>
      </c>
      <c r="C1481" s="567"/>
      <c r="D1481" s="567"/>
      <c r="E1481" s="567"/>
      <c r="F1481" s="567"/>
      <c r="G1481" s="568" t="s">
        <v>2525</v>
      </c>
      <c r="H1481" s="568" t="s">
        <v>340</v>
      </c>
      <c r="I1481" s="239" t="str">
        <f>IF(ISBLANK(continental!I548),"",continental!I548)</f>
        <v/>
      </c>
      <c r="K1481" s="262" t="s">
        <v>4249</v>
      </c>
      <c r="N1481" s="262" t="s">
        <v>4249</v>
      </c>
    </row>
    <row r="1482" spans="1:14" ht="12.75" customHeight="1" x14ac:dyDescent="0.2">
      <c r="A1482" s="567"/>
      <c r="B1482" s="567" t="s">
        <v>1922</v>
      </c>
      <c r="C1482" s="567"/>
      <c r="D1482" s="567"/>
      <c r="E1482" s="567"/>
      <c r="F1482" s="567"/>
      <c r="G1482" s="568" t="s">
        <v>2526</v>
      </c>
      <c r="H1482" s="568" t="s">
        <v>340</v>
      </c>
      <c r="I1482" s="239" t="str">
        <f>IF(ISBLANK(continental!I549),"",continental!I549)</f>
        <v/>
      </c>
      <c r="K1482" s="262" t="s">
        <v>4249</v>
      </c>
      <c r="N1482" s="262" t="s">
        <v>4249</v>
      </c>
    </row>
    <row r="1483" spans="1:14" ht="12.75" customHeight="1" x14ac:dyDescent="0.2">
      <c r="A1483" s="567"/>
      <c r="B1483" s="567" t="s">
        <v>1924</v>
      </c>
      <c r="C1483" s="567"/>
      <c r="D1483" s="567"/>
      <c r="E1483" s="567"/>
      <c r="F1483" s="567"/>
      <c r="G1483" s="568" t="s">
        <v>2527</v>
      </c>
      <c r="H1483" s="568" t="s">
        <v>340</v>
      </c>
      <c r="I1483" s="239" t="str">
        <f>IF(ISBLANK(continental!I550),"",continental!I550)</f>
        <v/>
      </c>
      <c r="K1483" s="262" t="s">
        <v>4249</v>
      </c>
      <c r="N1483" s="262" t="s">
        <v>4249</v>
      </c>
    </row>
    <row r="1484" spans="1:14" ht="12.75" customHeight="1" x14ac:dyDescent="0.2">
      <c r="A1484" s="567"/>
      <c r="B1484" s="567" t="s">
        <v>1926</v>
      </c>
      <c r="C1484" s="567"/>
      <c r="D1484" s="567"/>
      <c r="E1484" s="567"/>
      <c r="F1484" s="567"/>
      <c r="G1484" s="568" t="s">
        <v>2528</v>
      </c>
      <c r="H1484" s="568" t="s">
        <v>340</v>
      </c>
      <c r="I1484" s="239" t="str">
        <f>IF(ISBLANK(continental!I551),"",continental!I551)</f>
        <v/>
      </c>
      <c r="K1484" s="262" t="s">
        <v>4249</v>
      </c>
      <c r="N1484" s="262" t="s">
        <v>4249</v>
      </c>
    </row>
    <row r="1485" spans="1:14" ht="12.75" customHeight="1" x14ac:dyDescent="0.2">
      <c r="A1485" s="567"/>
      <c r="B1485" s="567" t="s">
        <v>1929</v>
      </c>
      <c r="C1485" s="567"/>
      <c r="D1485" s="567"/>
      <c r="E1485" s="567"/>
      <c r="F1485" s="567"/>
      <c r="G1485" s="568" t="s">
        <v>2529</v>
      </c>
      <c r="H1485" s="568" t="s">
        <v>340</v>
      </c>
      <c r="I1485" s="239" t="str">
        <f>IF(ISBLANK(continental!I552),"",continental!I552)</f>
        <v/>
      </c>
      <c r="K1485" s="262" t="s">
        <v>4249</v>
      </c>
      <c r="N1485" s="262" t="s">
        <v>4249</v>
      </c>
    </row>
    <row r="1486" spans="1:14" ht="12.75" customHeight="1" x14ac:dyDescent="0.2">
      <c r="A1486" s="567"/>
      <c r="B1486" s="567" t="s">
        <v>1931</v>
      </c>
      <c r="C1486" s="567"/>
      <c r="D1486" s="567"/>
      <c r="E1486" s="567"/>
      <c r="F1486" s="567"/>
      <c r="G1486" s="568" t="s">
        <v>2530</v>
      </c>
      <c r="H1486" s="568" t="s">
        <v>340</v>
      </c>
      <c r="I1486" s="239" t="str">
        <f>IF(ISBLANK(continental!I553),"",continental!I553)</f>
        <v/>
      </c>
      <c r="K1486" s="262" t="s">
        <v>4249</v>
      </c>
      <c r="N1486" s="262" t="s">
        <v>4249</v>
      </c>
    </row>
    <row r="1488" spans="1:14" ht="12.75" customHeight="1" x14ac:dyDescent="0.2">
      <c r="A1488" s="101" t="s">
        <v>2531</v>
      </c>
      <c r="B1488" s="17"/>
      <c r="C1488" s="17"/>
      <c r="D1488" s="17"/>
      <c r="E1488" s="17"/>
      <c r="F1488" s="17"/>
      <c r="G1488" s="38"/>
      <c r="H1488" s="38"/>
      <c r="I1488" s="38"/>
      <c r="J1488" s="216"/>
    </row>
    <row r="1489" spans="1:14" ht="12.75" customHeight="1" x14ac:dyDescent="0.2">
      <c r="A1489" s="17"/>
      <c r="B1489" s="17"/>
      <c r="C1489" s="17"/>
      <c r="D1489" s="17"/>
      <c r="E1489" s="17"/>
      <c r="F1489" s="17"/>
      <c r="G1489" s="38"/>
      <c r="H1489" s="38"/>
      <c r="I1489" s="38"/>
      <c r="J1489" s="216"/>
    </row>
    <row r="1490" spans="1:14" ht="12.75" customHeight="1" x14ac:dyDescent="0.2">
      <c r="A1490" s="147" t="s">
        <v>954</v>
      </c>
      <c r="B1490" s="147"/>
      <c r="C1490" s="147"/>
      <c r="D1490" s="147"/>
      <c r="E1490" s="147"/>
      <c r="F1490" s="147"/>
      <c r="G1490" s="148" t="s">
        <v>263</v>
      </c>
      <c r="H1490" s="148" t="s">
        <v>279</v>
      </c>
      <c r="I1490" s="148"/>
      <c r="J1490" s="828"/>
    </row>
    <row r="1491" spans="1:14" ht="12.75" customHeight="1" x14ac:dyDescent="0.2">
      <c r="A1491" s="17"/>
      <c r="B1491" s="17"/>
      <c r="C1491" s="17"/>
      <c r="D1491" s="17"/>
      <c r="E1491" s="17"/>
      <c r="F1491" s="17"/>
      <c r="G1491" s="17"/>
      <c r="H1491" s="38"/>
      <c r="I1491" s="38"/>
      <c r="J1491" s="216"/>
    </row>
    <row r="1492" spans="1:14" ht="12.75" customHeight="1" x14ac:dyDescent="0.2">
      <c r="A1492" s="38" t="s">
        <v>955</v>
      </c>
      <c r="B1492" s="17"/>
      <c r="C1492" s="17"/>
      <c r="D1492" s="17"/>
      <c r="E1492" s="17"/>
      <c r="F1492" s="17"/>
      <c r="G1492" s="38" t="s">
        <v>2532</v>
      </c>
      <c r="H1492" s="17" t="s">
        <v>957</v>
      </c>
      <c r="I1492" s="239" t="str">
        <f>IF(ISBLANK(global!I5),"",global!I5)</f>
        <v/>
      </c>
      <c r="K1492" s="262" t="s">
        <v>4249</v>
      </c>
      <c r="N1492" s="262" t="s">
        <v>4249</v>
      </c>
    </row>
    <row r="1493" spans="1:14" ht="12.75" customHeight="1" x14ac:dyDescent="0.2">
      <c r="A1493" s="568" t="s">
        <v>1935</v>
      </c>
      <c r="B1493" s="567"/>
      <c r="C1493" s="567"/>
      <c r="D1493" s="567"/>
      <c r="E1493" s="567"/>
      <c r="F1493" s="567"/>
      <c r="G1493" s="568" t="s">
        <v>2533</v>
      </c>
      <c r="H1493" s="567" t="s">
        <v>957</v>
      </c>
      <c r="I1493" s="239" t="str">
        <f>IF(ISBLANK(global!I6),"",global!I6)</f>
        <v/>
      </c>
      <c r="K1493" s="262" t="s">
        <v>4249</v>
      </c>
      <c r="N1493" s="262" t="s">
        <v>4249</v>
      </c>
    </row>
    <row r="1494" spans="1:14" ht="12.75" customHeight="1" x14ac:dyDescent="0.2">
      <c r="A1494" s="38" t="s">
        <v>2534</v>
      </c>
      <c r="B1494" s="17"/>
      <c r="C1494" s="17"/>
      <c r="D1494" s="17"/>
      <c r="E1494" s="17"/>
      <c r="F1494" s="17"/>
      <c r="G1494" s="38" t="s">
        <v>2535</v>
      </c>
      <c r="H1494" s="17" t="s">
        <v>957</v>
      </c>
      <c r="I1494" s="239" t="str">
        <f>IF(ISBLANK(global!I7),"",global!I7)</f>
        <v/>
      </c>
      <c r="K1494" s="262" t="s">
        <v>4249</v>
      </c>
      <c r="N1494" s="262" t="s">
        <v>4249</v>
      </c>
    </row>
    <row r="1495" spans="1:14" ht="12.75" customHeight="1" x14ac:dyDescent="0.2">
      <c r="A1495" s="38" t="s">
        <v>2536</v>
      </c>
      <c r="B1495" s="17"/>
      <c r="C1495" s="17"/>
      <c r="D1495" s="17"/>
      <c r="E1495" s="17"/>
      <c r="F1495" s="17"/>
      <c r="G1495" s="38" t="s">
        <v>2537</v>
      </c>
      <c r="H1495" s="17" t="s">
        <v>957</v>
      </c>
      <c r="I1495" s="239" t="str">
        <f>IF(ISBLANK(global!I8),"",global!I8)</f>
        <v/>
      </c>
      <c r="K1495" s="262" t="s">
        <v>4249</v>
      </c>
      <c r="N1495" s="262" t="s">
        <v>4249</v>
      </c>
    </row>
    <row r="1496" spans="1:14" ht="12.75" customHeight="1" x14ac:dyDescent="0.2">
      <c r="A1496" s="38" t="s">
        <v>2538</v>
      </c>
      <c r="B1496" s="17"/>
      <c r="C1496" s="17"/>
      <c r="D1496" s="17"/>
      <c r="E1496" s="17"/>
      <c r="F1496" s="17"/>
      <c r="G1496" s="38" t="s">
        <v>2539</v>
      </c>
      <c r="H1496" s="17" t="s">
        <v>957</v>
      </c>
      <c r="I1496" s="239" t="str">
        <f>IF(ISBLANK(global!I9),"",global!I9)</f>
        <v/>
      </c>
      <c r="K1496" s="262" t="s">
        <v>4249</v>
      </c>
      <c r="N1496" s="262" t="s">
        <v>4249</v>
      </c>
    </row>
    <row r="1497" spans="1:14" ht="12.75" customHeight="1" x14ac:dyDescent="0.2">
      <c r="A1497" s="38" t="s">
        <v>2540</v>
      </c>
      <c r="B1497" s="17"/>
      <c r="C1497" s="17"/>
      <c r="D1497" s="17"/>
      <c r="E1497" s="17"/>
      <c r="F1497" s="17"/>
      <c r="G1497" s="38" t="s">
        <v>2541</v>
      </c>
      <c r="H1497" s="17" t="s">
        <v>957</v>
      </c>
      <c r="I1497" s="239" t="str">
        <f>IF(ISBLANK(global!I10),"",global!I10)</f>
        <v/>
      </c>
      <c r="K1497" s="262" t="s">
        <v>4249</v>
      </c>
      <c r="N1497" s="262" t="s">
        <v>4249</v>
      </c>
    </row>
    <row r="1498" spans="1:14" ht="12.75" customHeight="1" x14ac:dyDescent="0.2">
      <c r="A1498" s="17"/>
      <c r="B1498" s="38" t="s">
        <v>2542</v>
      </c>
      <c r="C1498" s="17"/>
      <c r="D1498" s="17"/>
      <c r="E1498" s="17"/>
      <c r="F1498" s="17"/>
      <c r="G1498" s="38" t="s">
        <v>2543</v>
      </c>
      <c r="H1498" s="17" t="s">
        <v>679</v>
      </c>
      <c r="I1498" s="239" t="str">
        <f>IF(ISBLANK(global!I11),"",global!I11)</f>
        <v/>
      </c>
      <c r="K1498" s="262" t="s">
        <v>4249</v>
      </c>
      <c r="N1498" s="262" t="s">
        <v>4249</v>
      </c>
    </row>
    <row r="1499" spans="1:14" ht="12.75" customHeight="1" x14ac:dyDescent="0.2">
      <c r="A1499" s="17"/>
      <c r="B1499" s="38" t="s">
        <v>2544</v>
      </c>
      <c r="C1499" s="17"/>
      <c r="D1499" s="17"/>
      <c r="E1499" s="17"/>
      <c r="F1499" s="17"/>
      <c r="G1499" s="146" t="s">
        <v>2545</v>
      </c>
      <c r="H1499" s="17" t="s">
        <v>296</v>
      </c>
      <c r="I1499" s="239" t="str">
        <f>IF(ISBLANK(global!I12),"",global!I12)</f>
        <v/>
      </c>
      <c r="K1499" s="262" t="s">
        <v>4249</v>
      </c>
      <c r="N1499" s="262" t="s">
        <v>4249</v>
      </c>
    </row>
    <row r="1500" spans="1:14" ht="12.75" customHeight="1" x14ac:dyDescent="0.2">
      <c r="A1500" s="17"/>
      <c r="B1500" s="38" t="s">
        <v>2546</v>
      </c>
      <c r="C1500" s="17"/>
      <c r="D1500" s="17"/>
      <c r="E1500" s="17"/>
      <c r="F1500" s="17"/>
      <c r="G1500" s="146" t="s">
        <v>2547</v>
      </c>
      <c r="H1500" s="17" t="s">
        <v>296</v>
      </c>
      <c r="I1500" s="239" t="str">
        <f>IF(ISBLANK(global!I13),"",global!I13)</f>
        <v/>
      </c>
      <c r="K1500" s="262" t="s">
        <v>4249</v>
      </c>
      <c r="N1500" s="262" t="s">
        <v>4249</v>
      </c>
    </row>
    <row r="1501" spans="1:14" ht="12.75" customHeight="1" x14ac:dyDescent="0.2">
      <c r="A1501" s="17"/>
      <c r="B1501" s="17"/>
      <c r="C1501" s="38" t="s">
        <v>994</v>
      </c>
      <c r="D1501" s="17"/>
      <c r="E1501" s="17"/>
      <c r="F1501" s="17"/>
      <c r="G1501" s="146" t="s">
        <v>2548</v>
      </c>
      <c r="H1501" s="38" t="s">
        <v>820</v>
      </c>
      <c r="I1501" s="239" t="str">
        <f>IF(ISBLANK(global!I14),"",global!I14)</f>
        <v/>
      </c>
      <c r="K1501" s="262" t="s">
        <v>4249</v>
      </c>
      <c r="N1501" s="262" t="s">
        <v>4249</v>
      </c>
    </row>
    <row r="1502" spans="1:14" ht="12.75" customHeight="1" x14ac:dyDescent="0.2">
      <c r="A1502" s="17"/>
      <c r="B1502" s="17"/>
      <c r="C1502" s="38" t="s">
        <v>2549</v>
      </c>
      <c r="D1502" s="17"/>
      <c r="E1502" s="17"/>
      <c r="F1502" s="17"/>
      <c r="G1502" s="146" t="s">
        <v>2550</v>
      </c>
      <c r="H1502" s="38" t="s">
        <v>820</v>
      </c>
      <c r="I1502" s="239" t="str">
        <f>IF(ISBLANK(global!I15),"",global!I15)</f>
        <v/>
      </c>
      <c r="K1502" s="262" t="s">
        <v>4249</v>
      </c>
      <c r="N1502" s="262" t="s">
        <v>4249</v>
      </c>
    </row>
    <row r="1503" spans="1:14" ht="12.75" customHeight="1" x14ac:dyDescent="0.2">
      <c r="A1503" s="17"/>
      <c r="B1503" s="17"/>
      <c r="C1503" s="38" t="s">
        <v>2551</v>
      </c>
      <c r="D1503" s="17"/>
      <c r="E1503" s="17"/>
      <c r="F1503" s="17"/>
      <c r="G1503" s="146" t="s">
        <v>2552</v>
      </c>
      <c r="H1503" s="38" t="s">
        <v>820</v>
      </c>
      <c r="I1503" s="239" t="str">
        <f>IF(ISBLANK(global!I16),"",global!I16)</f>
        <v/>
      </c>
      <c r="K1503" s="262" t="s">
        <v>4249</v>
      </c>
      <c r="N1503" s="262" t="s">
        <v>4249</v>
      </c>
    </row>
    <row r="1504" spans="1:14" ht="12.75" customHeight="1" x14ac:dyDescent="0.2">
      <c r="A1504" s="17"/>
      <c r="B1504" s="17"/>
      <c r="C1504" s="38" t="s">
        <v>2553</v>
      </c>
      <c r="D1504" s="17"/>
      <c r="E1504" s="17"/>
      <c r="F1504" s="17"/>
      <c r="G1504" s="146" t="s">
        <v>2554</v>
      </c>
      <c r="H1504" s="38" t="s">
        <v>1004</v>
      </c>
      <c r="I1504" s="239" t="str">
        <f>IF(ISBLANK(global!I17),"",global!I17)</f>
        <v/>
      </c>
      <c r="K1504" s="262" t="s">
        <v>4249</v>
      </c>
      <c r="N1504" s="262" t="s">
        <v>4249</v>
      </c>
    </row>
    <row r="1505" spans="1:14" ht="12.75" customHeight="1" x14ac:dyDescent="0.2">
      <c r="A1505" s="38"/>
      <c r="B1505" s="17"/>
      <c r="C1505" s="38" t="s">
        <v>2555</v>
      </c>
      <c r="D1505" s="146"/>
      <c r="E1505" s="146"/>
      <c r="F1505" s="17"/>
      <c r="G1505" s="146" t="s">
        <v>2556</v>
      </c>
      <c r="H1505" s="38" t="s">
        <v>820</v>
      </c>
      <c r="I1505" s="239" t="str">
        <f>IF(ISBLANK(global!I18),"",global!I18)</f>
        <v/>
      </c>
      <c r="K1505" s="262" t="s">
        <v>4249</v>
      </c>
      <c r="N1505" s="262" t="s">
        <v>4249</v>
      </c>
    </row>
    <row r="1506" spans="1:14" ht="12.75" customHeight="1" x14ac:dyDescent="0.2">
      <c r="A1506" s="567"/>
      <c r="B1506" s="567"/>
      <c r="C1506" s="567" t="s">
        <v>1015</v>
      </c>
      <c r="D1506" s="567"/>
      <c r="E1506" s="567"/>
      <c r="F1506" s="567"/>
      <c r="G1506" s="568" t="s">
        <v>2557</v>
      </c>
      <c r="H1506" s="568" t="s">
        <v>1017</v>
      </c>
      <c r="I1506" s="239" t="str">
        <f>IF(ISBLANK(global!I19),"",global!I19)</f>
        <v/>
      </c>
      <c r="K1506" s="262" t="s">
        <v>4249</v>
      </c>
      <c r="N1506" s="262" t="s">
        <v>4249</v>
      </c>
    </row>
    <row r="1507" spans="1:14" ht="12.75" customHeight="1" x14ac:dyDescent="0.2">
      <c r="A1507" s="17"/>
      <c r="B1507" s="17"/>
      <c r="C1507" s="17" t="s">
        <v>1019</v>
      </c>
      <c r="D1507" s="17"/>
      <c r="E1507" s="17"/>
      <c r="F1507" s="17"/>
      <c r="G1507" s="38" t="s">
        <v>2558</v>
      </c>
      <c r="H1507" s="38" t="s">
        <v>1017</v>
      </c>
      <c r="I1507" s="239" t="str">
        <f>IF(ISBLANK(global!I20),"",global!I20)</f>
        <v/>
      </c>
      <c r="K1507" s="262" t="s">
        <v>4249</v>
      </c>
      <c r="N1507" s="262" t="s">
        <v>4249</v>
      </c>
    </row>
    <row r="1508" spans="1:14" ht="12.75" customHeight="1" x14ac:dyDescent="0.2">
      <c r="A1508" s="17"/>
      <c r="B1508" s="17"/>
      <c r="C1508" s="17" t="s">
        <v>1022</v>
      </c>
      <c r="D1508" s="17"/>
      <c r="E1508" s="17"/>
      <c r="F1508" s="17"/>
      <c r="G1508" s="38" t="s">
        <v>2559</v>
      </c>
      <c r="H1508" s="38" t="s">
        <v>1017</v>
      </c>
      <c r="I1508" s="239" t="str">
        <f>IF(ISBLANK(global!I21),"",global!I21)</f>
        <v/>
      </c>
      <c r="K1508" s="262" t="s">
        <v>4249</v>
      </c>
      <c r="N1508" s="262" t="s">
        <v>4249</v>
      </c>
    </row>
    <row r="1509" spans="1:14" ht="12.75" customHeight="1" x14ac:dyDescent="0.2">
      <c r="A1509" s="38"/>
      <c r="B1509" s="17"/>
      <c r="C1509" s="38" t="s">
        <v>2560</v>
      </c>
      <c r="D1509" s="146"/>
      <c r="E1509" s="146"/>
      <c r="F1509" s="17"/>
      <c r="G1509" s="146" t="s">
        <v>2561</v>
      </c>
      <c r="H1509" s="38" t="s">
        <v>1017</v>
      </c>
      <c r="I1509" s="239" t="str">
        <f>IF(ISBLANK(global!I22),"",global!I22)</f>
        <v/>
      </c>
      <c r="K1509" s="262" t="s">
        <v>4249</v>
      </c>
      <c r="N1509" s="262" t="s">
        <v>4249</v>
      </c>
    </row>
    <row r="1510" spans="1:14" ht="12.75" customHeight="1" x14ac:dyDescent="0.2">
      <c r="A1510" s="17"/>
      <c r="B1510" s="17"/>
      <c r="C1510" s="38" t="s">
        <v>2562</v>
      </c>
      <c r="D1510" s="17"/>
      <c r="E1510" s="17"/>
      <c r="F1510" s="17"/>
      <c r="G1510" s="146" t="s">
        <v>2563</v>
      </c>
      <c r="H1510" s="38" t="s">
        <v>1017</v>
      </c>
      <c r="I1510" s="239" t="str">
        <f>IF(ISBLANK(global!I23),"",global!I23)</f>
        <v/>
      </c>
      <c r="K1510" s="262" t="s">
        <v>4249</v>
      </c>
      <c r="N1510" s="262" t="s">
        <v>4249</v>
      </c>
    </row>
    <row r="1511" spans="1:14" ht="12.75" customHeight="1" x14ac:dyDescent="0.2">
      <c r="A1511" s="17"/>
      <c r="B1511" s="17"/>
      <c r="C1511" s="38" t="s">
        <v>2564</v>
      </c>
      <c r="D1511" s="17"/>
      <c r="E1511" s="17"/>
      <c r="F1511" s="17"/>
      <c r="G1511" s="146" t="s">
        <v>2565</v>
      </c>
      <c r="H1511" s="38" t="s">
        <v>1017</v>
      </c>
      <c r="I1511" s="239" t="str">
        <f>IF(ISBLANK(global!I24),"",global!I24)</f>
        <v/>
      </c>
      <c r="K1511" s="262" t="s">
        <v>4249</v>
      </c>
      <c r="N1511" s="262" t="s">
        <v>4249</v>
      </c>
    </row>
    <row r="1512" spans="1:14" ht="12.75" customHeight="1" x14ac:dyDescent="0.2">
      <c r="A1512" s="38"/>
      <c r="B1512" s="17"/>
      <c r="C1512" s="38" t="s">
        <v>1042</v>
      </c>
      <c r="D1512" s="146"/>
      <c r="E1512" s="146"/>
      <c r="F1512" s="17"/>
      <c r="G1512" s="146" t="s">
        <v>2566</v>
      </c>
      <c r="H1512" s="38" t="s">
        <v>1017</v>
      </c>
      <c r="I1512" s="239" t="str">
        <f>IF(ISBLANK(global!I25),"",global!I25)</f>
        <v/>
      </c>
      <c r="K1512" s="262" t="s">
        <v>4249</v>
      </c>
      <c r="N1512" s="262" t="s">
        <v>4249</v>
      </c>
    </row>
    <row r="1513" spans="1:14" ht="12.75" customHeight="1" x14ac:dyDescent="0.2">
      <c r="A1513" s="38"/>
      <c r="B1513" s="17"/>
      <c r="C1513" s="38" t="s">
        <v>1044</v>
      </c>
      <c r="D1513" s="146"/>
      <c r="E1513" s="146"/>
      <c r="F1513" s="17"/>
      <c r="G1513" s="146" t="s">
        <v>2567</v>
      </c>
      <c r="H1513" s="38" t="s">
        <v>1017</v>
      </c>
      <c r="I1513" s="239" t="str">
        <f>IF(ISBLANK(global!I26),"",global!I26)</f>
        <v/>
      </c>
      <c r="K1513" s="262" t="s">
        <v>4249</v>
      </c>
      <c r="N1513" s="262" t="s">
        <v>4249</v>
      </c>
    </row>
    <row r="1514" spans="1:14" ht="12.75" customHeight="1" x14ac:dyDescent="0.2">
      <c r="A1514" s="17"/>
      <c r="B1514" s="17"/>
      <c r="C1514" s="17"/>
      <c r="D1514" s="17"/>
      <c r="E1514" s="17"/>
      <c r="F1514" s="17"/>
      <c r="G1514" s="17"/>
      <c r="H1514" s="17"/>
      <c r="I1514" s="239" t="str">
        <f>IF(ISBLANK(global!I27),"",global!I27)</f>
        <v/>
      </c>
      <c r="K1514" s="262" t="s">
        <v>4249</v>
      </c>
      <c r="N1514" s="262" t="s">
        <v>4249</v>
      </c>
    </row>
    <row r="1515" spans="1:14" ht="12.75" customHeight="1" x14ac:dyDescent="0.2">
      <c r="A1515" s="216" t="s">
        <v>2568</v>
      </c>
      <c r="B1515" s="228"/>
      <c r="C1515" s="228"/>
      <c r="D1515" s="228"/>
      <c r="E1515" s="228"/>
      <c r="F1515" s="228"/>
      <c r="G1515" s="216" t="s">
        <v>2569</v>
      </c>
      <c r="H1515" s="216" t="s">
        <v>624</v>
      </c>
      <c r="I1515" s="239" t="str">
        <f>IF(ISBLANK(global!I28),"",global!I28)</f>
        <v/>
      </c>
      <c r="K1515" s="262" t="s">
        <v>4249</v>
      </c>
      <c r="N1515" s="262" t="s">
        <v>4249</v>
      </c>
    </row>
    <row r="1516" spans="1:14" ht="12.75" customHeight="1" x14ac:dyDescent="0.2">
      <c r="A1516" s="216" t="s">
        <v>2570</v>
      </c>
      <c r="B1516" s="228"/>
      <c r="C1516" s="228"/>
      <c r="D1516" s="228"/>
      <c r="E1516" s="228"/>
      <c r="F1516" s="228"/>
      <c r="G1516" s="216" t="s">
        <v>2571</v>
      </c>
      <c r="H1516" s="216" t="s">
        <v>624</v>
      </c>
      <c r="I1516" s="239" t="str">
        <f>IF(ISBLANK(global!I29),"",global!I29)</f>
        <v/>
      </c>
      <c r="K1516" s="262" t="s">
        <v>4249</v>
      </c>
      <c r="N1516" s="262" t="s">
        <v>4249</v>
      </c>
    </row>
    <row r="1517" spans="1:14" ht="12.75" customHeight="1" x14ac:dyDescent="0.2">
      <c r="A1517" s="216" t="s">
        <v>2572</v>
      </c>
      <c r="B1517" s="228"/>
      <c r="C1517" s="228"/>
      <c r="D1517" s="228"/>
      <c r="E1517" s="228"/>
      <c r="F1517" s="228"/>
      <c r="G1517" s="216" t="s">
        <v>2573</v>
      </c>
      <c r="H1517" s="216" t="s">
        <v>624</v>
      </c>
      <c r="I1517" s="239" t="str">
        <f>IF(ISBLANK(global!I30),"",global!I30)</f>
        <v/>
      </c>
      <c r="K1517" s="262" t="s">
        <v>4249</v>
      </c>
      <c r="N1517" s="262" t="s">
        <v>4249</v>
      </c>
    </row>
    <row r="1518" spans="1:14" ht="12.75" customHeight="1" x14ac:dyDescent="0.2">
      <c r="A1518" s="17"/>
      <c r="B1518" s="17"/>
      <c r="C1518" s="17"/>
      <c r="D1518" s="146"/>
      <c r="E1518" s="17"/>
      <c r="F1518" s="17"/>
      <c r="G1518" s="38"/>
      <c r="H1518" s="17"/>
      <c r="I1518" s="239" t="str">
        <f>IF(ISBLANK(global!I31),"",global!I31)</f>
        <v/>
      </c>
      <c r="K1518" s="262" t="s">
        <v>4249</v>
      </c>
      <c r="N1518" s="262" t="s">
        <v>4249</v>
      </c>
    </row>
    <row r="1519" spans="1:14" ht="12.75" customHeight="1" x14ac:dyDescent="0.2">
      <c r="A1519" s="38" t="s">
        <v>2574</v>
      </c>
      <c r="B1519" s="17"/>
      <c r="C1519" s="17"/>
      <c r="D1519" s="17"/>
      <c r="E1519" s="17"/>
      <c r="F1519" s="17"/>
      <c r="G1519" s="38" t="s">
        <v>2575</v>
      </c>
      <c r="H1519" s="38" t="s">
        <v>624</v>
      </c>
      <c r="I1519" s="239" t="str">
        <f>IF(ISBLANK(global!I32),"",global!I32)</f>
        <v/>
      </c>
      <c r="K1519" s="262" t="s">
        <v>4249</v>
      </c>
      <c r="N1519" s="262" t="s">
        <v>4249</v>
      </c>
    </row>
    <row r="1520" spans="1:14" ht="12.75" customHeight="1" x14ac:dyDescent="0.2">
      <c r="A1520" s="38" t="s">
        <v>2576</v>
      </c>
      <c r="B1520" s="17"/>
      <c r="C1520" s="17"/>
      <c r="D1520" s="17"/>
      <c r="E1520" s="17"/>
      <c r="F1520" s="17"/>
      <c r="G1520" s="38" t="s">
        <v>2577</v>
      </c>
      <c r="H1520" s="38" t="s">
        <v>624</v>
      </c>
      <c r="I1520" s="239" t="str">
        <f>IF(ISBLANK(global!I33),"",global!I33)</f>
        <v/>
      </c>
      <c r="K1520" s="262" t="s">
        <v>4249</v>
      </c>
      <c r="N1520" s="262" t="s">
        <v>4249</v>
      </c>
    </row>
    <row r="1521" spans="1:14" ht="12.75" customHeight="1" x14ac:dyDescent="0.2">
      <c r="A1521" s="38" t="s">
        <v>2578</v>
      </c>
      <c r="B1521" s="17"/>
      <c r="C1521" s="17"/>
      <c r="D1521" s="17"/>
      <c r="E1521" s="17"/>
      <c r="F1521" s="17"/>
      <c r="G1521" s="38" t="s">
        <v>2579</v>
      </c>
      <c r="H1521" s="38" t="s">
        <v>624</v>
      </c>
      <c r="I1521" s="239" t="str">
        <f>IF(ISBLANK(global!I34),"",global!I34)</f>
        <v/>
      </c>
      <c r="K1521" s="262" t="s">
        <v>4249</v>
      </c>
      <c r="N1521" s="262" t="s">
        <v>4249</v>
      </c>
    </row>
    <row r="1522" spans="1:14" ht="12.75" customHeight="1" x14ac:dyDescent="0.2">
      <c r="A1522" s="38" t="s">
        <v>2580</v>
      </c>
      <c r="B1522" s="17"/>
      <c r="C1522" s="17"/>
      <c r="D1522" s="17"/>
      <c r="E1522" s="17"/>
      <c r="F1522" s="17"/>
      <c r="G1522" s="38" t="s">
        <v>2581</v>
      </c>
      <c r="H1522" s="38" t="s">
        <v>624</v>
      </c>
      <c r="I1522" s="239" t="str">
        <f>IF(ISBLANK(global!I35),"",global!I35)</f>
        <v/>
      </c>
      <c r="K1522" s="262" t="s">
        <v>4249</v>
      </c>
      <c r="N1522" s="262" t="s">
        <v>4249</v>
      </c>
    </row>
    <row r="1523" spans="1:14" ht="12.75" customHeight="1" x14ac:dyDescent="0.2">
      <c r="A1523" s="38" t="s">
        <v>2582</v>
      </c>
      <c r="B1523" s="17"/>
      <c r="C1523" s="17"/>
      <c r="D1523" s="17"/>
      <c r="E1523" s="17"/>
      <c r="F1523" s="17"/>
      <c r="G1523" s="38" t="s">
        <v>2583</v>
      </c>
      <c r="H1523" s="38" t="s">
        <v>624</v>
      </c>
      <c r="I1523" s="239" t="str">
        <f>IF(ISBLANK(global!I36),"",global!I36)</f>
        <v/>
      </c>
      <c r="K1523" s="262" t="s">
        <v>4249</v>
      </c>
      <c r="N1523" s="262" t="s">
        <v>4249</v>
      </c>
    </row>
    <row r="1524" spans="1:14" ht="12.75" customHeight="1" x14ac:dyDescent="0.2">
      <c r="A1524" s="38"/>
      <c r="B1524" s="38" t="s">
        <v>2584</v>
      </c>
      <c r="C1524" s="17"/>
      <c r="D1524" s="17"/>
      <c r="E1524" s="17"/>
      <c r="F1524" s="17"/>
      <c r="G1524" s="146" t="s">
        <v>2585</v>
      </c>
      <c r="H1524" s="17" t="s">
        <v>1065</v>
      </c>
      <c r="I1524" s="239" t="str">
        <f>IF(ISBLANK(global!I37),"",global!I37)</f>
        <v/>
      </c>
      <c r="K1524" s="262" t="s">
        <v>4249</v>
      </c>
      <c r="N1524" s="262" t="s">
        <v>4249</v>
      </c>
    </row>
    <row r="1525" spans="1:14" ht="12.75" customHeight="1" x14ac:dyDescent="0.2">
      <c r="A1525" s="38"/>
      <c r="B1525" s="38" t="s">
        <v>2586</v>
      </c>
      <c r="C1525" s="17"/>
      <c r="D1525" s="17"/>
      <c r="E1525" s="17"/>
      <c r="F1525" s="17"/>
      <c r="G1525" s="146" t="s">
        <v>2587</v>
      </c>
      <c r="H1525" s="17" t="s">
        <v>1065</v>
      </c>
      <c r="I1525" s="239" t="str">
        <f>IF(ISBLANK(global!I38),"",global!I38)</f>
        <v/>
      </c>
      <c r="K1525" s="262" t="s">
        <v>4249</v>
      </c>
      <c r="N1525" s="262" t="s">
        <v>4249</v>
      </c>
    </row>
    <row r="1526" spans="1:14" ht="12.75" customHeight="1" x14ac:dyDescent="0.2">
      <c r="A1526" s="38"/>
      <c r="B1526" s="38" t="s">
        <v>2588</v>
      </c>
      <c r="C1526" s="17"/>
      <c r="D1526" s="17"/>
      <c r="E1526" s="17"/>
      <c r="F1526" s="17"/>
      <c r="G1526" s="146" t="s">
        <v>2589</v>
      </c>
      <c r="H1526" s="17" t="s">
        <v>1065</v>
      </c>
      <c r="I1526" s="239" t="str">
        <f>IF(ISBLANK(global!I39),"",global!I39)</f>
        <v/>
      </c>
      <c r="K1526" s="262" t="s">
        <v>4249</v>
      </c>
      <c r="N1526" s="262" t="s">
        <v>4249</v>
      </c>
    </row>
    <row r="1527" spans="1:14" ht="12.75" customHeight="1" x14ac:dyDescent="0.2">
      <c r="A1527" s="38"/>
      <c r="B1527" s="38"/>
      <c r="C1527" s="17" t="s">
        <v>2590</v>
      </c>
      <c r="D1527" s="17"/>
      <c r="E1527" s="17"/>
      <c r="F1527" s="17"/>
      <c r="G1527" s="38" t="s">
        <v>2591</v>
      </c>
      <c r="H1527" s="17" t="s">
        <v>1065</v>
      </c>
      <c r="I1527" s="239" t="str">
        <f>IF(ISBLANK(global!I40),"",global!I40)</f>
        <v/>
      </c>
      <c r="K1527" s="262" t="s">
        <v>4249</v>
      </c>
      <c r="N1527" s="262" t="s">
        <v>4249</v>
      </c>
    </row>
    <row r="1528" spans="1:14" ht="12.75" customHeight="1" x14ac:dyDescent="0.2">
      <c r="A1528" s="38" t="s">
        <v>2592</v>
      </c>
      <c r="B1528" s="17"/>
      <c r="C1528" s="17"/>
      <c r="D1528" s="17"/>
      <c r="E1528" s="17"/>
      <c r="F1528" s="17"/>
      <c r="G1528" s="38" t="s">
        <v>2593</v>
      </c>
      <c r="H1528" s="38" t="s">
        <v>624</v>
      </c>
      <c r="I1528" s="239" t="str">
        <f>IF(ISBLANK(global!I41),"",global!I41)</f>
        <v/>
      </c>
      <c r="K1528" s="262" t="s">
        <v>4249</v>
      </c>
      <c r="N1528" s="262" t="s">
        <v>4249</v>
      </c>
    </row>
    <row r="1529" spans="1:14" ht="12.75" customHeight="1" x14ac:dyDescent="0.2">
      <c r="A1529" s="38" t="s">
        <v>2594</v>
      </c>
      <c r="B1529" s="17"/>
      <c r="C1529" s="17"/>
      <c r="D1529" s="17"/>
      <c r="E1529" s="17"/>
      <c r="F1529" s="17"/>
      <c r="G1529" s="38" t="s">
        <v>2595</v>
      </c>
      <c r="H1529" s="38" t="s">
        <v>624</v>
      </c>
      <c r="I1529" s="239" t="str">
        <f>IF(ISBLANK(global!I42),"",global!I42)</f>
        <v/>
      </c>
      <c r="K1529" s="262" t="s">
        <v>4249</v>
      </c>
      <c r="N1529" s="262" t="s">
        <v>4249</v>
      </c>
    </row>
    <row r="1530" spans="1:14" ht="12.75" customHeight="1" x14ac:dyDescent="0.2">
      <c r="A1530" s="38"/>
      <c r="B1530" s="17" t="s">
        <v>2596</v>
      </c>
      <c r="C1530" s="17"/>
      <c r="D1530" s="17"/>
      <c r="E1530" s="17"/>
      <c r="F1530" s="17"/>
      <c r="G1530" s="38" t="s">
        <v>2597</v>
      </c>
      <c r="H1530" s="17" t="s">
        <v>1065</v>
      </c>
      <c r="I1530" s="239" t="str">
        <f>IF(ISBLANK(global!I43),"",global!I43)</f>
        <v/>
      </c>
      <c r="K1530" s="262" t="s">
        <v>4249</v>
      </c>
      <c r="N1530" s="262" t="s">
        <v>4249</v>
      </c>
    </row>
    <row r="1531" spans="1:14" ht="12.75" customHeight="1" x14ac:dyDescent="0.2">
      <c r="A1531" s="38"/>
      <c r="B1531" s="38"/>
      <c r="C1531" s="17" t="s">
        <v>2598</v>
      </c>
      <c r="D1531" s="17"/>
      <c r="E1531" s="17"/>
      <c r="F1531" s="17"/>
      <c r="G1531" s="38" t="s">
        <v>2599</v>
      </c>
      <c r="H1531" s="17" t="s">
        <v>1051</v>
      </c>
      <c r="I1531" s="239" t="str">
        <f>IF(ISBLANK(global!I44),"",global!I44)</f>
        <v/>
      </c>
      <c r="K1531" s="262" t="s">
        <v>4249</v>
      </c>
      <c r="N1531" s="262" t="s">
        <v>4249</v>
      </c>
    </row>
    <row r="1532" spans="1:14" ht="12.75" customHeight="1" x14ac:dyDescent="0.2">
      <c r="A1532" s="17"/>
      <c r="B1532" s="17"/>
      <c r="C1532" s="17"/>
      <c r="D1532" s="17"/>
      <c r="E1532" s="17"/>
      <c r="F1532" s="17"/>
      <c r="G1532" s="17"/>
      <c r="H1532" s="38"/>
      <c r="I1532" s="239" t="str">
        <f>IF(ISBLANK(global!I45),"",global!I45)</f>
        <v/>
      </c>
      <c r="K1532" s="262" t="s">
        <v>4249</v>
      </c>
      <c r="N1532" s="262" t="s">
        <v>4249</v>
      </c>
    </row>
    <row r="1533" spans="1:14" ht="12.75" customHeight="1" x14ac:dyDescent="0.2">
      <c r="A1533" s="148" t="s">
        <v>2017</v>
      </c>
      <c r="B1533" s="147"/>
      <c r="C1533" s="147"/>
      <c r="D1533" s="147"/>
      <c r="E1533" s="147"/>
      <c r="F1533" s="147"/>
      <c r="G1533" s="148" t="s">
        <v>263</v>
      </c>
      <c r="H1533" s="148" t="s">
        <v>279</v>
      </c>
      <c r="I1533" s="239" t="str">
        <f>IF(ISBLANK(global!I46),"",global!I46)</f>
        <v>User input</v>
      </c>
      <c r="K1533" s="262" t="s">
        <v>264</v>
      </c>
      <c r="N1533" s="262" t="s">
        <v>264</v>
      </c>
    </row>
    <row r="1534" spans="1:14" ht="12.75" customHeight="1" x14ac:dyDescent="0.2">
      <c r="A1534" s="17"/>
      <c r="B1534" s="17"/>
      <c r="C1534" s="17"/>
      <c r="D1534" s="17"/>
      <c r="E1534" s="17"/>
      <c r="F1534" s="17"/>
      <c r="G1534" s="17"/>
      <c r="H1534" s="38"/>
      <c r="I1534" s="239" t="str">
        <f>IF(ISBLANK(global!I47),"",global!I47)</f>
        <v/>
      </c>
      <c r="K1534" s="262" t="s">
        <v>4249</v>
      </c>
      <c r="N1534" s="262" t="s">
        <v>4249</v>
      </c>
    </row>
    <row r="1535" spans="1:14" ht="12.75" customHeight="1" x14ac:dyDescent="0.2">
      <c r="A1535" s="17"/>
      <c r="B1535" s="38" t="s">
        <v>2600</v>
      </c>
      <c r="C1535" s="38"/>
      <c r="D1535" s="38"/>
      <c r="E1535" s="38"/>
      <c r="F1535" s="38"/>
      <c r="G1535" s="38" t="s">
        <v>2601</v>
      </c>
      <c r="H1535" s="38" t="s">
        <v>296</v>
      </c>
      <c r="I1535" s="239" t="str">
        <f>IF(ISBLANK(global!I48),"",global!I48)</f>
        <v/>
      </c>
      <c r="K1535" s="262" t="s">
        <v>4249</v>
      </c>
      <c r="N1535" s="262" t="s">
        <v>4249</v>
      </c>
    </row>
    <row r="1536" spans="1:14" ht="12.75" customHeight="1" x14ac:dyDescent="0.2">
      <c r="A1536" s="17"/>
      <c r="B1536" s="17" t="s">
        <v>2020</v>
      </c>
      <c r="C1536" s="17"/>
      <c r="D1536" s="17"/>
      <c r="E1536" s="17"/>
      <c r="F1536" s="17"/>
      <c r="G1536" s="17" t="s">
        <v>2602</v>
      </c>
      <c r="H1536" s="17" t="s">
        <v>296</v>
      </c>
      <c r="I1536" s="239" t="str">
        <f>IF(ISBLANK(global!I49),"",global!I49)</f>
        <v/>
      </c>
      <c r="K1536" s="262" t="s">
        <v>4249</v>
      </c>
      <c r="N1536" s="262" t="s">
        <v>4249</v>
      </c>
    </row>
    <row r="1537" spans="1:14" ht="12.75" customHeight="1" x14ac:dyDescent="0.2">
      <c r="A1537" s="17"/>
      <c r="B1537" s="17" t="s">
        <v>2022</v>
      </c>
      <c r="C1537" s="17"/>
      <c r="D1537" s="17"/>
      <c r="E1537" s="17"/>
      <c r="F1537" s="17"/>
      <c r="G1537" s="17" t="s">
        <v>2603</v>
      </c>
      <c r="H1537" s="17" t="s">
        <v>296</v>
      </c>
      <c r="I1537" s="239" t="str">
        <f>IF(ISBLANK(global!I50),"",global!I50)</f>
        <v/>
      </c>
      <c r="K1537" s="262" t="s">
        <v>4249</v>
      </c>
      <c r="N1537" s="262" t="s">
        <v>4249</v>
      </c>
    </row>
    <row r="1538" spans="1:14" ht="12.75" customHeight="1" x14ac:dyDescent="0.2">
      <c r="A1538" s="17"/>
      <c r="B1538" s="38" t="s">
        <v>2024</v>
      </c>
      <c r="C1538" s="38"/>
      <c r="D1538" s="38"/>
      <c r="E1538" s="38"/>
      <c r="F1538" s="38"/>
      <c r="G1538" s="38" t="s">
        <v>2604</v>
      </c>
      <c r="H1538" s="38" t="s">
        <v>296</v>
      </c>
      <c r="I1538" s="239" t="str">
        <f>IF(ISBLANK(global!I51),"",global!I51)</f>
        <v/>
      </c>
      <c r="K1538" s="262" t="s">
        <v>4249</v>
      </c>
      <c r="N1538" s="262" t="s">
        <v>4249</v>
      </c>
    </row>
    <row r="1539" spans="1:14" ht="12.75" customHeight="1" x14ac:dyDescent="0.2">
      <c r="A1539" s="38"/>
      <c r="B1539" s="38"/>
      <c r="C1539" s="38" t="s">
        <v>2605</v>
      </c>
      <c r="D1539" s="38"/>
      <c r="E1539" s="38"/>
      <c r="F1539" s="38"/>
      <c r="G1539" s="38" t="s">
        <v>2606</v>
      </c>
      <c r="H1539" s="38" t="s">
        <v>592</v>
      </c>
      <c r="I1539" s="239" t="str">
        <f>IF(ISBLANK(global!I52),"",global!I52)</f>
        <v/>
      </c>
      <c r="K1539" s="262" t="s">
        <v>4249</v>
      </c>
      <c r="N1539" s="262" t="s">
        <v>4249</v>
      </c>
    </row>
    <row r="1540" spans="1:14" ht="12.75" customHeight="1" x14ac:dyDescent="0.25">
      <c r="A1540" s="17"/>
      <c r="B1540" s="17"/>
      <c r="C1540" s="17" t="s">
        <v>2026</v>
      </c>
      <c r="D1540" s="17"/>
      <c r="E1540" s="17"/>
      <c r="F1540" s="17"/>
      <c r="G1540" s="17" t="s">
        <v>2607</v>
      </c>
      <c r="H1540" s="17" t="s">
        <v>1088</v>
      </c>
      <c r="I1540" s="239" t="str">
        <f>IF(ISBLANK(global!I53),"",global!I53)</f>
        <v/>
      </c>
      <c r="K1540" s="262" t="s">
        <v>4249</v>
      </c>
      <c r="N1540" s="262" t="s">
        <v>4249</v>
      </c>
    </row>
    <row r="1541" spans="1:14" ht="12.75" customHeight="1" x14ac:dyDescent="0.25">
      <c r="A1541" s="17"/>
      <c r="B1541" s="17"/>
      <c r="C1541" s="17" t="s">
        <v>2028</v>
      </c>
      <c r="D1541" s="17"/>
      <c r="E1541" s="17"/>
      <c r="F1541" s="17"/>
      <c r="G1541" s="17" t="s">
        <v>2609</v>
      </c>
      <c r="H1541" s="17" t="s">
        <v>1091</v>
      </c>
      <c r="I1541" s="239" t="str">
        <f>IF(ISBLANK(global!I54),"",global!I54)</f>
        <v/>
      </c>
      <c r="K1541" s="262" t="s">
        <v>4249</v>
      </c>
      <c r="N1541" s="262" t="s">
        <v>4249</v>
      </c>
    </row>
    <row r="1542" spans="1:14" ht="12.75" customHeight="1" x14ac:dyDescent="0.2">
      <c r="A1542" s="38"/>
      <c r="B1542" s="38" t="s">
        <v>2611</v>
      </c>
      <c r="C1542" s="146"/>
      <c r="D1542" s="17"/>
      <c r="E1542" s="17"/>
      <c r="F1542" s="17"/>
      <c r="G1542" s="38" t="s">
        <v>2612</v>
      </c>
      <c r="H1542" s="38" t="s">
        <v>296</v>
      </c>
      <c r="I1542" s="239" t="str">
        <f>IF(ISBLANK(global!I55),"",global!I55)</f>
        <v/>
      </c>
      <c r="K1542" s="262" t="s">
        <v>4249</v>
      </c>
      <c r="N1542" s="262" t="s">
        <v>4249</v>
      </c>
    </row>
    <row r="1543" spans="1:14" ht="12.75" customHeight="1" x14ac:dyDescent="0.2">
      <c r="A1543" s="38"/>
      <c r="B1543" s="38" t="s">
        <v>2613</v>
      </c>
      <c r="C1543" s="146"/>
      <c r="D1543" s="17"/>
      <c r="E1543" s="17"/>
      <c r="F1543" s="17"/>
      <c r="G1543" s="38" t="s">
        <v>2614</v>
      </c>
      <c r="H1543" s="38" t="s">
        <v>296</v>
      </c>
      <c r="I1543" s="239" t="str">
        <f>IF(ISBLANK(global!I56),"",global!I56)</f>
        <v/>
      </c>
      <c r="K1543" s="262" t="s">
        <v>4249</v>
      </c>
      <c r="N1543" s="262" t="s">
        <v>4249</v>
      </c>
    </row>
    <row r="1544" spans="1:14" ht="12.75" customHeight="1" x14ac:dyDescent="0.2">
      <c r="A1544" s="38"/>
      <c r="B1544" s="17"/>
      <c r="C1544" s="38" t="s">
        <v>2615</v>
      </c>
      <c r="D1544" s="17"/>
      <c r="E1544" s="17"/>
      <c r="F1544" s="17"/>
      <c r="G1544" s="146" t="s">
        <v>2616</v>
      </c>
      <c r="H1544" s="38" t="s">
        <v>1097</v>
      </c>
      <c r="I1544" s="239" t="str">
        <f>IF(ISBLANK(global!I57),"",global!I57)</f>
        <v/>
      </c>
      <c r="K1544" s="262" t="s">
        <v>4249</v>
      </c>
      <c r="N1544" s="262" t="s">
        <v>4249</v>
      </c>
    </row>
    <row r="1545" spans="1:14" ht="12.75" customHeight="1" x14ac:dyDescent="0.2">
      <c r="A1545" s="38"/>
      <c r="B1545" s="17"/>
      <c r="C1545" s="38" t="s">
        <v>2617</v>
      </c>
      <c r="D1545" s="17"/>
      <c r="E1545" s="17"/>
      <c r="F1545" s="17"/>
      <c r="G1545" s="146" t="s">
        <v>2618</v>
      </c>
      <c r="H1545" s="38" t="s">
        <v>1098</v>
      </c>
      <c r="I1545" s="239" t="str">
        <f>IF(ISBLANK(global!I58),"",global!I58)</f>
        <v/>
      </c>
      <c r="K1545" s="262" t="s">
        <v>4249</v>
      </c>
      <c r="N1545" s="262" t="s">
        <v>4249</v>
      </c>
    </row>
    <row r="1546" spans="1:14" ht="12.75" customHeight="1" x14ac:dyDescent="0.2">
      <c r="A1546" s="38"/>
      <c r="B1546" s="17"/>
      <c r="C1546" s="38" t="s">
        <v>2619</v>
      </c>
      <c r="D1546" s="17"/>
      <c r="E1546" s="17"/>
      <c r="F1546" s="17"/>
      <c r="G1546" s="146" t="s">
        <v>2620</v>
      </c>
      <c r="H1546" s="38" t="s">
        <v>296</v>
      </c>
      <c r="I1546" s="239" t="str">
        <f>IF(ISBLANK(global!I59),"",global!I59)</f>
        <v/>
      </c>
      <c r="K1546" s="262" t="s">
        <v>4249</v>
      </c>
      <c r="N1546" s="262" t="s">
        <v>4249</v>
      </c>
    </row>
    <row r="1547" spans="1:14" ht="12.75" customHeight="1" x14ac:dyDescent="0.2">
      <c r="A1547" s="38"/>
      <c r="B1547" s="17"/>
      <c r="C1547" s="38" t="s">
        <v>2621</v>
      </c>
      <c r="D1547" s="17"/>
      <c r="E1547" s="17"/>
      <c r="F1547" s="17"/>
      <c r="G1547" s="146" t="s">
        <v>2622</v>
      </c>
      <c r="H1547" s="38" t="s">
        <v>296</v>
      </c>
      <c r="I1547" s="239" t="str">
        <f>IF(ISBLANK(global!I60),"",global!I60)</f>
        <v/>
      </c>
      <c r="K1547" s="262" t="s">
        <v>4249</v>
      </c>
      <c r="N1547" s="262" t="s">
        <v>4249</v>
      </c>
    </row>
    <row r="1548" spans="1:14" ht="12.75" customHeight="1" x14ac:dyDescent="0.2">
      <c r="A1548" s="38"/>
      <c r="B1548" s="17"/>
      <c r="C1548" s="38" t="s">
        <v>2623</v>
      </c>
      <c r="D1548" s="17"/>
      <c r="E1548" s="17"/>
      <c r="F1548" s="17"/>
      <c r="G1548" s="146" t="s">
        <v>2624</v>
      </c>
      <c r="H1548" s="38" t="s">
        <v>586</v>
      </c>
      <c r="I1548" s="239" t="str">
        <f>IF(ISBLANK(global!I61),"",global!I61)</f>
        <v/>
      </c>
      <c r="K1548" s="262" t="s">
        <v>4249</v>
      </c>
      <c r="N1548" s="262" t="s">
        <v>4249</v>
      </c>
    </row>
    <row r="1549" spans="1:14" ht="12.75" customHeight="1" x14ac:dyDescent="0.2">
      <c r="A1549" s="38"/>
      <c r="B1549" s="17"/>
      <c r="C1549" s="38" t="s">
        <v>2625</v>
      </c>
      <c r="D1549" s="17"/>
      <c r="E1549" s="17"/>
      <c r="F1549" s="17"/>
      <c r="G1549" s="146" t="s">
        <v>2626</v>
      </c>
      <c r="H1549" s="38" t="s">
        <v>586</v>
      </c>
      <c r="I1549" s="239" t="str">
        <f>IF(ISBLANK(global!I62),"",global!I62)</f>
        <v/>
      </c>
      <c r="K1549" s="262" t="s">
        <v>4249</v>
      </c>
      <c r="N1549" s="262" t="s">
        <v>4249</v>
      </c>
    </row>
    <row r="1550" spans="1:14" ht="12.75" customHeight="1" x14ac:dyDescent="0.2">
      <c r="A1550" s="38"/>
      <c r="B1550" s="17"/>
      <c r="C1550" s="38" t="s">
        <v>2627</v>
      </c>
      <c r="D1550" s="17"/>
      <c r="E1550" s="17"/>
      <c r="F1550" s="17"/>
      <c r="G1550" s="146" t="s">
        <v>2628</v>
      </c>
      <c r="H1550" s="38" t="s">
        <v>1103</v>
      </c>
      <c r="I1550" s="239" t="str">
        <f>IF(ISBLANK(global!I63),"",global!I63)</f>
        <v/>
      </c>
      <c r="K1550" s="262" t="s">
        <v>4249</v>
      </c>
      <c r="N1550" s="262" t="s">
        <v>4249</v>
      </c>
    </row>
    <row r="1551" spans="1:14" ht="12.75" customHeight="1" x14ac:dyDescent="0.2">
      <c r="A1551" s="38"/>
      <c r="B1551" s="17"/>
      <c r="C1551" s="38" t="s">
        <v>2629</v>
      </c>
      <c r="D1551" s="17"/>
      <c r="E1551" s="17"/>
      <c r="F1551" s="17"/>
      <c r="G1551" s="146" t="s">
        <v>2630</v>
      </c>
      <c r="H1551" s="38" t="s">
        <v>1103</v>
      </c>
      <c r="I1551" s="239" t="str">
        <f>IF(ISBLANK(global!I64),"",global!I64)</f>
        <v/>
      </c>
      <c r="K1551" s="262" t="s">
        <v>4249</v>
      </c>
      <c r="N1551" s="262" t="s">
        <v>4249</v>
      </c>
    </row>
    <row r="1552" spans="1:14" ht="12.75" customHeight="1" x14ac:dyDescent="0.2">
      <c r="A1552" s="38"/>
      <c r="B1552" s="17"/>
      <c r="C1552" s="38" t="s">
        <v>2631</v>
      </c>
      <c r="D1552" s="17"/>
      <c r="E1552" s="17"/>
      <c r="F1552" s="17"/>
      <c r="G1552" s="146" t="s">
        <v>2632</v>
      </c>
      <c r="H1552" s="38" t="s">
        <v>723</v>
      </c>
      <c r="I1552" s="239" t="str">
        <f>IF(ISBLANK(global!I65),"",global!I65)</f>
        <v/>
      </c>
      <c r="K1552" s="262" t="s">
        <v>4249</v>
      </c>
      <c r="N1552" s="262" t="s">
        <v>4249</v>
      </c>
    </row>
    <row r="1553" spans="1:14" ht="12.75" customHeight="1" x14ac:dyDescent="0.2">
      <c r="A1553" s="38"/>
      <c r="B1553" s="17"/>
      <c r="C1553" s="38" t="s">
        <v>2633</v>
      </c>
      <c r="D1553" s="17"/>
      <c r="E1553" s="17"/>
      <c r="F1553" s="17"/>
      <c r="G1553" s="146" t="s">
        <v>2634</v>
      </c>
      <c r="H1553" s="38" t="s">
        <v>723</v>
      </c>
      <c r="I1553" s="239" t="str">
        <f>IF(ISBLANK(global!I66),"",global!I66)</f>
        <v/>
      </c>
      <c r="K1553" s="262" t="s">
        <v>4249</v>
      </c>
      <c r="N1553" s="262" t="s">
        <v>4249</v>
      </c>
    </row>
    <row r="1554" spans="1:14" ht="12.75" customHeight="1" x14ac:dyDescent="0.2">
      <c r="A1554" s="38"/>
      <c r="B1554" s="38" t="s">
        <v>2635</v>
      </c>
      <c r="C1554" s="146"/>
      <c r="D1554" s="17"/>
      <c r="E1554" s="17"/>
      <c r="F1554" s="17"/>
      <c r="G1554" s="146" t="s">
        <v>2636</v>
      </c>
      <c r="H1554" s="38" t="s">
        <v>296</v>
      </c>
      <c r="I1554" s="239" t="str">
        <f>IF(ISBLANK(global!I67),"",global!I67)</f>
        <v/>
      </c>
      <c r="K1554" s="262" t="s">
        <v>4249</v>
      </c>
      <c r="N1554" s="262" t="s">
        <v>4249</v>
      </c>
    </row>
    <row r="1555" spans="1:14" ht="12.75" customHeight="1" x14ac:dyDescent="0.2">
      <c r="A1555" s="38"/>
      <c r="B1555" s="17"/>
      <c r="C1555" s="38" t="s">
        <v>2637</v>
      </c>
      <c r="D1555" s="17"/>
      <c r="E1555" s="17"/>
      <c r="F1555" s="17"/>
      <c r="G1555" s="146" t="s">
        <v>2638</v>
      </c>
      <c r="H1555" s="38" t="s">
        <v>1097</v>
      </c>
      <c r="I1555" s="239" t="str">
        <f>IF(ISBLANK(global!I68),"",global!I68)</f>
        <v/>
      </c>
      <c r="K1555" s="262" t="s">
        <v>4249</v>
      </c>
      <c r="N1555" s="262" t="s">
        <v>4249</v>
      </c>
    </row>
    <row r="1556" spans="1:14" ht="12.75" customHeight="1" x14ac:dyDescent="0.2">
      <c r="A1556" s="38"/>
      <c r="B1556" s="17"/>
      <c r="C1556" s="38" t="s">
        <v>2639</v>
      </c>
      <c r="D1556" s="17"/>
      <c r="E1556" s="17"/>
      <c r="F1556" s="17"/>
      <c r="G1556" s="146" t="s">
        <v>2640</v>
      </c>
      <c r="H1556" s="38" t="s">
        <v>296</v>
      </c>
      <c r="I1556" s="239" t="str">
        <f>IF(ISBLANK(global!I69),"",global!I69)</f>
        <v/>
      </c>
      <c r="K1556" s="262" t="s">
        <v>4249</v>
      </c>
      <c r="N1556" s="262" t="s">
        <v>4249</v>
      </c>
    </row>
    <row r="1557" spans="1:14" ht="12.75" customHeight="1" x14ac:dyDescent="0.2">
      <c r="A1557" s="38"/>
      <c r="B1557" s="38" t="s">
        <v>2641</v>
      </c>
      <c r="C1557" s="146"/>
      <c r="D1557" s="17"/>
      <c r="E1557" s="17"/>
      <c r="F1557" s="17"/>
      <c r="G1557" s="146" t="s">
        <v>2642</v>
      </c>
      <c r="H1557" s="38" t="s">
        <v>296</v>
      </c>
      <c r="I1557" s="239" t="str">
        <f>IF(ISBLANK(global!I70),"",global!I70)</f>
        <v/>
      </c>
      <c r="K1557" s="262" t="s">
        <v>4249</v>
      </c>
      <c r="N1557" s="262" t="s">
        <v>4249</v>
      </c>
    </row>
    <row r="1558" spans="1:14" ht="12.75" customHeight="1" x14ac:dyDescent="0.2">
      <c r="A1558" s="38"/>
      <c r="B1558" s="38" t="s">
        <v>2643</v>
      </c>
      <c r="C1558" s="146"/>
      <c r="D1558" s="17"/>
      <c r="E1558" s="17"/>
      <c r="F1558" s="17"/>
      <c r="G1558" s="146" t="s">
        <v>2644</v>
      </c>
      <c r="H1558" s="38" t="s">
        <v>296</v>
      </c>
      <c r="I1558" s="239" t="str">
        <f>IF(ISBLANK(global!I71),"",global!I71)</f>
        <v/>
      </c>
      <c r="K1558" s="262" t="s">
        <v>4249</v>
      </c>
      <c r="N1558" s="262" t="s">
        <v>4249</v>
      </c>
    </row>
    <row r="1559" spans="1:14" ht="12.75" customHeight="1" x14ac:dyDescent="0.2">
      <c r="A1559" s="38"/>
      <c r="B1559" s="38" t="s">
        <v>2645</v>
      </c>
      <c r="C1559" s="146"/>
      <c r="D1559" s="17"/>
      <c r="E1559" s="17"/>
      <c r="F1559" s="17"/>
      <c r="G1559" s="146" t="s">
        <v>2646</v>
      </c>
      <c r="H1559" s="38" t="s">
        <v>296</v>
      </c>
      <c r="I1559" s="239" t="str">
        <f>IF(ISBLANK(global!I72),"",global!I72)</f>
        <v/>
      </c>
      <c r="K1559" s="262" t="s">
        <v>4249</v>
      </c>
      <c r="N1559" s="262" t="s">
        <v>4249</v>
      </c>
    </row>
    <row r="1560" spans="1:14" ht="12.75" customHeight="1" x14ac:dyDescent="0.2">
      <c r="A1560" s="38"/>
      <c r="B1560" s="17"/>
      <c r="C1560" s="38" t="s">
        <v>2647</v>
      </c>
      <c r="D1560" s="17"/>
      <c r="E1560" s="17"/>
      <c r="F1560" s="17"/>
      <c r="G1560" s="146" t="s">
        <v>2648</v>
      </c>
      <c r="H1560" s="38" t="s">
        <v>1097</v>
      </c>
      <c r="I1560" s="239" t="str">
        <f>IF(ISBLANK(global!I73),"",global!I73)</f>
        <v/>
      </c>
      <c r="K1560" s="262" t="s">
        <v>4249</v>
      </c>
      <c r="N1560" s="262" t="s">
        <v>4249</v>
      </c>
    </row>
    <row r="1561" spans="1:14" ht="12.75" customHeight="1" x14ac:dyDescent="0.2">
      <c r="A1561" s="38"/>
      <c r="B1561" s="17"/>
      <c r="C1561" s="38" t="s">
        <v>2649</v>
      </c>
      <c r="D1561" s="17"/>
      <c r="E1561" s="17"/>
      <c r="F1561" s="17"/>
      <c r="G1561" s="146" t="s">
        <v>2650</v>
      </c>
      <c r="H1561" s="38" t="s">
        <v>296</v>
      </c>
      <c r="I1561" s="239" t="str">
        <f>IF(ISBLANK(global!I74),"",global!I74)</f>
        <v/>
      </c>
      <c r="K1561" s="262" t="s">
        <v>4249</v>
      </c>
      <c r="N1561" s="262" t="s">
        <v>4249</v>
      </c>
    </row>
    <row r="1562" spans="1:14" ht="12.75" customHeight="1" x14ac:dyDescent="0.2">
      <c r="A1562" s="17"/>
      <c r="B1562" s="17"/>
      <c r="C1562" s="17"/>
      <c r="D1562" s="17"/>
      <c r="E1562" s="17"/>
      <c r="F1562" s="17"/>
      <c r="G1562" s="17"/>
      <c r="H1562" s="38"/>
      <c r="I1562" s="239" t="str">
        <f>IF(ISBLANK(global!I75),"",global!I75)</f>
        <v/>
      </c>
      <c r="K1562" s="262" t="s">
        <v>4249</v>
      </c>
      <c r="N1562" s="262" t="s">
        <v>4249</v>
      </c>
    </row>
    <row r="1563" spans="1:14" ht="12.75" customHeight="1" x14ac:dyDescent="0.2">
      <c r="A1563" s="148" t="s">
        <v>1162</v>
      </c>
      <c r="B1563" s="147"/>
      <c r="C1563" s="147"/>
      <c r="D1563" s="147"/>
      <c r="E1563" s="147"/>
      <c r="F1563" s="147"/>
      <c r="G1563" s="148" t="s">
        <v>263</v>
      </c>
      <c r="H1563" s="148" t="s">
        <v>279</v>
      </c>
      <c r="I1563" s="239" t="str">
        <f>IF(ISBLANK(global!I76),"",global!I76)</f>
        <v>User input</v>
      </c>
      <c r="K1563" s="262" t="s">
        <v>264</v>
      </c>
      <c r="N1563" s="262" t="s">
        <v>264</v>
      </c>
    </row>
    <row r="1564" spans="1:14" ht="12.75" customHeight="1" x14ac:dyDescent="0.2">
      <c r="A1564" s="17"/>
      <c r="B1564" s="17"/>
      <c r="C1564" s="17"/>
      <c r="D1564" s="17"/>
      <c r="E1564" s="17"/>
      <c r="F1564" s="17"/>
      <c r="G1564" s="17"/>
      <c r="H1564" s="38"/>
      <c r="I1564" s="239" t="str">
        <f>IF(ISBLANK(global!I77),"",global!I77)</f>
        <v/>
      </c>
      <c r="K1564" s="262" t="s">
        <v>4249</v>
      </c>
      <c r="N1564" s="262" t="s">
        <v>4249</v>
      </c>
    </row>
    <row r="1565" spans="1:14" ht="12.75" customHeight="1" x14ac:dyDescent="0.2">
      <c r="A1565" s="38" t="s">
        <v>2651</v>
      </c>
      <c r="B1565" s="17"/>
      <c r="C1565" s="17"/>
      <c r="D1565" s="17"/>
      <c r="E1565" s="17"/>
      <c r="F1565" s="17"/>
      <c r="G1565" s="38" t="s">
        <v>2652</v>
      </c>
      <c r="H1565" s="38" t="s">
        <v>624</v>
      </c>
      <c r="I1565" s="239" t="str">
        <f>IF(ISBLANK(global!I78),"",global!I78)</f>
        <v/>
      </c>
      <c r="K1565" s="262" t="s">
        <v>4249</v>
      </c>
      <c r="N1565" s="262" t="s">
        <v>4249</v>
      </c>
    </row>
    <row r="1566" spans="1:14" ht="12.75" customHeight="1" x14ac:dyDescent="0.2">
      <c r="A1566" s="38" t="s">
        <v>2653</v>
      </c>
      <c r="B1566" s="17"/>
      <c r="C1566" s="17"/>
      <c r="D1566" s="17"/>
      <c r="E1566" s="17"/>
      <c r="F1566" s="17"/>
      <c r="G1566" s="38" t="s">
        <v>2654</v>
      </c>
      <c r="H1566" s="38" t="s">
        <v>624</v>
      </c>
      <c r="I1566" s="239" t="str">
        <f>IF(ISBLANK(global!I79),"",global!I79)</f>
        <v/>
      </c>
      <c r="K1566" s="262" t="s">
        <v>4249</v>
      </c>
      <c r="N1566" s="262" t="s">
        <v>4249</v>
      </c>
    </row>
    <row r="1567" spans="1:14" ht="12.75" customHeight="1" x14ac:dyDescent="0.2">
      <c r="A1567" s="38" t="s">
        <v>2655</v>
      </c>
      <c r="B1567" s="17"/>
      <c r="C1567" s="17"/>
      <c r="D1567" s="17"/>
      <c r="E1567" s="17"/>
      <c r="F1567" s="17"/>
      <c r="G1567" s="38" t="s">
        <v>2656</v>
      </c>
      <c r="H1567" s="38" t="s">
        <v>624</v>
      </c>
      <c r="I1567" s="239" t="str">
        <f>IF(ISBLANK(global!I80),"",global!I80)</f>
        <v/>
      </c>
      <c r="K1567" s="262" t="s">
        <v>4249</v>
      </c>
      <c r="N1567" s="262" t="s">
        <v>4249</v>
      </c>
    </row>
    <row r="1568" spans="1:14" ht="12.75" customHeight="1" x14ac:dyDescent="0.2">
      <c r="A1568" s="38" t="s">
        <v>2657</v>
      </c>
      <c r="B1568" s="17"/>
      <c r="C1568" s="17"/>
      <c r="D1568" s="17"/>
      <c r="E1568" s="17"/>
      <c r="F1568" s="17"/>
      <c r="G1568" s="38" t="s">
        <v>2658</v>
      </c>
      <c r="H1568" s="38" t="s">
        <v>624</v>
      </c>
      <c r="I1568" s="239" t="str">
        <f>IF(ISBLANK(global!I81),"",global!I81)</f>
        <v/>
      </c>
      <c r="K1568" s="262" t="s">
        <v>4249</v>
      </c>
      <c r="N1568" s="262" t="s">
        <v>4249</v>
      </c>
    </row>
    <row r="1569" spans="1:14" ht="12.75" customHeight="1" x14ac:dyDescent="0.2">
      <c r="A1569" s="38"/>
      <c r="B1569" s="38" t="s">
        <v>2659</v>
      </c>
      <c r="C1569" s="17"/>
      <c r="D1569" s="17"/>
      <c r="E1569" s="17"/>
      <c r="F1569" s="17"/>
      <c r="G1569" s="38" t="s">
        <v>2660</v>
      </c>
      <c r="H1569" s="38" t="s">
        <v>624</v>
      </c>
      <c r="I1569" s="239" t="str">
        <f>IF(ISBLANK(global!I82),"",global!I82)</f>
        <v/>
      </c>
      <c r="K1569" s="262" t="s">
        <v>4249</v>
      </c>
      <c r="N1569" s="262" t="s">
        <v>4249</v>
      </c>
    </row>
    <row r="1570" spans="1:14" ht="12.75" customHeight="1" x14ac:dyDescent="0.2">
      <c r="A1570" s="38"/>
      <c r="B1570" s="38"/>
      <c r="C1570" s="17" t="s">
        <v>2661</v>
      </c>
      <c r="D1570" s="17"/>
      <c r="E1570" s="17"/>
      <c r="F1570" s="17"/>
      <c r="G1570" s="38" t="s">
        <v>2662</v>
      </c>
      <c r="H1570" s="38" t="s">
        <v>624</v>
      </c>
      <c r="I1570" s="239" t="str">
        <f>IF(ISBLANK(global!I83),"",global!I83)</f>
        <v/>
      </c>
      <c r="K1570" s="262" t="s">
        <v>4249</v>
      </c>
      <c r="N1570" s="262" t="s">
        <v>4249</v>
      </c>
    </row>
    <row r="1571" spans="1:14" ht="12.75" customHeight="1" x14ac:dyDescent="0.2">
      <c r="A1571" s="38"/>
      <c r="B1571" s="38"/>
      <c r="C1571" s="38"/>
      <c r="D1571" s="38" t="s">
        <v>2663</v>
      </c>
      <c r="E1571" s="17"/>
      <c r="F1571" s="17"/>
      <c r="G1571" s="38" t="s">
        <v>2664</v>
      </c>
      <c r="H1571" s="38" t="s">
        <v>624</v>
      </c>
      <c r="I1571" s="239" t="str">
        <f>IF(ISBLANK(global!I84),"",global!I84)</f>
        <v/>
      </c>
      <c r="K1571" s="262" t="s">
        <v>4249</v>
      </c>
      <c r="N1571" s="262" t="s">
        <v>4249</v>
      </c>
    </row>
    <row r="1572" spans="1:14" ht="12.75" customHeight="1" x14ac:dyDescent="0.2">
      <c r="A1572" s="38"/>
      <c r="B1572" s="38"/>
      <c r="C1572" s="38"/>
      <c r="D1572" s="38" t="s">
        <v>2665</v>
      </c>
      <c r="E1572" s="17"/>
      <c r="F1572" s="17"/>
      <c r="G1572" s="38" t="s">
        <v>2666</v>
      </c>
      <c r="H1572" s="38" t="s">
        <v>624</v>
      </c>
      <c r="I1572" s="239" t="str">
        <f>IF(ISBLANK(global!I85),"",global!I85)</f>
        <v/>
      </c>
      <c r="K1572" s="262" t="s">
        <v>4249</v>
      </c>
      <c r="N1572" s="262" t="s">
        <v>4249</v>
      </c>
    </row>
    <row r="1573" spans="1:14" ht="12.75" customHeight="1" x14ac:dyDescent="0.2">
      <c r="A1573" s="38"/>
      <c r="B1573" s="38"/>
      <c r="C1573" s="17" t="s">
        <v>1195</v>
      </c>
      <c r="D1573" s="17"/>
      <c r="E1573" s="17"/>
      <c r="F1573" s="17"/>
      <c r="G1573" s="17" t="s">
        <v>2667</v>
      </c>
      <c r="H1573" s="17" t="s">
        <v>1197</v>
      </c>
      <c r="I1573" s="239" t="str">
        <f>IF(ISBLANK(global!I86),"",global!I86)</f>
        <v/>
      </c>
      <c r="K1573" s="262" t="s">
        <v>4249</v>
      </c>
      <c r="N1573" s="262" t="s">
        <v>4249</v>
      </c>
    </row>
    <row r="1574" spans="1:14" ht="12.75" customHeight="1" x14ac:dyDescent="0.2">
      <c r="A1574" s="38"/>
      <c r="B1574" s="38"/>
      <c r="C1574" s="17" t="s">
        <v>1198</v>
      </c>
      <c r="D1574" s="17"/>
      <c r="E1574" s="17"/>
      <c r="F1574" s="17"/>
      <c r="G1574" s="17" t="s">
        <v>2668</v>
      </c>
      <c r="H1574" s="17" t="s">
        <v>1197</v>
      </c>
      <c r="I1574" s="239" t="str">
        <f>IF(ISBLANK(global!I87),"",global!I87)</f>
        <v/>
      </c>
      <c r="K1574" s="262" t="s">
        <v>4249</v>
      </c>
      <c r="N1574" s="262" t="s">
        <v>4249</v>
      </c>
    </row>
    <row r="1575" spans="1:14" ht="12.75" customHeight="1" x14ac:dyDescent="0.2">
      <c r="A1575" s="38"/>
      <c r="B1575" s="38"/>
      <c r="C1575" s="38" t="s">
        <v>1200</v>
      </c>
      <c r="D1575" s="17"/>
      <c r="E1575" s="17"/>
      <c r="F1575" s="17"/>
      <c r="G1575" s="146" t="s">
        <v>2669</v>
      </c>
      <c r="H1575" s="31" t="s">
        <v>1202</v>
      </c>
      <c r="I1575" s="239" t="str">
        <f>IF(ISBLANK(global!I88),"",global!I88)</f>
        <v/>
      </c>
      <c r="K1575" s="262" t="s">
        <v>4249</v>
      </c>
      <c r="N1575" s="262" t="s">
        <v>4249</v>
      </c>
    </row>
    <row r="1576" spans="1:14" ht="12.75" customHeight="1" x14ac:dyDescent="0.2">
      <c r="A1576" s="38"/>
      <c r="B1576" s="38"/>
      <c r="C1576" s="38" t="s">
        <v>1203</v>
      </c>
      <c r="D1576" s="17"/>
      <c r="E1576" s="17"/>
      <c r="F1576" s="17"/>
      <c r="G1576" s="38" t="s">
        <v>2670</v>
      </c>
      <c r="H1576" s="146" t="s">
        <v>1202</v>
      </c>
      <c r="I1576" s="239" t="str">
        <f>IF(ISBLANK(global!I89),"",global!I89)</f>
        <v/>
      </c>
      <c r="K1576" s="262" t="s">
        <v>4249</v>
      </c>
      <c r="N1576" s="262" t="s">
        <v>4249</v>
      </c>
    </row>
    <row r="1577" spans="1:14" ht="12.75" customHeight="1" x14ac:dyDescent="0.2">
      <c r="A1577" s="38"/>
      <c r="B1577" s="38"/>
      <c r="C1577" s="38" t="s">
        <v>2110</v>
      </c>
      <c r="D1577" s="17"/>
      <c r="E1577" s="17"/>
      <c r="F1577" s="17"/>
      <c r="G1577" s="38" t="s">
        <v>2671</v>
      </c>
      <c r="H1577" s="146" t="s">
        <v>1202</v>
      </c>
      <c r="I1577" s="239" t="str">
        <f>IF(ISBLANK(global!I90),"",global!I90)</f>
        <v/>
      </c>
      <c r="K1577" s="262" t="s">
        <v>4249</v>
      </c>
      <c r="N1577" s="262" t="s">
        <v>4249</v>
      </c>
    </row>
    <row r="1578" spans="1:14" ht="12.75" customHeight="1" x14ac:dyDescent="0.2">
      <c r="A1578" s="38"/>
      <c r="B1578" s="38"/>
      <c r="C1578" s="17"/>
      <c r="D1578" s="146" t="s">
        <v>1207</v>
      </c>
      <c r="E1578" s="146"/>
      <c r="F1578" s="146"/>
      <c r="G1578" s="146" t="s">
        <v>2672</v>
      </c>
      <c r="H1578" s="31" t="s">
        <v>1202</v>
      </c>
      <c r="I1578" s="239" t="str">
        <f>IF(ISBLANK(global!I91),"",global!I91)</f>
        <v/>
      </c>
      <c r="K1578" s="262" t="s">
        <v>4249</v>
      </c>
      <c r="N1578" s="262" t="s">
        <v>4249</v>
      </c>
    </row>
    <row r="1579" spans="1:14" ht="12.75" customHeight="1" x14ac:dyDescent="0.2">
      <c r="A1579" s="38"/>
      <c r="B1579" s="38"/>
      <c r="C1579" s="17"/>
      <c r="D1579" s="38" t="s">
        <v>2673</v>
      </c>
      <c r="E1579" s="146"/>
      <c r="F1579" s="146"/>
      <c r="G1579" s="146" t="s">
        <v>2674</v>
      </c>
      <c r="H1579" s="146" t="s">
        <v>2675</v>
      </c>
      <c r="I1579" s="239" t="str">
        <f>IF(ISBLANK(global!I92),"",global!I92)</f>
        <v/>
      </c>
      <c r="K1579" s="262" t="s">
        <v>4249</v>
      </c>
      <c r="N1579" s="262" t="s">
        <v>4249</v>
      </c>
    </row>
    <row r="1580" spans="1:14" ht="12.75" customHeight="1" x14ac:dyDescent="0.2">
      <c r="A1580" s="38"/>
      <c r="B1580" s="38"/>
      <c r="C1580" s="17"/>
      <c r="D1580" s="38" t="s">
        <v>1209</v>
      </c>
      <c r="E1580" s="17"/>
      <c r="F1580" s="17"/>
      <c r="G1580" s="146" t="s">
        <v>2676</v>
      </c>
      <c r="H1580" s="38" t="s">
        <v>296</v>
      </c>
      <c r="I1580" s="239" t="str">
        <f>IF(ISBLANK(global!I93),"",global!I93)</f>
        <v/>
      </c>
      <c r="K1580" s="262" t="s">
        <v>4249</v>
      </c>
      <c r="N1580" s="262" t="s">
        <v>4249</v>
      </c>
    </row>
    <row r="1581" spans="1:14" ht="12.75" customHeight="1" x14ac:dyDescent="0.2">
      <c r="A1581" s="38"/>
      <c r="B1581" s="38" t="s">
        <v>1211</v>
      </c>
      <c r="C1581" s="17"/>
      <c r="D1581" s="38"/>
      <c r="E1581" s="17"/>
      <c r="F1581" s="17"/>
      <c r="G1581" s="146" t="s">
        <v>2677</v>
      </c>
      <c r="H1581" s="38" t="s">
        <v>1202</v>
      </c>
      <c r="I1581" s="239" t="str">
        <f>IF(ISBLANK(global!I94),"",global!I94)</f>
        <v/>
      </c>
      <c r="K1581" s="262" t="s">
        <v>4249</v>
      </c>
      <c r="N1581" s="262" t="s">
        <v>4249</v>
      </c>
    </row>
    <row r="1582" spans="1:14" ht="12.75" customHeight="1" x14ac:dyDescent="0.2">
      <c r="A1582" s="38"/>
      <c r="B1582" s="38" t="s">
        <v>1213</v>
      </c>
      <c r="C1582" s="17"/>
      <c r="D1582" s="38"/>
      <c r="E1582" s="17"/>
      <c r="F1582" s="17"/>
      <c r="G1582" s="146" t="s">
        <v>2678</v>
      </c>
      <c r="H1582" s="38" t="s">
        <v>1202</v>
      </c>
      <c r="I1582" s="239" t="str">
        <f>IF(ISBLANK(global!I95),"",global!I95)</f>
        <v/>
      </c>
      <c r="K1582" s="262" t="s">
        <v>4249</v>
      </c>
      <c r="N1582" s="262" t="s">
        <v>4249</v>
      </c>
    </row>
    <row r="1583" spans="1:14" ht="12.75" customHeight="1" x14ac:dyDescent="0.2">
      <c r="A1583" s="38"/>
      <c r="B1583" s="38" t="s">
        <v>2679</v>
      </c>
      <c r="C1583" s="17"/>
      <c r="D1583" s="38"/>
      <c r="E1583" s="17"/>
      <c r="F1583" s="17"/>
      <c r="G1583" s="38" t="s">
        <v>2680</v>
      </c>
      <c r="H1583" s="38" t="s">
        <v>1202</v>
      </c>
      <c r="I1583" s="239" t="str">
        <f>IF(ISBLANK(global!I96),"",global!I96)</f>
        <v/>
      </c>
      <c r="K1583" s="262" t="s">
        <v>4249</v>
      </c>
      <c r="N1583" s="262" t="s">
        <v>4249</v>
      </c>
    </row>
    <row r="1584" spans="1:14" ht="12.75" customHeight="1" x14ac:dyDescent="0.2">
      <c r="A1584" s="38"/>
      <c r="B1584" s="38" t="s">
        <v>2681</v>
      </c>
      <c r="C1584" s="17"/>
      <c r="D1584" s="38"/>
      <c r="E1584" s="17"/>
      <c r="F1584" s="17"/>
      <c r="G1584" s="38" t="s">
        <v>2682</v>
      </c>
      <c r="H1584" s="38" t="s">
        <v>1202</v>
      </c>
      <c r="I1584" s="239" t="str">
        <f>IF(ISBLANK(global!I97),"",global!I97)</f>
        <v/>
      </c>
      <c r="K1584" s="262" t="s">
        <v>4249</v>
      </c>
      <c r="N1584" s="262" t="s">
        <v>4249</v>
      </c>
    </row>
    <row r="1585" spans="1:14" ht="12.75" customHeight="1" x14ac:dyDescent="0.2">
      <c r="A1585" s="38"/>
      <c r="B1585" s="38"/>
      <c r="C1585" s="17" t="s">
        <v>1222</v>
      </c>
      <c r="D1585" s="17"/>
      <c r="E1585" s="17"/>
      <c r="F1585" s="17"/>
      <c r="G1585" s="17" t="s">
        <v>2683</v>
      </c>
      <c r="H1585" s="31" t="s">
        <v>1202</v>
      </c>
      <c r="I1585" s="239" t="str">
        <f>IF(ISBLANK(global!I98),"",global!I98)</f>
        <v/>
      </c>
      <c r="K1585" s="262" t="s">
        <v>4249</v>
      </c>
      <c r="N1585" s="262" t="s">
        <v>4249</v>
      </c>
    </row>
    <row r="1586" spans="1:14" ht="12.75" customHeight="1" x14ac:dyDescent="0.2">
      <c r="A1586" s="38"/>
      <c r="B1586" s="38"/>
      <c r="C1586" s="17" t="s">
        <v>1224</v>
      </c>
      <c r="D1586" s="17"/>
      <c r="E1586" s="17"/>
      <c r="F1586" s="17"/>
      <c r="G1586" s="17" t="s">
        <v>2684</v>
      </c>
      <c r="H1586" s="31" t="s">
        <v>1202</v>
      </c>
      <c r="I1586" s="239" t="str">
        <f>IF(ISBLANK(global!I99),"",global!I99)</f>
        <v/>
      </c>
      <c r="K1586" s="262" t="s">
        <v>4249</v>
      </c>
      <c r="N1586" s="262" t="s">
        <v>4249</v>
      </c>
    </row>
    <row r="1587" spans="1:14" ht="12.75" customHeight="1" x14ac:dyDescent="0.2">
      <c r="A1587" s="38"/>
      <c r="B1587" s="38"/>
      <c r="C1587" s="17"/>
      <c r="D1587" s="146" t="s">
        <v>2685</v>
      </c>
      <c r="E1587" s="17"/>
      <c r="F1587" s="17"/>
      <c r="G1587" s="38" t="s">
        <v>2686</v>
      </c>
      <c r="H1587" s="31" t="s">
        <v>1202</v>
      </c>
      <c r="I1587" s="239" t="str">
        <f>IF(ISBLANK(global!I100),"",global!I100)</f>
        <v/>
      </c>
      <c r="K1587" s="262" t="s">
        <v>4249</v>
      </c>
      <c r="N1587" s="262" t="s">
        <v>4249</v>
      </c>
    </row>
    <row r="1588" spans="1:14" ht="12.75" customHeight="1" x14ac:dyDescent="0.2">
      <c r="A1588" s="38"/>
      <c r="B1588" s="38"/>
      <c r="C1588" s="17" t="s">
        <v>1232</v>
      </c>
      <c r="D1588" s="17"/>
      <c r="E1588" s="146"/>
      <c r="F1588" s="146"/>
      <c r="G1588" s="17" t="s">
        <v>2687</v>
      </c>
      <c r="H1588" s="31" t="s">
        <v>1202</v>
      </c>
      <c r="I1588" s="239" t="str">
        <f>IF(ISBLANK(global!I101),"",global!I101)</f>
        <v/>
      </c>
      <c r="K1588" s="262" t="s">
        <v>4249</v>
      </c>
      <c r="N1588" s="262" t="s">
        <v>4249</v>
      </c>
    </row>
    <row r="1589" spans="1:14" ht="12.75" customHeight="1" x14ac:dyDescent="0.2">
      <c r="A1589" s="38"/>
      <c r="B1589" s="38"/>
      <c r="C1589" s="17" t="s">
        <v>1234</v>
      </c>
      <c r="D1589" s="17"/>
      <c r="E1589" s="17"/>
      <c r="F1589" s="146"/>
      <c r="G1589" s="17" t="s">
        <v>2688</v>
      </c>
      <c r="H1589" s="146" t="s">
        <v>1202</v>
      </c>
      <c r="I1589" s="239" t="str">
        <f>IF(ISBLANK(global!I102),"",global!I102)</f>
        <v/>
      </c>
      <c r="K1589" s="262" t="s">
        <v>4249</v>
      </c>
      <c r="N1589" s="262" t="s">
        <v>4249</v>
      </c>
    </row>
    <row r="1590" spans="1:14" ht="12.75" customHeight="1" x14ac:dyDescent="0.2">
      <c r="A1590" s="38"/>
      <c r="B1590" s="38"/>
      <c r="C1590" s="17" t="s">
        <v>1236</v>
      </c>
      <c r="D1590" s="17"/>
      <c r="E1590" s="146"/>
      <c r="F1590" s="146"/>
      <c r="G1590" s="38" t="s">
        <v>2689</v>
      </c>
      <c r="H1590" s="17" t="s">
        <v>296</v>
      </c>
      <c r="I1590" s="239" t="str">
        <f>IF(ISBLANK(global!I103),"",global!I103)</f>
        <v/>
      </c>
      <c r="K1590" s="262" t="s">
        <v>4249</v>
      </c>
      <c r="N1590" s="262" t="s">
        <v>4249</v>
      </c>
    </row>
    <row r="1591" spans="1:14" ht="12.75" customHeight="1" x14ac:dyDescent="0.2">
      <c r="A1591" s="17"/>
      <c r="B1591" s="17"/>
      <c r="C1591" s="17"/>
      <c r="D1591" s="17"/>
      <c r="E1591" s="17"/>
      <c r="F1591" s="17"/>
      <c r="G1591" s="17"/>
      <c r="H1591" s="17"/>
      <c r="I1591" s="239" t="str">
        <f>IF(ISBLANK(global!I104),"",global!I104)</f>
        <v/>
      </c>
      <c r="K1591" s="262" t="s">
        <v>4249</v>
      </c>
      <c r="N1591" s="262" t="s">
        <v>4249</v>
      </c>
    </row>
    <row r="1592" spans="1:14" ht="12.75" customHeight="1" x14ac:dyDescent="0.2">
      <c r="A1592" s="38" t="s">
        <v>2690</v>
      </c>
      <c r="B1592" s="17"/>
      <c r="C1592" s="17"/>
      <c r="D1592" s="17"/>
      <c r="E1592" s="17"/>
      <c r="F1592" s="17"/>
      <c r="G1592" s="38" t="s">
        <v>2691</v>
      </c>
      <c r="H1592" s="38" t="s">
        <v>340</v>
      </c>
      <c r="I1592" s="239" t="str">
        <f>IF(ISBLANK(global!I105),"",global!I105)</f>
        <v/>
      </c>
      <c r="K1592" s="262" t="s">
        <v>4249</v>
      </c>
      <c r="N1592" s="262" t="s">
        <v>4249</v>
      </c>
    </row>
    <row r="1593" spans="1:14" ht="12.75" customHeight="1" x14ac:dyDescent="0.2">
      <c r="A1593" s="38" t="s">
        <v>2692</v>
      </c>
      <c r="B1593" s="17"/>
      <c r="C1593" s="17"/>
      <c r="D1593" s="17"/>
      <c r="E1593" s="17"/>
      <c r="F1593" s="17"/>
      <c r="G1593" s="38" t="s">
        <v>2693</v>
      </c>
      <c r="H1593" s="38" t="s">
        <v>340</v>
      </c>
      <c r="I1593" s="239" t="str">
        <f>IF(ISBLANK(global!I106),"",global!I106)</f>
        <v/>
      </c>
      <c r="K1593" s="262" t="s">
        <v>4249</v>
      </c>
      <c r="N1593" s="262" t="s">
        <v>4249</v>
      </c>
    </row>
    <row r="1594" spans="1:14" ht="12.75" customHeight="1" x14ac:dyDescent="0.2">
      <c r="A1594" s="38"/>
      <c r="B1594" s="38" t="s">
        <v>2694</v>
      </c>
      <c r="C1594" s="17"/>
      <c r="D1594" s="17"/>
      <c r="E1594" s="17"/>
      <c r="F1594" s="17"/>
      <c r="G1594" s="38" t="s">
        <v>2695</v>
      </c>
      <c r="H1594" s="17" t="s">
        <v>873</v>
      </c>
      <c r="I1594" s="239" t="str">
        <f>IF(ISBLANK(global!I107),"",global!I107)</f>
        <v/>
      </c>
      <c r="K1594" s="262" t="s">
        <v>4249</v>
      </c>
      <c r="N1594" s="262" t="s">
        <v>4249</v>
      </c>
    </row>
    <row r="1595" spans="1:14" ht="12.75" customHeight="1" x14ac:dyDescent="0.2">
      <c r="A1595" s="38"/>
      <c r="B1595" s="38" t="s">
        <v>2696</v>
      </c>
      <c r="C1595" s="17"/>
      <c r="D1595" s="17"/>
      <c r="E1595" s="17"/>
      <c r="F1595" s="17"/>
      <c r="G1595" s="38" t="s">
        <v>2697</v>
      </c>
      <c r="H1595" s="17" t="s">
        <v>873</v>
      </c>
      <c r="I1595" s="239" t="str">
        <f>IF(ISBLANK(global!I108),"",global!I108)</f>
        <v/>
      </c>
      <c r="K1595" s="262" t="s">
        <v>4249</v>
      </c>
      <c r="N1595" s="262" t="s">
        <v>4249</v>
      </c>
    </row>
    <row r="1596" spans="1:14" ht="12.75" customHeight="1" x14ac:dyDescent="0.2">
      <c r="A1596" s="38"/>
      <c r="B1596" s="38"/>
      <c r="C1596" s="38" t="s">
        <v>1268</v>
      </c>
      <c r="D1596" s="38"/>
      <c r="E1596" s="17"/>
      <c r="F1596" s="17"/>
      <c r="G1596" s="146" t="s">
        <v>2698</v>
      </c>
      <c r="H1596" s="31" t="s">
        <v>873</v>
      </c>
      <c r="I1596" s="239" t="str">
        <f>IF(ISBLANK(global!I109),"",global!I109)</f>
        <v/>
      </c>
      <c r="K1596" s="262" t="s">
        <v>4249</v>
      </c>
      <c r="N1596" s="262" t="s">
        <v>4249</v>
      </c>
    </row>
    <row r="1597" spans="1:14" ht="12.75" customHeight="1" x14ac:dyDescent="0.2">
      <c r="A1597" s="38"/>
      <c r="B1597" s="38"/>
      <c r="C1597" s="17"/>
      <c r="D1597" s="38" t="s">
        <v>1272</v>
      </c>
      <c r="E1597" s="146"/>
      <c r="F1597" s="146"/>
      <c r="G1597" s="146" t="s">
        <v>2699</v>
      </c>
      <c r="H1597" s="31" t="s">
        <v>873</v>
      </c>
      <c r="I1597" s="239" t="str">
        <f>IF(ISBLANK(global!I110),"",global!I110)</f>
        <v/>
      </c>
      <c r="K1597" s="262" t="s">
        <v>4249</v>
      </c>
      <c r="N1597" s="262" t="s">
        <v>4249</v>
      </c>
    </row>
    <row r="1598" spans="1:14" ht="12.75" customHeight="1" x14ac:dyDescent="0.2">
      <c r="A1598" s="38"/>
      <c r="B1598" s="38"/>
      <c r="C1598" s="17"/>
      <c r="D1598" s="38" t="s">
        <v>2700</v>
      </c>
      <c r="E1598" s="146"/>
      <c r="F1598" s="146"/>
      <c r="G1598" s="146" t="s">
        <v>2701</v>
      </c>
      <c r="H1598" s="31" t="s">
        <v>873</v>
      </c>
      <c r="I1598" s="239" t="str">
        <f>IF(ISBLANK(global!I111),"",global!I111)</f>
        <v/>
      </c>
      <c r="K1598" s="262" t="s">
        <v>4249</v>
      </c>
      <c r="N1598" s="262" t="s">
        <v>4249</v>
      </c>
    </row>
    <row r="1599" spans="1:14" ht="12.75" customHeight="1" x14ac:dyDescent="0.2">
      <c r="A1599" s="38"/>
      <c r="B1599" s="38"/>
      <c r="C1599" s="38"/>
      <c r="D1599" s="17"/>
      <c r="E1599" s="38" t="s">
        <v>2702</v>
      </c>
      <c r="F1599" s="38"/>
      <c r="G1599" s="146" t="s">
        <v>2703</v>
      </c>
      <c r="H1599" s="38" t="s">
        <v>2704</v>
      </c>
      <c r="I1599" s="239" t="str">
        <f>IF(ISBLANK(global!I112),"",global!I112)</f>
        <v/>
      </c>
      <c r="K1599" s="262" t="s">
        <v>4249</v>
      </c>
      <c r="N1599" s="262" t="s">
        <v>4249</v>
      </c>
    </row>
    <row r="1600" spans="1:14" ht="12.75" customHeight="1" x14ac:dyDescent="0.2">
      <c r="A1600" s="17"/>
      <c r="B1600" s="17" t="s">
        <v>2705</v>
      </c>
      <c r="C1600" s="38"/>
      <c r="D1600" s="17"/>
      <c r="E1600" s="146"/>
      <c r="F1600" s="146"/>
      <c r="G1600" s="38" t="s">
        <v>2706</v>
      </c>
      <c r="H1600" s="17" t="s">
        <v>873</v>
      </c>
      <c r="I1600" s="239" t="str">
        <f>IF(ISBLANK(global!I113),"",global!I113)</f>
        <v/>
      </c>
      <c r="K1600" s="262" t="s">
        <v>4249</v>
      </c>
      <c r="N1600" s="262" t="s">
        <v>4249</v>
      </c>
    </row>
    <row r="1601" spans="1:14" ht="12.75" customHeight="1" x14ac:dyDescent="0.2">
      <c r="A1601" s="17"/>
      <c r="B1601" s="17" t="s">
        <v>2707</v>
      </c>
      <c r="C1601" s="38"/>
      <c r="D1601" s="17"/>
      <c r="E1601" s="146"/>
      <c r="F1601" s="146"/>
      <c r="G1601" s="38" t="s">
        <v>2708</v>
      </c>
      <c r="H1601" s="17" t="s">
        <v>873</v>
      </c>
      <c r="I1601" s="239" t="str">
        <f>IF(ISBLANK(global!I114),"",global!I114)</f>
        <v/>
      </c>
      <c r="K1601" s="262" t="s">
        <v>4249</v>
      </c>
      <c r="N1601" s="262" t="s">
        <v>4249</v>
      </c>
    </row>
    <row r="1602" spans="1:14" ht="12.75" customHeight="1" x14ac:dyDescent="0.2">
      <c r="A1602" s="38"/>
      <c r="B1602" s="38"/>
      <c r="C1602" s="17" t="s">
        <v>1296</v>
      </c>
      <c r="D1602" s="17"/>
      <c r="E1602" s="17"/>
      <c r="F1602" s="17"/>
      <c r="G1602" s="17" t="s">
        <v>2709</v>
      </c>
      <c r="H1602" s="31" t="s">
        <v>873</v>
      </c>
      <c r="I1602" s="239" t="str">
        <f>IF(ISBLANK(global!I115),"",global!I115)</f>
        <v/>
      </c>
      <c r="K1602" s="262" t="s">
        <v>4249</v>
      </c>
      <c r="N1602" s="262" t="s">
        <v>4249</v>
      </c>
    </row>
    <row r="1603" spans="1:14" ht="12.75" customHeight="1" x14ac:dyDescent="0.2">
      <c r="A1603" s="38"/>
      <c r="B1603" s="38"/>
      <c r="C1603" s="17" t="s">
        <v>1298</v>
      </c>
      <c r="D1603" s="17"/>
      <c r="E1603" s="17"/>
      <c r="F1603" s="17"/>
      <c r="G1603" s="17" t="s">
        <v>2710</v>
      </c>
      <c r="H1603" s="31" t="s">
        <v>873</v>
      </c>
      <c r="I1603" s="239" t="str">
        <f>IF(ISBLANK(global!I116),"",global!I116)</f>
        <v/>
      </c>
      <c r="K1603" s="262" t="s">
        <v>4249</v>
      </c>
      <c r="N1603" s="262" t="s">
        <v>4249</v>
      </c>
    </row>
    <row r="1604" spans="1:14" ht="12.75" customHeight="1" x14ac:dyDescent="0.2">
      <c r="A1604" s="17"/>
      <c r="B1604" s="17"/>
      <c r="C1604" s="17"/>
      <c r="D1604" s="17"/>
      <c r="E1604" s="17"/>
      <c r="F1604" s="17"/>
      <c r="G1604" s="17"/>
      <c r="H1604" s="17"/>
      <c r="I1604" s="239" t="str">
        <f>IF(ISBLANK(global!I117),"",global!I117)</f>
        <v/>
      </c>
      <c r="K1604" s="262" t="s">
        <v>4249</v>
      </c>
      <c r="N1604" s="262" t="s">
        <v>4249</v>
      </c>
    </row>
    <row r="1605" spans="1:14" ht="12.75" customHeight="1" x14ac:dyDescent="0.2">
      <c r="A1605" s="38" t="s">
        <v>2711</v>
      </c>
      <c r="B1605" s="17"/>
      <c r="C1605" s="17"/>
      <c r="D1605" s="17"/>
      <c r="E1605" s="17"/>
      <c r="F1605" s="17"/>
      <c r="G1605" s="38" t="s">
        <v>2712</v>
      </c>
      <c r="H1605" s="38" t="s">
        <v>624</v>
      </c>
      <c r="I1605" s="239" t="str">
        <f>IF(ISBLANK(global!I118),"",global!I118)</f>
        <v/>
      </c>
      <c r="K1605" s="262" t="s">
        <v>4249</v>
      </c>
      <c r="N1605" s="262" t="s">
        <v>4249</v>
      </c>
    </row>
    <row r="1606" spans="1:14" ht="12.75" customHeight="1" x14ac:dyDescent="0.2">
      <c r="A1606" s="17"/>
      <c r="B1606" s="146" t="s">
        <v>2713</v>
      </c>
      <c r="C1606" s="17"/>
      <c r="D1606" s="17"/>
      <c r="E1606" s="17"/>
      <c r="F1606" s="17"/>
      <c r="G1606" s="146" t="s">
        <v>2714</v>
      </c>
      <c r="H1606" s="31" t="s">
        <v>1202</v>
      </c>
      <c r="I1606" s="239" t="str">
        <f>IF(ISBLANK(global!I119),"",global!I119)</f>
        <v/>
      </c>
      <c r="K1606" s="262" t="s">
        <v>4249</v>
      </c>
      <c r="N1606" s="262" t="s">
        <v>4249</v>
      </c>
    </row>
    <row r="1607" spans="1:14" ht="12.75" customHeight="1" x14ac:dyDescent="0.2">
      <c r="A1607" s="17"/>
      <c r="B1607" s="38" t="s">
        <v>2715</v>
      </c>
      <c r="C1607" s="17"/>
      <c r="D1607" s="17"/>
      <c r="E1607" s="17"/>
      <c r="F1607" s="17"/>
      <c r="G1607" s="146" t="s">
        <v>2716</v>
      </c>
      <c r="H1607" s="38" t="s">
        <v>296</v>
      </c>
      <c r="I1607" s="239" t="str">
        <f>IF(ISBLANK(global!I120),"",global!I120)</f>
        <v/>
      </c>
      <c r="K1607" s="262" t="s">
        <v>4249</v>
      </c>
      <c r="N1607" s="262" t="s">
        <v>4249</v>
      </c>
    </row>
    <row r="1608" spans="1:14" ht="12.75" customHeight="1" x14ac:dyDescent="0.2">
      <c r="A1608" s="38"/>
      <c r="B1608" s="17" t="s">
        <v>1236</v>
      </c>
      <c r="C1608" s="17"/>
      <c r="D1608" s="146"/>
      <c r="E1608" s="146"/>
      <c r="F1608" s="17"/>
      <c r="G1608" s="38" t="s">
        <v>2717</v>
      </c>
      <c r="H1608" s="17" t="s">
        <v>296</v>
      </c>
      <c r="I1608" s="239" t="str">
        <f>IF(ISBLANK(global!I121),"",global!I121)</f>
        <v/>
      </c>
      <c r="K1608" s="262" t="s">
        <v>4249</v>
      </c>
      <c r="N1608" s="262" t="s">
        <v>4249</v>
      </c>
    </row>
    <row r="1609" spans="1:14" ht="12.75" customHeight="1" x14ac:dyDescent="0.2">
      <c r="A1609" s="17"/>
      <c r="B1609" s="17"/>
      <c r="C1609" s="17"/>
      <c r="D1609" s="17"/>
      <c r="E1609" s="17"/>
      <c r="F1609" s="17"/>
      <c r="G1609" s="17"/>
      <c r="H1609" s="38"/>
      <c r="I1609" s="239" t="str">
        <f>IF(ISBLANK(global!I122),"",global!I122)</f>
        <v/>
      </c>
      <c r="K1609" s="262" t="s">
        <v>4249</v>
      </c>
      <c r="N1609" s="262" t="s">
        <v>4249</v>
      </c>
    </row>
    <row r="1610" spans="1:14" ht="12.75" customHeight="1" x14ac:dyDescent="0.2">
      <c r="A1610" s="148" t="s">
        <v>1321</v>
      </c>
      <c r="B1610" s="147"/>
      <c r="C1610" s="147"/>
      <c r="D1610" s="147"/>
      <c r="E1610" s="147"/>
      <c r="F1610" s="147"/>
      <c r="G1610" s="148" t="s">
        <v>263</v>
      </c>
      <c r="H1610" s="148" t="s">
        <v>279</v>
      </c>
      <c r="I1610" s="239" t="str">
        <f>IF(ISBLANK(global!I123),"",global!I123)</f>
        <v>User input</v>
      </c>
      <c r="K1610" s="262" t="s">
        <v>264</v>
      </c>
      <c r="N1610" s="262" t="s">
        <v>264</v>
      </c>
    </row>
    <row r="1611" spans="1:14" ht="12.75" customHeight="1" x14ac:dyDescent="0.2">
      <c r="A1611" s="38"/>
      <c r="B1611" s="17"/>
      <c r="C1611" s="17"/>
      <c r="D1611" s="17"/>
      <c r="E1611" s="17"/>
      <c r="F1611" s="17"/>
      <c r="G1611" s="17"/>
      <c r="H1611" s="38"/>
      <c r="I1611" s="239" t="str">
        <f>IF(ISBLANK(global!I124),"",global!I124)</f>
        <v/>
      </c>
      <c r="K1611" s="262" t="s">
        <v>4249</v>
      </c>
      <c r="N1611" s="262" t="s">
        <v>4249</v>
      </c>
    </row>
    <row r="1612" spans="1:14" ht="12.75" customHeight="1" x14ac:dyDescent="0.2">
      <c r="A1612" s="38" t="s">
        <v>1322</v>
      </c>
      <c r="B1612" s="17"/>
      <c r="C1612" s="17"/>
      <c r="D1612" s="17"/>
      <c r="E1612" s="17"/>
      <c r="F1612" s="17"/>
      <c r="G1612" s="38" t="s">
        <v>2718</v>
      </c>
      <c r="H1612" s="38" t="s">
        <v>624</v>
      </c>
      <c r="I1612" s="239" t="str">
        <f>IF(ISBLANK(global!I125),"",global!I125)</f>
        <v/>
      </c>
      <c r="K1612" s="262" t="s">
        <v>4249</v>
      </c>
      <c r="N1612" s="262" t="s">
        <v>4249</v>
      </c>
    </row>
    <row r="1613" spans="1:14" ht="12.75" customHeight="1" x14ac:dyDescent="0.2">
      <c r="A1613" s="38" t="s">
        <v>2719</v>
      </c>
      <c r="B1613" s="17"/>
      <c r="C1613" s="17"/>
      <c r="D1613" s="17"/>
      <c r="E1613" s="17"/>
      <c r="F1613" s="17"/>
      <c r="G1613" s="38" t="s">
        <v>2720</v>
      </c>
      <c r="H1613" s="38" t="s">
        <v>624</v>
      </c>
      <c r="I1613" s="239" t="str">
        <f>IF(ISBLANK(global!I126),"",global!I126)</f>
        <v/>
      </c>
      <c r="K1613" s="262" t="s">
        <v>4249</v>
      </c>
      <c r="N1613" s="262" t="s">
        <v>4249</v>
      </c>
    </row>
    <row r="1614" spans="1:14" ht="12.75" customHeight="1" x14ac:dyDescent="0.2">
      <c r="A1614" s="38" t="s">
        <v>2721</v>
      </c>
      <c r="B1614" s="17"/>
      <c r="C1614" s="17"/>
      <c r="D1614" s="17"/>
      <c r="E1614" s="17"/>
      <c r="F1614" s="17"/>
      <c r="G1614" s="38" t="s">
        <v>2722</v>
      </c>
      <c r="H1614" s="38" t="s">
        <v>624</v>
      </c>
      <c r="I1614" s="239" t="str">
        <f>IF(ISBLANK(global!I127),"",global!I127)</f>
        <v/>
      </c>
      <c r="K1614" s="262" t="s">
        <v>4249</v>
      </c>
      <c r="N1614" s="262" t="s">
        <v>4249</v>
      </c>
    </row>
    <row r="1615" spans="1:14" ht="12.75" customHeight="1" x14ac:dyDescent="0.2">
      <c r="A1615" s="38" t="s">
        <v>2723</v>
      </c>
      <c r="B1615" s="17"/>
      <c r="C1615" s="17"/>
      <c r="D1615" s="17"/>
      <c r="E1615" s="17"/>
      <c r="F1615" s="17"/>
      <c r="G1615" s="38" t="s">
        <v>2724</v>
      </c>
      <c r="H1615" s="38" t="s">
        <v>624</v>
      </c>
      <c r="I1615" s="239" t="str">
        <f>IF(ISBLANK(global!I128),"",global!I128)</f>
        <v/>
      </c>
      <c r="K1615" s="262" t="s">
        <v>4249</v>
      </c>
      <c r="N1615" s="262" t="s">
        <v>4249</v>
      </c>
    </row>
    <row r="1616" spans="1:14" ht="12.75" customHeight="1" x14ac:dyDescent="0.2">
      <c r="A1616" s="38" t="s">
        <v>2725</v>
      </c>
      <c r="B1616" s="17"/>
      <c r="C1616" s="17"/>
      <c r="D1616" s="17"/>
      <c r="E1616" s="17"/>
      <c r="F1616" s="17"/>
      <c r="G1616" s="38" t="s">
        <v>2726</v>
      </c>
      <c r="H1616" s="38" t="s">
        <v>624</v>
      </c>
      <c r="I1616" s="239" t="str">
        <f>IF(ISBLANK(global!I129),"",global!I129)</f>
        <v/>
      </c>
      <c r="K1616" s="262" t="s">
        <v>4249</v>
      </c>
      <c r="N1616" s="262" t="s">
        <v>4249</v>
      </c>
    </row>
    <row r="1617" spans="1:14" ht="12.75" customHeight="1" x14ac:dyDescent="0.2">
      <c r="A1617" s="38"/>
      <c r="B1617" s="38" t="s">
        <v>1342</v>
      </c>
      <c r="C1617" s="146"/>
      <c r="D1617" s="17"/>
      <c r="E1617" s="17"/>
      <c r="F1617" s="17"/>
      <c r="G1617" s="146" t="s">
        <v>2727</v>
      </c>
      <c r="H1617" s="38" t="s">
        <v>624</v>
      </c>
      <c r="I1617" s="239" t="str">
        <f>IF(ISBLANK(global!I130),"",global!I130)</f>
        <v/>
      </c>
      <c r="K1617" s="262" t="s">
        <v>4249</v>
      </c>
      <c r="N1617" s="262" t="s">
        <v>4249</v>
      </c>
    </row>
    <row r="1618" spans="1:14" ht="12.75" customHeight="1" x14ac:dyDescent="0.2">
      <c r="A1618" s="38"/>
      <c r="B1618" s="38" t="s">
        <v>1344</v>
      </c>
      <c r="C1618" s="17"/>
      <c r="D1618" s="17"/>
      <c r="E1618" s="17"/>
      <c r="F1618" s="17"/>
      <c r="G1618" s="38" t="s">
        <v>2728</v>
      </c>
      <c r="H1618" s="38" t="s">
        <v>624</v>
      </c>
      <c r="I1618" s="239" t="str">
        <f>IF(ISBLANK(global!I131),"",global!I131)</f>
        <v/>
      </c>
      <c r="K1618" s="262" t="s">
        <v>4249</v>
      </c>
      <c r="N1618" s="262" t="s">
        <v>4249</v>
      </c>
    </row>
    <row r="1619" spans="1:14" ht="12.75" customHeight="1" x14ac:dyDescent="0.2">
      <c r="A1619" s="146"/>
      <c r="B1619" s="146"/>
      <c r="C1619" s="38" t="s">
        <v>2729</v>
      </c>
      <c r="D1619" s="17"/>
      <c r="E1619" s="17"/>
      <c r="F1619" s="17"/>
      <c r="G1619" s="38" t="s">
        <v>2730</v>
      </c>
      <c r="H1619" s="38" t="s">
        <v>627</v>
      </c>
      <c r="I1619" s="239" t="str">
        <f>IF(ISBLANK(global!I132),"",global!I132)</f>
        <v/>
      </c>
      <c r="K1619" s="262" t="s">
        <v>4249</v>
      </c>
      <c r="N1619" s="262" t="s">
        <v>4249</v>
      </c>
    </row>
    <row r="1620" spans="1:14" ht="12.75" customHeight="1" x14ac:dyDescent="0.2">
      <c r="A1620" s="146"/>
      <c r="B1620" s="146"/>
      <c r="C1620" s="38" t="s">
        <v>2190</v>
      </c>
      <c r="D1620" s="17"/>
      <c r="E1620" s="17"/>
      <c r="F1620" s="17"/>
      <c r="G1620" s="38" t="s">
        <v>2731</v>
      </c>
      <c r="H1620" s="38" t="s">
        <v>296</v>
      </c>
      <c r="I1620" s="239" t="str">
        <f>IF(ISBLANK(global!I133),"",global!I133)</f>
        <v/>
      </c>
      <c r="K1620" s="262" t="s">
        <v>4249</v>
      </c>
      <c r="N1620" s="262" t="s">
        <v>4249</v>
      </c>
    </row>
    <row r="1621" spans="1:14" ht="12.75" customHeight="1" x14ac:dyDescent="0.2">
      <c r="A1621" s="38"/>
      <c r="B1621" s="38" t="s">
        <v>2732</v>
      </c>
      <c r="C1621" s="17"/>
      <c r="D1621" s="17"/>
      <c r="E1621" s="17"/>
      <c r="F1621" s="17"/>
      <c r="G1621" s="38" t="s">
        <v>2733</v>
      </c>
      <c r="H1621" s="38" t="s">
        <v>624</v>
      </c>
      <c r="I1621" s="239" t="str">
        <f>IF(ISBLANK(global!I134),"",global!I134)</f>
        <v/>
      </c>
      <c r="K1621" s="262" t="s">
        <v>4249</v>
      </c>
      <c r="N1621" s="262" t="s">
        <v>4249</v>
      </c>
    </row>
    <row r="1622" spans="1:14" ht="12.75" customHeight="1" x14ac:dyDescent="0.2">
      <c r="A1622" s="38"/>
      <c r="B1622" s="38" t="s">
        <v>2734</v>
      </c>
      <c r="C1622" s="17"/>
      <c r="D1622" s="17"/>
      <c r="E1622" s="17"/>
      <c r="F1622" s="17"/>
      <c r="G1622" s="38" t="s">
        <v>2735</v>
      </c>
      <c r="H1622" s="38" t="s">
        <v>624</v>
      </c>
      <c r="I1622" s="239" t="str">
        <f>IF(ISBLANK(global!I135),"",global!I135)</f>
        <v/>
      </c>
      <c r="K1622" s="262" t="s">
        <v>4249</v>
      </c>
      <c r="N1622" s="262" t="s">
        <v>4249</v>
      </c>
    </row>
    <row r="1623" spans="1:14" ht="12.75" customHeight="1" x14ac:dyDescent="0.2">
      <c r="A1623" s="38"/>
      <c r="B1623" s="38"/>
      <c r="C1623" s="38" t="s">
        <v>2736</v>
      </c>
      <c r="D1623" s="17"/>
      <c r="E1623" s="17"/>
      <c r="F1623" s="17"/>
      <c r="G1623" s="146" t="s">
        <v>2737</v>
      </c>
      <c r="H1623" s="38" t="s">
        <v>1359</v>
      </c>
      <c r="I1623" s="239" t="str">
        <f>IF(ISBLANK(global!I136),"",global!I136)</f>
        <v/>
      </c>
      <c r="K1623" s="262" t="s">
        <v>4249</v>
      </c>
      <c r="N1623" s="262" t="s">
        <v>4249</v>
      </c>
    </row>
    <row r="1624" spans="1:14" ht="12.75" customHeight="1" x14ac:dyDescent="0.2">
      <c r="A1624" s="38"/>
      <c r="B1624" s="38"/>
      <c r="C1624" s="38" t="s">
        <v>2738</v>
      </c>
      <c r="D1624" s="17"/>
      <c r="E1624" s="17"/>
      <c r="F1624" s="17"/>
      <c r="G1624" s="146" t="s">
        <v>2739</v>
      </c>
      <c r="H1624" s="38" t="s">
        <v>1359</v>
      </c>
      <c r="I1624" s="239" t="str">
        <f>IF(ISBLANK(global!I137),"",global!I137)</f>
        <v/>
      </c>
      <c r="K1624" s="262" t="s">
        <v>4249</v>
      </c>
      <c r="N1624" s="262" t="s">
        <v>4249</v>
      </c>
    </row>
    <row r="1625" spans="1:14" ht="12.75" customHeight="1" x14ac:dyDescent="0.2">
      <c r="A1625" s="146"/>
      <c r="B1625" s="146"/>
      <c r="C1625" s="38" t="s">
        <v>1365</v>
      </c>
      <c r="D1625" s="17"/>
      <c r="E1625" s="17"/>
      <c r="F1625" s="17"/>
      <c r="G1625" s="38" t="s">
        <v>2740</v>
      </c>
      <c r="H1625" s="38" t="s">
        <v>296</v>
      </c>
      <c r="I1625" s="239" t="str">
        <f>IF(ISBLANK(global!I138),"",global!I138)</f>
        <v/>
      </c>
      <c r="K1625" s="262" t="s">
        <v>4249</v>
      </c>
      <c r="N1625" s="262" t="s">
        <v>4249</v>
      </c>
    </row>
    <row r="1626" spans="1:14" ht="12.75" customHeight="1" x14ac:dyDescent="0.2">
      <c r="A1626" s="38"/>
      <c r="B1626" s="38" t="s">
        <v>2741</v>
      </c>
      <c r="C1626" s="17"/>
      <c r="D1626" s="17"/>
      <c r="E1626" s="17"/>
      <c r="F1626" s="17"/>
      <c r="G1626" s="38" t="s">
        <v>2742</v>
      </c>
      <c r="H1626" s="38" t="s">
        <v>624</v>
      </c>
      <c r="I1626" s="239" t="str">
        <f>IF(ISBLANK(global!I139),"",global!I139)</f>
        <v/>
      </c>
      <c r="K1626" s="262" t="s">
        <v>4249</v>
      </c>
      <c r="N1626" s="262" t="s">
        <v>4249</v>
      </c>
    </row>
    <row r="1627" spans="1:14" ht="12.75" customHeight="1" x14ac:dyDescent="0.2">
      <c r="A1627" s="38"/>
      <c r="B1627" s="38" t="s">
        <v>2743</v>
      </c>
      <c r="C1627" s="17"/>
      <c r="D1627" s="17"/>
      <c r="E1627" s="17"/>
      <c r="F1627" s="17"/>
      <c r="G1627" s="38" t="s">
        <v>2744</v>
      </c>
      <c r="H1627" s="216" t="s">
        <v>624</v>
      </c>
      <c r="I1627" s="239" t="str">
        <f>IF(ISBLANK(global!I140),"",global!I140)</f>
        <v/>
      </c>
      <c r="K1627" s="262" t="s">
        <v>4249</v>
      </c>
      <c r="N1627" s="262" t="s">
        <v>4249</v>
      </c>
    </row>
    <row r="1628" spans="1:14" ht="12.75" customHeight="1" x14ac:dyDescent="0.2">
      <c r="A1628" s="17"/>
      <c r="B1628" s="17"/>
      <c r="C1628" s="38" t="s">
        <v>2745</v>
      </c>
      <c r="D1628" s="17"/>
      <c r="E1628" s="17"/>
      <c r="F1628" s="17"/>
      <c r="G1628" s="146" t="s">
        <v>2746</v>
      </c>
      <c r="H1628" s="38" t="s">
        <v>296</v>
      </c>
      <c r="I1628" s="239" t="str">
        <f>IF(ISBLANK(global!I141),"",global!I141)</f>
        <v/>
      </c>
      <c r="K1628" s="262" t="s">
        <v>4249</v>
      </c>
      <c r="N1628" s="262" t="s">
        <v>4249</v>
      </c>
    </row>
    <row r="1629" spans="1:14" ht="12.75" customHeight="1" x14ac:dyDescent="0.2">
      <c r="A1629" s="38"/>
      <c r="B1629" s="38"/>
      <c r="C1629" s="17" t="s">
        <v>1236</v>
      </c>
      <c r="D1629" s="17"/>
      <c r="E1629" s="146"/>
      <c r="F1629" s="146"/>
      <c r="G1629" s="38" t="s">
        <v>2747</v>
      </c>
      <c r="H1629" s="17" t="s">
        <v>296</v>
      </c>
      <c r="I1629" s="239" t="str">
        <f>IF(ISBLANK(global!I142),"",global!I142)</f>
        <v/>
      </c>
      <c r="K1629" s="262" t="s">
        <v>4249</v>
      </c>
      <c r="N1629" s="262" t="s">
        <v>4249</v>
      </c>
    </row>
    <row r="1630" spans="1:14" ht="12.75" customHeight="1" x14ac:dyDescent="0.2">
      <c r="G1630"/>
      <c r="I1630" s="239" t="str">
        <f>IF(ISBLANK(global!I143),"",global!I143)</f>
        <v/>
      </c>
      <c r="K1630" s="262" t="s">
        <v>4249</v>
      </c>
      <c r="N1630" s="262" t="s">
        <v>4249</v>
      </c>
    </row>
    <row r="1631" spans="1:14" ht="12.75" customHeight="1" x14ac:dyDescent="0.2">
      <c r="A1631" s="487"/>
      <c r="B1631" s="487"/>
      <c r="C1631" s="487"/>
      <c r="D1631" s="487"/>
      <c r="E1631" s="487"/>
      <c r="F1631" s="487"/>
      <c r="G1631" s="487"/>
      <c r="H1631" s="651"/>
      <c r="I1631" s="239" t="str">
        <f>IF(ISBLANK(global!I144),"",global!I144)</f>
        <v/>
      </c>
      <c r="K1631" s="262" t="s">
        <v>4249</v>
      </c>
      <c r="N1631" s="262" t="s">
        <v>4249</v>
      </c>
    </row>
    <row r="1632" spans="1:14" ht="12.75" customHeight="1" x14ac:dyDescent="0.2">
      <c r="A1632" s="631" t="s">
        <v>1389</v>
      </c>
      <c r="B1632" s="413"/>
      <c r="C1632" s="413"/>
      <c r="D1632" s="413"/>
      <c r="E1632" s="413"/>
      <c r="F1632" s="413"/>
      <c r="G1632" s="631" t="s">
        <v>263</v>
      </c>
      <c r="H1632" s="631" t="s">
        <v>279</v>
      </c>
      <c r="I1632" s="239" t="str">
        <f>IF(ISBLANK(global!I145),"",global!I145)</f>
        <v>User input</v>
      </c>
      <c r="K1632" s="262" t="s">
        <v>264</v>
      </c>
      <c r="N1632" s="262" t="s">
        <v>264</v>
      </c>
    </row>
    <row r="1633" spans="1:14" ht="12.75" customHeight="1" x14ac:dyDescent="0.2">
      <c r="A1633" s="410" t="s">
        <v>2748</v>
      </c>
      <c r="B1633" s="410"/>
      <c r="C1633" s="410"/>
      <c r="D1633" s="410"/>
      <c r="E1633" s="410"/>
      <c r="F1633" s="410"/>
      <c r="G1633" s="655"/>
      <c r="H1633" s="655"/>
      <c r="I1633" s="239" t="str">
        <f>IF(ISBLANK(global!I146),"",global!I146)</f>
        <v/>
      </c>
      <c r="K1633" s="262" t="s">
        <v>4249</v>
      </c>
      <c r="N1633" s="262" t="s">
        <v>4249</v>
      </c>
    </row>
    <row r="1634" spans="1:14" ht="12.75" customHeight="1" x14ac:dyDescent="0.2">
      <c r="A1634" s="567" t="s">
        <v>1393</v>
      </c>
      <c r="B1634" s="567"/>
      <c r="C1634" s="567"/>
      <c r="D1634" s="567"/>
      <c r="E1634" s="567"/>
      <c r="F1634" s="567"/>
      <c r="G1634" s="567" t="s">
        <v>2749</v>
      </c>
      <c r="H1634" s="568" t="s">
        <v>340</v>
      </c>
      <c r="I1634" s="239" t="str">
        <f>IF(ISBLANK(global!I147),"",global!I147)</f>
        <v/>
      </c>
      <c r="K1634" s="262" t="s">
        <v>4249</v>
      </c>
      <c r="N1634" s="262" t="s">
        <v>4249</v>
      </c>
    </row>
    <row r="1635" spans="1:14" ht="12.75" customHeight="1" x14ac:dyDescent="0.2">
      <c r="A1635" s="567"/>
      <c r="B1635" s="567" t="s">
        <v>1396</v>
      </c>
      <c r="C1635" s="567"/>
      <c r="D1635" s="567"/>
      <c r="E1635" s="567"/>
      <c r="F1635" s="567"/>
      <c r="G1635" s="567" t="s">
        <v>2750</v>
      </c>
      <c r="H1635" s="567" t="s">
        <v>340</v>
      </c>
      <c r="I1635" s="239" t="str">
        <f>IF(ISBLANK(global!I148),"",global!I148)</f>
        <v/>
      </c>
      <c r="K1635" s="262" t="s">
        <v>4249</v>
      </c>
      <c r="N1635" s="262" t="s">
        <v>4249</v>
      </c>
    </row>
    <row r="1636" spans="1:14" ht="12.75" customHeight="1" x14ac:dyDescent="0.2">
      <c r="A1636" s="567"/>
      <c r="B1636" s="567"/>
      <c r="C1636" s="567" t="s">
        <v>713</v>
      </c>
      <c r="D1636" s="567"/>
      <c r="E1636" s="567"/>
      <c r="F1636" s="567"/>
      <c r="G1636" s="567" t="s">
        <v>2751</v>
      </c>
      <c r="H1636" s="568" t="s">
        <v>715</v>
      </c>
      <c r="I1636" s="239" t="str">
        <f>IF(ISBLANK(global!I149),"",global!I149)</f>
        <v/>
      </c>
      <c r="K1636" s="262" t="s">
        <v>4249</v>
      </c>
      <c r="N1636" s="262" t="s">
        <v>4249</v>
      </c>
    </row>
    <row r="1637" spans="1:14" ht="12.75" customHeight="1" x14ac:dyDescent="0.2">
      <c r="A1637" s="567"/>
      <c r="B1637" s="567"/>
      <c r="C1637" s="567" t="s">
        <v>1403</v>
      </c>
      <c r="D1637" s="567"/>
      <c r="E1637" s="567"/>
      <c r="F1637" s="567"/>
      <c r="G1637" s="568" t="s">
        <v>2752</v>
      </c>
      <c r="H1637" s="568" t="s">
        <v>873</v>
      </c>
      <c r="I1637" s="239" t="str">
        <f>IF(ISBLANK(global!I150),"",global!I150)</f>
        <v/>
      </c>
      <c r="K1637" s="262" t="s">
        <v>4249</v>
      </c>
      <c r="N1637" s="262" t="s">
        <v>4249</v>
      </c>
    </row>
    <row r="1638" spans="1:14" ht="12.75" customHeight="1" x14ac:dyDescent="0.2">
      <c r="A1638" s="567"/>
      <c r="B1638" s="567"/>
      <c r="C1638" s="567" t="s">
        <v>1401</v>
      </c>
      <c r="D1638" s="567"/>
      <c r="E1638" s="567"/>
      <c r="F1638" s="567"/>
      <c r="G1638" s="567" t="s">
        <v>2753</v>
      </c>
      <c r="H1638" s="567" t="s">
        <v>907</v>
      </c>
      <c r="I1638" s="239" t="str">
        <f>IF(ISBLANK(global!I151),"",global!I151)</f>
        <v/>
      </c>
      <c r="K1638" s="262" t="s">
        <v>4249</v>
      </c>
      <c r="N1638" s="262" t="s">
        <v>4249</v>
      </c>
    </row>
    <row r="1639" spans="1:14" ht="12.75" customHeight="1" x14ac:dyDescent="0.2">
      <c r="A1639" s="567"/>
      <c r="B1639" s="567"/>
      <c r="C1639" s="567" t="s">
        <v>1398</v>
      </c>
      <c r="D1639" s="567"/>
      <c r="E1639" s="567"/>
      <c r="F1639" s="567"/>
      <c r="G1639" s="568" t="s">
        <v>2754</v>
      </c>
      <c r="H1639" s="568" t="s">
        <v>296</v>
      </c>
      <c r="I1639" s="239" t="str">
        <f>IF(ISBLANK(global!I152),"",global!I152)</f>
        <v/>
      </c>
      <c r="K1639" s="262" t="s">
        <v>4249</v>
      </c>
      <c r="N1639" s="262" t="s">
        <v>4249</v>
      </c>
    </row>
    <row r="1640" spans="1:14" ht="12.75" customHeight="1" x14ac:dyDescent="0.2">
      <c r="A1640" s="567" t="s">
        <v>1405</v>
      </c>
      <c r="B1640" s="567"/>
      <c r="C1640" s="567"/>
      <c r="D1640" s="567"/>
      <c r="E1640" s="567"/>
      <c r="F1640" s="567"/>
      <c r="G1640" s="567" t="s">
        <v>2755</v>
      </c>
      <c r="H1640" s="567" t="s">
        <v>340</v>
      </c>
      <c r="I1640" s="239" t="str">
        <f>IF(ISBLANK(global!I153),"",global!I153)</f>
        <v/>
      </c>
      <c r="K1640" s="262" t="s">
        <v>4249</v>
      </c>
      <c r="N1640" s="262" t="s">
        <v>4249</v>
      </c>
    </row>
    <row r="1641" spans="1:14" ht="12.75" customHeight="1" x14ac:dyDescent="0.2">
      <c r="A1641" s="567"/>
      <c r="B1641" s="567"/>
      <c r="C1641" s="567" t="s">
        <v>717</v>
      </c>
      <c r="D1641" s="567"/>
      <c r="E1641" s="567"/>
      <c r="F1641" s="567"/>
      <c r="G1641" s="567" t="s">
        <v>2756</v>
      </c>
      <c r="H1641" s="568" t="s">
        <v>715</v>
      </c>
      <c r="I1641" s="239" t="str">
        <f>IF(ISBLANK(global!I154),"",global!I154)</f>
        <v/>
      </c>
      <c r="K1641" s="262" t="s">
        <v>4249</v>
      </c>
      <c r="N1641" s="262" t="s">
        <v>4249</v>
      </c>
    </row>
    <row r="1642" spans="1:14" ht="12.75" customHeight="1" x14ac:dyDescent="0.2">
      <c r="A1642" s="567"/>
      <c r="B1642" s="567"/>
      <c r="C1642" s="567" t="s">
        <v>1407</v>
      </c>
      <c r="D1642" s="567"/>
      <c r="E1642" s="567"/>
      <c r="F1642" s="567"/>
      <c r="G1642" s="568" t="s">
        <v>2757</v>
      </c>
      <c r="H1642" s="568" t="s">
        <v>873</v>
      </c>
      <c r="I1642" s="239" t="str">
        <f>IF(ISBLANK(global!I155),"",global!I155)</f>
        <v/>
      </c>
      <c r="K1642" s="262" t="s">
        <v>4249</v>
      </c>
      <c r="N1642" s="262" t="s">
        <v>4249</v>
      </c>
    </row>
    <row r="1643" spans="1:14" ht="12.75" customHeight="1" x14ac:dyDescent="0.2">
      <c r="A1643" s="567"/>
      <c r="B1643" s="567"/>
      <c r="C1643" s="567" t="s">
        <v>1409</v>
      </c>
      <c r="D1643" s="567"/>
      <c r="E1643" s="567"/>
      <c r="F1643" s="567"/>
      <c r="G1643" s="567" t="s">
        <v>2758</v>
      </c>
      <c r="H1643" s="567" t="s">
        <v>907</v>
      </c>
      <c r="I1643" s="239" t="str">
        <f>IF(ISBLANK(global!I156),"",global!I156)</f>
        <v/>
      </c>
      <c r="K1643" s="262" t="s">
        <v>4249</v>
      </c>
      <c r="N1643" s="262" t="s">
        <v>4249</v>
      </c>
    </row>
    <row r="1644" spans="1:14" ht="12.75" customHeight="1" x14ac:dyDescent="0.2">
      <c r="A1644" s="567"/>
      <c r="B1644" s="567"/>
      <c r="C1644" s="567" t="s">
        <v>1411</v>
      </c>
      <c r="D1644" s="567"/>
      <c r="E1644" s="567"/>
      <c r="F1644" s="567"/>
      <c r="G1644" s="568" t="s">
        <v>2759</v>
      </c>
      <c r="H1644" s="568" t="s">
        <v>296</v>
      </c>
      <c r="I1644" s="239" t="str">
        <f>IF(ISBLANK(global!I157),"",global!I157)</f>
        <v/>
      </c>
      <c r="K1644" s="262" t="s">
        <v>4249</v>
      </c>
      <c r="N1644" s="262" t="s">
        <v>4249</v>
      </c>
    </row>
    <row r="1645" spans="1:14" ht="12.75" customHeight="1" x14ac:dyDescent="0.2">
      <c r="A1645" s="567" t="s">
        <v>1413</v>
      </c>
      <c r="B1645" s="567"/>
      <c r="C1645" s="567"/>
      <c r="D1645" s="567"/>
      <c r="E1645" s="567"/>
      <c r="F1645" s="567"/>
      <c r="G1645" s="568" t="s">
        <v>2760</v>
      </c>
      <c r="H1645" s="568" t="s">
        <v>340</v>
      </c>
      <c r="I1645" s="239" t="str">
        <f>IF(ISBLANK(global!I158),"",global!I158)</f>
        <v/>
      </c>
      <c r="K1645" s="262" t="s">
        <v>4249</v>
      </c>
      <c r="N1645" s="262" t="s">
        <v>4249</v>
      </c>
    </row>
    <row r="1646" spans="1:14" ht="12.75" customHeight="1" x14ac:dyDescent="0.2">
      <c r="A1646" s="567"/>
      <c r="B1646" s="567" t="s">
        <v>719</v>
      </c>
      <c r="C1646" s="567"/>
      <c r="D1646" s="567"/>
      <c r="E1646" s="567"/>
      <c r="F1646" s="567"/>
      <c r="G1646" s="567" t="s">
        <v>2761</v>
      </c>
      <c r="H1646" s="568" t="s">
        <v>715</v>
      </c>
      <c r="I1646" s="239" t="str">
        <f>IF(ISBLANK(global!I159),"",global!I159)</f>
        <v/>
      </c>
      <c r="K1646" s="262" t="s">
        <v>4249</v>
      </c>
      <c r="N1646" s="262" t="s">
        <v>4249</v>
      </c>
    </row>
    <row r="1647" spans="1:14" ht="12.75" customHeight="1" x14ac:dyDescent="0.2">
      <c r="A1647" s="567"/>
      <c r="B1647" s="567" t="s">
        <v>1415</v>
      </c>
      <c r="C1647" s="567"/>
      <c r="D1647" s="567"/>
      <c r="E1647" s="567"/>
      <c r="F1647" s="567"/>
      <c r="G1647" s="568" t="s">
        <v>2762</v>
      </c>
      <c r="H1647" s="568" t="s">
        <v>873</v>
      </c>
      <c r="I1647" s="239" t="str">
        <f>IF(ISBLANK(global!I160),"",global!I160)</f>
        <v/>
      </c>
      <c r="K1647" s="262" t="s">
        <v>4249</v>
      </c>
      <c r="N1647" s="262" t="s">
        <v>4249</v>
      </c>
    </row>
    <row r="1648" spans="1:14" ht="12.75" customHeight="1" x14ac:dyDescent="0.2">
      <c r="A1648" s="567"/>
      <c r="B1648" s="567" t="s">
        <v>1417</v>
      </c>
      <c r="C1648" s="567"/>
      <c r="D1648" s="567"/>
      <c r="E1648" s="567"/>
      <c r="F1648" s="567"/>
      <c r="G1648" s="567" t="s">
        <v>2763</v>
      </c>
      <c r="H1648" s="567" t="s">
        <v>907</v>
      </c>
      <c r="I1648" s="239" t="str">
        <f>IF(ISBLANK(global!I161),"",global!I161)</f>
        <v/>
      </c>
      <c r="K1648" s="262" t="s">
        <v>4249</v>
      </c>
      <c r="N1648" s="262" t="s">
        <v>4249</v>
      </c>
    </row>
    <row r="1649" spans="1:14" ht="12.75" customHeight="1" x14ac:dyDescent="0.2">
      <c r="A1649" s="567"/>
      <c r="B1649" s="567" t="s">
        <v>1419</v>
      </c>
      <c r="C1649" s="567"/>
      <c r="D1649" s="567"/>
      <c r="E1649" s="567"/>
      <c r="F1649" s="567"/>
      <c r="G1649" s="568" t="s">
        <v>2764</v>
      </c>
      <c r="H1649" s="568" t="s">
        <v>296</v>
      </c>
      <c r="I1649" s="239" t="str">
        <f>IF(ISBLANK(global!I162),"",global!I162)</f>
        <v/>
      </c>
      <c r="K1649" s="262" t="s">
        <v>4249</v>
      </c>
      <c r="N1649" s="262" t="s">
        <v>4249</v>
      </c>
    </row>
    <row r="1650" spans="1:14" ht="12.75" customHeight="1" x14ac:dyDescent="0.2">
      <c r="A1650" s="410" t="s">
        <v>2765</v>
      </c>
      <c r="B1650" s="410"/>
      <c r="C1650" s="410"/>
      <c r="D1650" s="410"/>
      <c r="E1650" s="410"/>
      <c r="F1650" s="410"/>
      <c r="G1650" s="655"/>
      <c r="H1650" s="655"/>
      <c r="I1650" s="239" t="str">
        <f>IF(ISBLANK(global!I163),"",global!I163)</f>
        <v/>
      </c>
      <c r="K1650" s="262" t="s">
        <v>4249</v>
      </c>
      <c r="N1650" s="262" t="s">
        <v>4249</v>
      </c>
    </row>
    <row r="1651" spans="1:14" ht="12.75" customHeight="1" x14ac:dyDescent="0.2">
      <c r="A1651" s="567" t="s">
        <v>1444</v>
      </c>
      <c r="B1651" s="567"/>
      <c r="C1651" s="567"/>
      <c r="D1651" s="567"/>
      <c r="E1651" s="567"/>
      <c r="F1651" s="567"/>
      <c r="G1651" s="568" t="s">
        <v>2766</v>
      </c>
      <c r="H1651" s="568" t="s">
        <v>340</v>
      </c>
      <c r="I1651" s="239" t="str">
        <f>IF(ISBLANK(global!I164),"",global!I164)</f>
        <v/>
      </c>
      <c r="K1651" s="262" t="s">
        <v>4249</v>
      </c>
      <c r="N1651" s="262" t="s">
        <v>4249</v>
      </c>
    </row>
    <row r="1652" spans="1:14" ht="12.75" customHeight="1" x14ac:dyDescent="0.2">
      <c r="A1652" s="567"/>
      <c r="B1652" s="567" t="s">
        <v>1446</v>
      </c>
      <c r="C1652" s="567"/>
      <c r="D1652" s="567"/>
      <c r="E1652" s="567"/>
      <c r="F1652" s="567"/>
      <c r="G1652" s="568" t="s">
        <v>2767</v>
      </c>
      <c r="H1652" s="568" t="s">
        <v>715</v>
      </c>
      <c r="I1652" s="239" t="str">
        <f>IF(ISBLANK(global!I165),"",global!I165)</f>
        <v/>
      </c>
      <c r="K1652" s="262" t="s">
        <v>4249</v>
      </c>
      <c r="N1652" s="262" t="s">
        <v>4249</v>
      </c>
    </row>
    <row r="1653" spans="1:14" ht="12.75" customHeight="1" x14ac:dyDescent="0.2">
      <c r="A1653" s="567"/>
      <c r="B1653" s="567" t="s">
        <v>1449</v>
      </c>
      <c r="C1653" s="567"/>
      <c r="D1653" s="567"/>
      <c r="E1653" s="567"/>
      <c r="F1653" s="567"/>
      <c r="G1653" s="568" t="s">
        <v>2768</v>
      </c>
      <c r="H1653" s="568" t="s">
        <v>340</v>
      </c>
      <c r="I1653" s="239" t="str">
        <f>IF(ISBLANK(global!I166),"",global!I166)</f>
        <v/>
      </c>
      <c r="K1653" s="262" t="s">
        <v>4249</v>
      </c>
      <c r="N1653" s="262" t="s">
        <v>4249</v>
      </c>
    </row>
    <row r="1654" spans="1:14" ht="12.75" customHeight="1" x14ac:dyDescent="0.2">
      <c r="A1654" s="567"/>
      <c r="B1654" s="567"/>
      <c r="C1654" s="567" t="s">
        <v>1428</v>
      </c>
      <c r="D1654" s="567"/>
      <c r="E1654" s="567"/>
      <c r="F1654" s="567"/>
      <c r="G1654" s="568" t="s">
        <v>2769</v>
      </c>
      <c r="H1654" s="568" t="s">
        <v>340</v>
      </c>
      <c r="I1654" s="239" t="str">
        <f>IF(ISBLANK(global!I167),"",global!I167)</f>
        <v/>
      </c>
      <c r="K1654" s="262" t="s">
        <v>4249</v>
      </c>
      <c r="N1654" s="262" t="s">
        <v>4249</v>
      </c>
    </row>
    <row r="1655" spans="1:14" ht="12.75" customHeight="1" x14ac:dyDescent="0.2">
      <c r="A1655" s="567"/>
      <c r="B1655" s="567"/>
      <c r="C1655" s="567"/>
      <c r="D1655" s="567" t="s">
        <v>1452</v>
      </c>
      <c r="E1655" s="567"/>
      <c r="F1655" s="567"/>
      <c r="G1655" s="568" t="s">
        <v>2770</v>
      </c>
      <c r="H1655" s="568" t="s">
        <v>340</v>
      </c>
      <c r="I1655" s="239" t="str">
        <f>IF(ISBLANK(global!I168),"",global!I168)</f>
        <v/>
      </c>
      <c r="K1655" s="262" t="s">
        <v>4249</v>
      </c>
      <c r="N1655" s="262" t="s">
        <v>4249</v>
      </c>
    </row>
    <row r="1656" spans="1:14" ht="12.75" customHeight="1" x14ac:dyDescent="0.2">
      <c r="A1656" s="567" t="s">
        <v>1444</v>
      </c>
      <c r="B1656" s="567"/>
      <c r="C1656" s="567"/>
      <c r="D1656" s="567"/>
      <c r="E1656" s="567"/>
      <c r="F1656" s="567"/>
      <c r="G1656" s="568" t="s">
        <v>2771</v>
      </c>
      <c r="H1656" s="568" t="s">
        <v>340</v>
      </c>
      <c r="I1656" s="239" t="str">
        <f>IF(ISBLANK(global!I169),"",global!I169)</f>
        <v/>
      </c>
      <c r="K1656" s="262" t="s">
        <v>4249</v>
      </c>
      <c r="N1656" s="262" t="s">
        <v>4249</v>
      </c>
    </row>
    <row r="1657" spans="1:14" ht="12.75" customHeight="1" x14ac:dyDescent="0.2">
      <c r="A1657" s="567"/>
      <c r="B1657" s="567" t="s">
        <v>1446</v>
      </c>
      <c r="C1657" s="567"/>
      <c r="D1657" s="567"/>
      <c r="E1657" s="567"/>
      <c r="F1657" s="567"/>
      <c r="G1657" s="568" t="s">
        <v>2772</v>
      </c>
      <c r="H1657" s="568" t="s">
        <v>715</v>
      </c>
      <c r="I1657" s="239" t="str">
        <f>IF(ISBLANK(global!I170),"",global!I170)</f>
        <v/>
      </c>
      <c r="K1657" s="262" t="s">
        <v>4249</v>
      </c>
      <c r="N1657" s="262" t="s">
        <v>4249</v>
      </c>
    </row>
    <row r="1658" spans="1:14" ht="12.75" customHeight="1" x14ac:dyDescent="0.2">
      <c r="A1658" s="567"/>
      <c r="B1658" s="567" t="s">
        <v>1449</v>
      </c>
      <c r="C1658" s="567"/>
      <c r="D1658" s="567"/>
      <c r="E1658" s="567"/>
      <c r="F1658" s="567"/>
      <c r="G1658" s="568" t="s">
        <v>2773</v>
      </c>
      <c r="H1658" s="568" t="s">
        <v>340</v>
      </c>
      <c r="I1658" s="239" t="str">
        <f>IF(ISBLANK(global!I171),"",global!I171)</f>
        <v/>
      </c>
      <c r="K1658" s="262" t="s">
        <v>4249</v>
      </c>
      <c r="N1658" s="262" t="s">
        <v>4249</v>
      </c>
    </row>
    <row r="1659" spans="1:14" ht="12.75" customHeight="1" x14ac:dyDescent="0.2">
      <c r="A1659" s="567"/>
      <c r="B1659" s="567"/>
      <c r="C1659" s="567" t="s">
        <v>1428</v>
      </c>
      <c r="D1659" s="567"/>
      <c r="E1659" s="567"/>
      <c r="F1659" s="567"/>
      <c r="G1659" s="568" t="s">
        <v>2774</v>
      </c>
      <c r="H1659" s="568" t="s">
        <v>340</v>
      </c>
      <c r="I1659" s="239" t="str">
        <f>IF(ISBLANK(global!I172),"",global!I172)</f>
        <v/>
      </c>
      <c r="K1659" s="262" t="s">
        <v>4249</v>
      </c>
      <c r="N1659" s="262" t="s">
        <v>4249</v>
      </c>
    </row>
    <row r="1660" spans="1:14" ht="12.75" customHeight="1" x14ac:dyDescent="0.2">
      <c r="A1660" s="567"/>
      <c r="B1660" s="567"/>
      <c r="C1660" s="567"/>
      <c r="D1660" s="567" t="s">
        <v>1452</v>
      </c>
      <c r="E1660" s="567"/>
      <c r="F1660" s="567"/>
      <c r="G1660" s="568" t="s">
        <v>2775</v>
      </c>
      <c r="H1660" s="568" t="s">
        <v>340</v>
      </c>
      <c r="I1660" s="239" t="str">
        <f>IF(ISBLANK(global!I173),"",global!I173)</f>
        <v/>
      </c>
      <c r="K1660" s="262" t="s">
        <v>4249</v>
      </c>
      <c r="N1660" s="262" t="s">
        <v>4249</v>
      </c>
    </row>
    <row r="1661" spans="1:14" ht="12.75" customHeight="1" x14ac:dyDescent="0.2">
      <c r="A1661" s="567"/>
      <c r="B1661" s="567"/>
      <c r="C1661" s="567" t="s">
        <v>1454</v>
      </c>
      <c r="D1661" s="567"/>
      <c r="E1661" s="567"/>
      <c r="F1661" s="567"/>
      <c r="G1661" s="567" t="s">
        <v>2776</v>
      </c>
      <c r="H1661" s="567" t="s">
        <v>340</v>
      </c>
      <c r="I1661" s="239" t="str">
        <f>IF(ISBLANK(global!I174),"",global!I174)</f>
        <v/>
      </c>
      <c r="K1661" s="262" t="s">
        <v>4249</v>
      </c>
      <c r="N1661" s="262" t="s">
        <v>4249</v>
      </c>
    </row>
    <row r="1662" spans="1:14" ht="12.75" customHeight="1" x14ac:dyDescent="0.2">
      <c r="A1662" s="567"/>
      <c r="B1662" s="567"/>
      <c r="C1662" s="567" t="s">
        <v>1456</v>
      </c>
      <c r="D1662" s="567"/>
      <c r="E1662" s="567"/>
      <c r="F1662" s="567"/>
      <c r="G1662" s="568" t="s">
        <v>2777</v>
      </c>
      <c r="H1662" s="568" t="s">
        <v>340</v>
      </c>
      <c r="I1662" s="239" t="str">
        <f>IF(ISBLANK(global!I175),"",global!I175)</f>
        <v/>
      </c>
      <c r="K1662" s="262" t="s">
        <v>4249</v>
      </c>
      <c r="N1662" s="262" t="s">
        <v>4249</v>
      </c>
    </row>
    <row r="1663" spans="1:14" ht="12.75" customHeight="1" x14ac:dyDescent="0.2">
      <c r="A1663" s="567" t="s">
        <v>1476</v>
      </c>
      <c r="B1663" s="567"/>
      <c r="C1663" s="567"/>
      <c r="D1663" s="567"/>
      <c r="E1663" s="567"/>
      <c r="F1663" s="567"/>
      <c r="G1663" s="568" t="s">
        <v>2778</v>
      </c>
      <c r="H1663" s="568" t="s">
        <v>340</v>
      </c>
      <c r="I1663" s="239" t="str">
        <f>IF(ISBLANK(global!I176),"",global!I176)</f>
        <v/>
      </c>
      <c r="K1663" s="262" t="s">
        <v>4249</v>
      </c>
      <c r="N1663" s="262" t="s">
        <v>4249</v>
      </c>
    </row>
    <row r="1664" spans="1:14" ht="12.75" customHeight="1" x14ac:dyDescent="0.2">
      <c r="A1664" s="567"/>
      <c r="B1664" s="567" t="s">
        <v>1478</v>
      </c>
      <c r="C1664" s="567"/>
      <c r="D1664" s="567"/>
      <c r="E1664" s="567"/>
      <c r="F1664" s="567"/>
      <c r="G1664" s="568" t="s">
        <v>2779</v>
      </c>
      <c r="H1664" s="568" t="s">
        <v>715</v>
      </c>
      <c r="I1664" s="239" t="str">
        <f>IF(ISBLANK(global!I177),"",global!I177)</f>
        <v/>
      </c>
      <c r="K1664" s="262" t="s">
        <v>4249</v>
      </c>
      <c r="N1664" s="262" t="s">
        <v>4249</v>
      </c>
    </row>
    <row r="1665" spans="1:14" ht="12.75" customHeight="1" x14ac:dyDescent="0.2">
      <c r="A1665" s="567"/>
      <c r="B1665" s="567" t="s">
        <v>1481</v>
      </c>
      <c r="C1665" s="567"/>
      <c r="D1665" s="567"/>
      <c r="E1665" s="567"/>
      <c r="F1665" s="567"/>
      <c r="G1665" s="568" t="s">
        <v>2780</v>
      </c>
      <c r="H1665" s="567" t="s">
        <v>340</v>
      </c>
      <c r="I1665" s="239" t="str">
        <f>IF(ISBLANK(global!I178),"",global!I178)</f>
        <v/>
      </c>
      <c r="K1665" s="262" t="s">
        <v>4249</v>
      </c>
      <c r="N1665" s="262" t="s">
        <v>4249</v>
      </c>
    </row>
    <row r="1666" spans="1:14" ht="12.75" customHeight="1" x14ac:dyDescent="0.2">
      <c r="A1666" s="567"/>
      <c r="B1666" s="567"/>
      <c r="C1666" s="567" t="s">
        <v>1466</v>
      </c>
      <c r="D1666" s="567"/>
      <c r="E1666" s="567"/>
      <c r="F1666" s="567"/>
      <c r="G1666" s="568" t="s">
        <v>2781</v>
      </c>
      <c r="H1666" s="568" t="s">
        <v>340</v>
      </c>
      <c r="I1666" s="239" t="str">
        <f>IF(ISBLANK(global!I179),"",global!I179)</f>
        <v/>
      </c>
      <c r="K1666" s="262" t="s">
        <v>4249</v>
      </c>
      <c r="N1666" s="262" t="s">
        <v>4249</v>
      </c>
    </row>
    <row r="1667" spans="1:14" ht="12.75" customHeight="1" x14ac:dyDescent="0.2">
      <c r="A1667" s="567" t="s">
        <v>1476</v>
      </c>
      <c r="B1667" s="567"/>
      <c r="C1667" s="567"/>
      <c r="D1667" s="567"/>
      <c r="E1667" s="567"/>
      <c r="F1667" s="567"/>
      <c r="G1667" s="568" t="s">
        <v>2782</v>
      </c>
      <c r="H1667" s="568" t="s">
        <v>340</v>
      </c>
      <c r="I1667" s="239" t="str">
        <f>IF(ISBLANK(global!I180),"",global!I180)</f>
        <v/>
      </c>
      <c r="K1667" s="262" t="s">
        <v>4249</v>
      </c>
      <c r="N1667" s="262" t="s">
        <v>4249</v>
      </c>
    </row>
    <row r="1668" spans="1:14" ht="12.75" customHeight="1" x14ac:dyDescent="0.2">
      <c r="A1668" s="567"/>
      <c r="B1668" s="567" t="s">
        <v>1478</v>
      </c>
      <c r="C1668" s="567"/>
      <c r="D1668" s="567"/>
      <c r="E1668" s="567"/>
      <c r="F1668" s="567"/>
      <c r="G1668" s="568" t="s">
        <v>2783</v>
      </c>
      <c r="H1668" s="568" t="s">
        <v>715</v>
      </c>
      <c r="I1668" s="239" t="str">
        <f>IF(ISBLANK(global!I181),"",global!I181)</f>
        <v/>
      </c>
      <c r="K1668" s="262" t="s">
        <v>4249</v>
      </c>
      <c r="N1668" s="262" t="s">
        <v>4249</v>
      </c>
    </row>
    <row r="1669" spans="1:14" ht="12.75" customHeight="1" x14ac:dyDescent="0.2">
      <c r="A1669" s="567"/>
      <c r="B1669" s="567" t="s">
        <v>1481</v>
      </c>
      <c r="C1669" s="567"/>
      <c r="D1669" s="567"/>
      <c r="E1669" s="567"/>
      <c r="F1669" s="567"/>
      <c r="G1669" s="568" t="s">
        <v>2784</v>
      </c>
      <c r="H1669" s="567" t="s">
        <v>340</v>
      </c>
      <c r="I1669" s="239" t="str">
        <f>IF(ISBLANK(global!I182),"",global!I182)</f>
        <v/>
      </c>
      <c r="K1669" s="262" t="s">
        <v>4249</v>
      </c>
      <c r="N1669" s="262" t="s">
        <v>4249</v>
      </c>
    </row>
    <row r="1670" spans="1:14" ht="12.75" customHeight="1" x14ac:dyDescent="0.2">
      <c r="A1670" s="567"/>
      <c r="B1670" s="567"/>
      <c r="C1670" s="567" t="s">
        <v>1466</v>
      </c>
      <c r="D1670" s="567"/>
      <c r="E1670" s="567"/>
      <c r="F1670" s="567"/>
      <c r="G1670" s="568" t="s">
        <v>2785</v>
      </c>
      <c r="H1670" s="568" t="s">
        <v>340</v>
      </c>
      <c r="I1670" s="239" t="str">
        <f>IF(ISBLANK(global!I183),"",global!I183)</f>
        <v/>
      </c>
      <c r="K1670" s="262" t="s">
        <v>4249</v>
      </c>
      <c r="N1670" s="262" t="s">
        <v>4249</v>
      </c>
    </row>
    <row r="1671" spans="1:14" ht="12.75" customHeight="1" x14ac:dyDescent="0.2">
      <c r="A1671" s="567"/>
      <c r="B1671" s="567"/>
      <c r="C1671" s="567" t="s">
        <v>1484</v>
      </c>
      <c r="D1671" s="567"/>
      <c r="E1671" s="567"/>
      <c r="F1671" s="567"/>
      <c r="G1671" s="568" t="s">
        <v>2786</v>
      </c>
      <c r="H1671" s="568" t="s">
        <v>340</v>
      </c>
      <c r="I1671" s="239" t="str">
        <f>IF(ISBLANK(global!I184),"",global!I184)</f>
        <v/>
      </c>
      <c r="K1671" s="262" t="s">
        <v>4249</v>
      </c>
      <c r="N1671" s="262" t="s">
        <v>4249</v>
      </c>
    </row>
    <row r="1672" spans="1:14" ht="12.75" customHeight="1" x14ac:dyDescent="0.2">
      <c r="A1672" s="567"/>
      <c r="B1672" s="567"/>
      <c r="C1672" s="567" t="s">
        <v>2255</v>
      </c>
      <c r="D1672" s="567"/>
      <c r="E1672" s="567"/>
      <c r="F1672" s="567"/>
      <c r="G1672" s="568" t="s">
        <v>2787</v>
      </c>
      <c r="H1672" s="568" t="s">
        <v>340</v>
      </c>
      <c r="I1672" s="239" t="str">
        <f>IF(ISBLANK(global!I185),"",global!I185)</f>
        <v/>
      </c>
      <c r="K1672" s="262" t="s">
        <v>4249</v>
      </c>
      <c r="N1672" s="262" t="s">
        <v>4249</v>
      </c>
    </row>
    <row r="1673" spans="1:14" ht="12.75" customHeight="1" x14ac:dyDescent="0.2">
      <c r="A1673" s="410" t="s">
        <v>2788</v>
      </c>
      <c r="I1673" s="239" t="str">
        <f>IF(ISBLANK(global!I186),"",global!I186)</f>
        <v/>
      </c>
      <c r="K1673" s="262" t="s">
        <v>4249</v>
      </c>
      <c r="N1673" s="262" t="s">
        <v>4249</v>
      </c>
    </row>
    <row r="1674" spans="1:14" ht="12.75" customHeight="1" x14ac:dyDescent="0.2">
      <c r="A1674" s="567" t="s">
        <v>2789</v>
      </c>
      <c r="B1674" s="567"/>
      <c r="C1674" s="567"/>
      <c r="D1674" s="567"/>
      <c r="E1674" s="567"/>
      <c r="F1674" s="567"/>
      <c r="G1674" s="568" t="s">
        <v>2790</v>
      </c>
      <c r="H1674" s="568" t="s">
        <v>340</v>
      </c>
      <c r="I1674" s="239" t="str">
        <f>IF(ISBLANK(global!I187),"",global!I187)</f>
        <v/>
      </c>
      <c r="K1674" s="262" t="s">
        <v>4249</v>
      </c>
      <c r="N1674" s="262" t="s">
        <v>4249</v>
      </c>
    </row>
    <row r="1675" spans="1:14" ht="12.75" customHeight="1" x14ac:dyDescent="0.2">
      <c r="A1675" s="567"/>
      <c r="B1675" s="567" t="s">
        <v>1500</v>
      </c>
      <c r="C1675" s="567"/>
      <c r="D1675" s="567"/>
      <c r="E1675" s="567"/>
      <c r="F1675" s="567"/>
      <c r="G1675" s="568" t="s">
        <v>2792</v>
      </c>
      <c r="H1675" s="568" t="s">
        <v>715</v>
      </c>
      <c r="I1675" s="239" t="str">
        <f>IF(ISBLANK(global!I188),"",global!I188)</f>
        <v/>
      </c>
      <c r="K1675" s="262" t="s">
        <v>4249</v>
      </c>
      <c r="N1675" s="262" t="s">
        <v>4249</v>
      </c>
    </row>
    <row r="1676" spans="1:14" ht="12.75" customHeight="1" x14ac:dyDescent="0.2">
      <c r="A1676" s="567"/>
      <c r="B1676" s="567"/>
      <c r="C1676" s="567" t="s">
        <v>1454</v>
      </c>
      <c r="D1676" s="567"/>
      <c r="E1676" s="567"/>
      <c r="F1676" s="567"/>
      <c r="G1676" s="567" t="s">
        <v>2793</v>
      </c>
      <c r="H1676" s="567" t="s">
        <v>340</v>
      </c>
      <c r="I1676" s="239" t="str">
        <f>IF(ISBLANK(global!I189),"",global!I189)</f>
        <v/>
      </c>
      <c r="K1676" s="262" t="s">
        <v>4249</v>
      </c>
      <c r="N1676" s="262" t="s">
        <v>4249</v>
      </c>
    </row>
    <row r="1677" spans="1:14" ht="12.75" customHeight="1" x14ac:dyDescent="0.2">
      <c r="A1677" s="567"/>
      <c r="B1677" s="567"/>
      <c r="C1677" s="567" t="s">
        <v>1456</v>
      </c>
      <c r="D1677" s="567"/>
      <c r="E1677" s="567"/>
      <c r="F1677" s="567"/>
      <c r="G1677" s="568" t="s">
        <v>2794</v>
      </c>
      <c r="H1677" s="568" t="s">
        <v>340</v>
      </c>
      <c r="I1677" s="239" t="str">
        <f>IF(ISBLANK(global!I190),"",global!I190)</f>
        <v/>
      </c>
      <c r="K1677" s="262" t="s">
        <v>4249</v>
      </c>
      <c r="N1677" s="262" t="s">
        <v>4249</v>
      </c>
    </row>
    <row r="1678" spans="1:14" ht="12.75" customHeight="1" x14ac:dyDescent="0.2">
      <c r="A1678" s="567" t="s">
        <v>2795</v>
      </c>
      <c r="B1678" s="567"/>
      <c r="C1678" s="567"/>
      <c r="D1678" s="567"/>
      <c r="E1678" s="567"/>
      <c r="F1678" s="567"/>
      <c r="G1678" s="568" t="s">
        <v>2796</v>
      </c>
      <c r="H1678" s="568" t="s">
        <v>340</v>
      </c>
      <c r="I1678" s="239" t="str">
        <f>IF(ISBLANK(global!I191),"",global!I191)</f>
        <v/>
      </c>
      <c r="K1678" s="262" t="s">
        <v>4249</v>
      </c>
      <c r="N1678" s="262" t="s">
        <v>4249</v>
      </c>
    </row>
    <row r="1679" spans="1:14" ht="12.75" customHeight="1" x14ac:dyDescent="0.2">
      <c r="A1679" s="567"/>
      <c r="B1679" s="567" t="s">
        <v>1511</v>
      </c>
      <c r="C1679" s="567"/>
      <c r="D1679" s="567"/>
      <c r="E1679" s="567"/>
      <c r="F1679" s="567"/>
      <c r="G1679" s="568" t="s">
        <v>2797</v>
      </c>
      <c r="H1679" s="568" t="s">
        <v>1513</v>
      </c>
      <c r="I1679" s="239" t="str">
        <f>IF(ISBLANK(global!I192),"",global!I192)</f>
        <v/>
      </c>
      <c r="K1679" s="262" t="s">
        <v>4249</v>
      </c>
      <c r="N1679" s="262" t="s">
        <v>4249</v>
      </c>
    </row>
    <row r="1680" spans="1:14" ht="12.75" customHeight="1" x14ac:dyDescent="0.2">
      <c r="A1680" s="567"/>
      <c r="B1680" s="567" t="s">
        <v>1514</v>
      </c>
      <c r="C1680" s="567"/>
      <c r="D1680" s="567"/>
      <c r="E1680" s="567"/>
      <c r="F1680" s="567"/>
      <c r="G1680" s="567" t="s">
        <v>2798</v>
      </c>
      <c r="H1680" s="568" t="s">
        <v>873</v>
      </c>
      <c r="I1680" s="239" t="str">
        <f>IF(ISBLANK(global!I193),"",global!I193)</f>
        <v/>
      </c>
      <c r="K1680" s="262" t="s">
        <v>4249</v>
      </c>
      <c r="N1680" s="262" t="s">
        <v>4249</v>
      </c>
    </row>
    <row r="1681" spans="1:14" ht="12.75" customHeight="1" x14ac:dyDescent="0.2">
      <c r="A1681" s="567"/>
      <c r="B1681" s="567" t="s">
        <v>1517</v>
      </c>
      <c r="C1681" s="567"/>
      <c r="D1681" s="567"/>
      <c r="E1681" s="567"/>
      <c r="F1681" s="567"/>
      <c r="G1681" s="568" t="s">
        <v>2799</v>
      </c>
      <c r="H1681" s="568" t="s">
        <v>296</v>
      </c>
      <c r="I1681" s="239" t="str">
        <f>IF(ISBLANK(global!I194),"",global!I194)</f>
        <v/>
      </c>
      <c r="K1681" s="262" t="s">
        <v>4249</v>
      </c>
      <c r="N1681" s="262" t="s">
        <v>4249</v>
      </c>
    </row>
    <row r="1682" spans="1:14" ht="12.75" customHeight="1" x14ac:dyDescent="0.2">
      <c r="A1682" s="567"/>
      <c r="B1682" s="567"/>
      <c r="C1682" s="567" t="s">
        <v>1519</v>
      </c>
      <c r="D1682" s="567"/>
      <c r="E1682" s="567"/>
      <c r="F1682" s="567"/>
      <c r="G1682" s="568" t="s">
        <v>2800</v>
      </c>
      <c r="H1682" s="568" t="s">
        <v>296</v>
      </c>
      <c r="I1682" s="239" t="str">
        <f>IF(ISBLANK(global!I195),"",global!I195)</f>
        <v/>
      </c>
      <c r="K1682" s="262" t="s">
        <v>4249</v>
      </c>
      <c r="N1682" s="262" t="s">
        <v>4249</v>
      </c>
    </row>
    <row r="1683" spans="1:14" ht="12.75" customHeight="1" x14ac:dyDescent="0.2">
      <c r="A1683" s="567"/>
      <c r="B1683" s="567"/>
      <c r="C1683" s="567"/>
      <c r="D1683" s="567" t="s">
        <v>1521</v>
      </c>
      <c r="E1683" s="567"/>
      <c r="F1683" s="567"/>
      <c r="G1683" s="567" t="s">
        <v>2801</v>
      </c>
      <c r="H1683" s="568" t="s">
        <v>296</v>
      </c>
      <c r="I1683" s="239" t="str">
        <f>IF(ISBLANK(global!I196),"",global!I196)</f>
        <v/>
      </c>
      <c r="K1683" s="262" t="s">
        <v>4249</v>
      </c>
      <c r="N1683" s="262" t="s">
        <v>4249</v>
      </c>
    </row>
    <row r="1684" spans="1:14" ht="12.75" customHeight="1" x14ac:dyDescent="0.2">
      <c r="A1684" s="567"/>
      <c r="B1684" s="567"/>
      <c r="C1684" s="567"/>
      <c r="D1684" s="567"/>
      <c r="E1684" s="567" t="s">
        <v>1523</v>
      </c>
      <c r="F1684" s="567"/>
      <c r="G1684" s="567" t="s">
        <v>2802</v>
      </c>
      <c r="H1684" s="568" t="s">
        <v>296</v>
      </c>
      <c r="I1684" s="239" t="str">
        <f>IF(ISBLANK(global!I197),"",global!I197)</f>
        <v/>
      </c>
      <c r="K1684" s="262" t="s">
        <v>4249</v>
      </c>
      <c r="N1684" s="262" t="s">
        <v>4249</v>
      </c>
    </row>
    <row r="1685" spans="1:14" ht="12.75" customHeight="1" x14ac:dyDescent="0.2">
      <c r="A1685" s="567"/>
      <c r="B1685" s="567"/>
      <c r="C1685" s="567"/>
      <c r="D1685" s="567"/>
      <c r="E1685" s="567"/>
      <c r="F1685" s="567" t="s">
        <v>1525</v>
      </c>
      <c r="G1685" s="567" t="s">
        <v>2803</v>
      </c>
      <c r="H1685" s="568" t="s">
        <v>1527</v>
      </c>
      <c r="I1685" s="239" t="str">
        <f>IF(ISBLANK(global!I198),"",global!I198)</f>
        <v/>
      </c>
      <c r="K1685" s="262" t="s">
        <v>4249</v>
      </c>
      <c r="N1685" s="262" t="s">
        <v>4249</v>
      </c>
    </row>
    <row r="1686" spans="1:14" ht="12.75" customHeight="1" x14ac:dyDescent="0.2">
      <c r="A1686" s="567"/>
      <c r="B1686" s="567"/>
      <c r="C1686" s="567" t="s">
        <v>1529</v>
      </c>
      <c r="D1686" s="567"/>
      <c r="E1686" s="567"/>
      <c r="F1686" s="567"/>
      <c r="G1686" s="568" t="s">
        <v>2804</v>
      </c>
      <c r="H1686" s="568" t="s">
        <v>296</v>
      </c>
      <c r="I1686" s="239" t="str">
        <f>IF(ISBLANK(global!I199),"",global!I199)</f>
        <v/>
      </c>
      <c r="K1686" s="262" t="s">
        <v>4249</v>
      </c>
      <c r="N1686" s="262" t="s">
        <v>4249</v>
      </c>
    </row>
    <row r="1687" spans="1:14" ht="12.75" customHeight="1" x14ac:dyDescent="0.2">
      <c r="A1687" s="567"/>
      <c r="B1687" s="567"/>
      <c r="C1687" s="567" t="s">
        <v>1531</v>
      </c>
      <c r="D1687" s="567"/>
      <c r="E1687" s="567"/>
      <c r="F1687" s="567"/>
      <c r="G1687" s="568" t="s">
        <v>2805</v>
      </c>
      <c r="H1687" s="568" t="s">
        <v>296</v>
      </c>
      <c r="I1687" s="239" t="str">
        <f>IF(ISBLANK(global!I200),"",global!I200)</f>
        <v/>
      </c>
      <c r="K1687" s="262" t="s">
        <v>4249</v>
      </c>
      <c r="N1687" s="262" t="s">
        <v>4249</v>
      </c>
    </row>
    <row r="1688" spans="1:14" ht="12.75" customHeight="1" x14ac:dyDescent="0.2">
      <c r="A1688" s="567"/>
      <c r="B1688" s="567"/>
      <c r="C1688" s="567"/>
      <c r="D1688" s="567" t="s">
        <v>1533</v>
      </c>
      <c r="E1688" s="567"/>
      <c r="F1688" s="567"/>
      <c r="G1688" s="567" t="s">
        <v>2806</v>
      </c>
      <c r="H1688" s="568" t="s">
        <v>296</v>
      </c>
      <c r="I1688" s="239" t="str">
        <f>IF(ISBLANK(global!I201),"",global!I201)</f>
        <v/>
      </c>
      <c r="K1688" s="262" t="s">
        <v>4249</v>
      </c>
      <c r="N1688" s="262" t="s">
        <v>4249</v>
      </c>
    </row>
    <row r="1689" spans="1:14" ht="12.75" customHeight="1" x14ac:dyDescent="0.2">
      <c r="A1689" s="567"/>
      <c r="B1689" s="567"/>
      <c r="C1689" s="567"/>
      <c r="D1689" s="567" t="s">
        <v>1535</v>
      </c>
      <c r="E1689" s="567"/>
      <c r="F1689" s="567"/>
      <c r="G1689" s="567" t="s">
        <v>2807</v>
      </c>
      <c r="H1689" s="568" t="s">
        <v>1537</v>
      </c>
      <c r="I1689" s="239" t="str">
        <f>IF(ISBLANK(global!I202),"",global!I202)</f>
        <v/>
      </c>
      <c r="K1689" s="262" t="s">
        <v>4249</v>
      </c>
      <c r="N1689" s="262" t="s">
        <v>4249</v>
      </c>
    </row>
    <row r="1690" spans="1:14" ht="12.75" customHeight="1" x14ac:dyDescent="0.2">
      <c r="A1690" s="567"/>
      <c r="B1690" s="567"/>
      <c r="C1690" s="567"/>
      <c r="D1690" s="567" t="s">
        <v>1538</v>
      </c>
      <c r="E1690" s="567"/>
      <c r="F1690" s="567"/>
      <c r="G1690" s="567" t="s">
        <v>2808</v>
      </c>
      <c r="H1690" s="568" t="s">
        <v>296</v>
      </c>
      <c r="I1690" s="239" t="str">
        <f>IF(ISBLANK(global!I203),"",global!I203)</f>
        <v/>
      </c>
      <c r="K1690" s="262" t="s">
        <v>4249</v>
      </c>
      <c r="N1690" s="262" t="s">
        <v>4249</v>
      </c>
    </row>
    <row r="1691" spans="1:14" ht="12.75" customHeight="1" x14ac:dyDescent="0.2">
      <c r="A1691" s="567"/>
      <c r="B1691" s="567"/>
      <c r="C1691" s="567"/>
      <c r="D1691" s="567" t="s">
        <v>1540</v>
      </c>
      <c r="E1691" s="567"/>
      <c r="F1691" s="567"/>
      <c r="G1691" s="568" t="s">
        <v>2809</v>
      </c>
      <c r="H1691" s="568" t="s">
        <v>296</v>
      </c>
      <c r="I1691" s="239" t="str">
        <f>IF(ISBLANK(global!I204),"",global!I204)</f>
        <v/>
      </c>
      <c r="K1691" s="262" t="s">
        <v>4249</v>
      </c>
      <c r="N1691" s="262" t="s">
        <v>4249</v>
      </c>
    </row>
    <row r="1692" spans="1:14" ht="12.75" customHeight="1" x14ac:dyDescent="0.2">
      <c r="A1692" s="410" t="s">
        <v>2810</v>
      </c>
      <c r="I1692" s="239" t="str">
        <f>IF(ISBLANK(global!I205),"",global!I205)</f>
        <v/>
      </c>
      <c r="K1692" s="262" t="s">
        <v>4249</v>
      </c>
      <c r="N1692" s="262" t="s">
        <v>4249</v>
      </c>
    </row>
    <row r="1693" spans="1:14" ht="12.75" customHeight="1" x14ac:dyDescent="0.2">
      <c r="A1693" s="567" t="s">
        <v>2811</v>
      </c>
      <c r="B1693" s="567"/>
      <c r="C1693" s="567"/>
      <c r="D1693" s="567"/>
      <c r="E1693" s="567"/>
      <c r="F1693" s="567"/>
      <c r="G1693" s="568" t="s">
        <v>2812</v>
      </c>
      <c r="H1693" s="568" t="s">
        <v>340</v>
      </c>
      <c r="I1693" s="239" t="str">
        <f>IF(ISBLANK(global!I206),"",global!I206)</f>
        <v/>
      </c>
      <c r="K1693" s="262" t="s">
        <v>4249</v>
      </c>
      <c r="N1693" s="262" t="s">
        <v>4249</v>
      </c>
    </row>
    <row r="1694" spans="1:14" ht="12.75" customHeight="1" x14ac:dyDescent="0.2">
      <c r="A1694" s="567"/>
      <c r="B1694" s="567" t="s">
        <v>1549</v>
      </c>
      <c r="C1694" s="567"/>
      <c r="D1694" s="567"/>
      <c r="E1694" s="567"/>
      <c r="F1694" s="567"/>
      <c r="G1694" s="568" t="s">
        <v>2814</v>
      </c>
      <c r="H1694" s="568" t="s">
        <v>715</v>
      </c>
      <c r="I1694" s="239" t="str">
        <f>IF(ISBLANK(global!I207),"",global!I207)</f>
        <v/>
      </c>
      <c r="K1694" s="262" t="s">
        <v>4249</v>
      </c>
      <c r="N1694" s="262" t="s">
        <v>4249</v>
      </c>
    </row>
    <row r="1695" spans="1:14" ht="12.75" customHeight="1" x14ac:dyDescent="0.2">
      <c r="A1695" s="567"/>
      <c r="B1695" s="567" t="s">
        <v>734</v>
      </c>
      <c r="C1695" s="567"/>
      <c r="D1695" s="567"/>
      <c r="E1695" s="567"/>
      <c r="F1695" s="567"/>
      <c r="G1695" s="568" t="s">
        <v>2815</v>
      </c>
      <c r="H1695" s="568" t="s">
        <v>736</v>
      </c>
      <c r="I1695" s="239" t="str">
        <f>IF(ISBLANK(global!I208),"",global!I208)</f>
        <v/>
      </c>
      <c r="K1695" s="262" t="s">
        <v>4249</v>
      </c>
      <c r="N1695" s="262" t="s">
        <v>4249</v>
      </c>
    </row>
    <row r="1696" spans="1:14" ht="12.75" customHeight="1" x14ac:dyDescent="0.2">
      <c r="A1696" s="567"/>
      <c r="B1696" s="567" t="s">
        <v>1454</v>
      </c>
      <c r="C1696" s="567"/>
      <c r="D1696" s="567"/>
      <c r="E1696" s="567"/>
      <c r="F1696" s="567"/>
      <c r="G1696" s="568" t="s">
        <v>2816</v>
      </c>
      <c r="H1696" s="568" t="s">
        <v>340</v>
      </c>
      <c r="I1696" s="239" t="str">
        <f>IF(ISBLANK(global!I209),"",global!I209)</f>
        <v/>
      </c>
      <c r="K1696" s="262" t="s">
        <v>4249</v>
      </c>
      <c r="N1696" s="262" t="s">
        <v>4249</v>
      </c>
    </row>
    <row r="1697" spans="1:14" ht="12.75" customHeight="1" x14ac:dyDescent="0.2">
      <c r="A1697" s="567"/>
      <c r="B1697" s="567" t="s">
        <v>1456</v>
      </c>
      <c r="C1697" s="567"/>
      <c r="D1697" s="567"/>
      <c r="E1697" s="567"/>
      <c r="F1697" s="567"/>
      <c r="G1697" s="568" t="s">
        <v>2817</v>
      </c>
      <c r="H1697" s="568" t="s">
        <v>340</v>
      </c>
      <c r="I1697" s="239" t="str">
        <f>IF(ISBLANK(global!I210),"",global!I210)</f>
        <v/>
      </c>
      <c r="K1697" s="262" t="s">
        <v>4249</v>
      </c>
      <c r="N1697" s="262" t="s">
        <v>4249</v>
      </c>
    </row>
    <row r="1698" spans="1:14" ht="12.75" customHeight="1" x14ac:dyDescent="0.2">
      <c r="A1698" s="567" t="s">
        <v>2818</v>
      </c>
      <c r="B1698" s="567"/>
      <c r="C1698" s="567"/>
      <c r="D1698" s="567"/>
      <c r="E1698" s="567"/>
      <c r="F1698" s="567"/>
      <c r="G1698" s="568" t="s">
        <v>2819</v>
      </c>
      <c r="H1698" s="568" t="s">
        <v>340</v>
      </c>
      <c r="I1698" s="239" t="str">
        <f>IF(ISBLANK(global!I211),"",global!I211)</f>
        <v/>
      </c>
      <c r="K1698" s="262" t="s">
        <v>4249</v>
      </c>
      <c r="N1698" s="262" t="s">
        <v>4249</v>
      </c>
    </row>
    <row r="1699" spans="1:14" ht="12.75" customHeight="1" x14ac:dyDescent="0.2">
      <c r="A1699" s="567"/>
      <c r="B1699" s="567" t="s">
        <v>1556</v>
      </c>
      <c r="C1699" s="567"/>
      <c r="D1699" s="567"/>
      <c r="E1699" s="567"/>
      <c r="F1699" s="567"/>
      <c r="G1699" s="568" t="s">
        <v>2820</v>
      </c>
      <c r="H1699" s="568" t="s">
        <v>1513</v>
      </c>
      <c r="I1699" s="239" t="str">
        <f>IF(ISBLANK(global!I212),"",global!I212)</f>
        <v/>
      </c>
      <c r="K1699" s="262" t="s">
        <v>4249</v>
      </c>
      <c r="N1699" s="262" t="s">
        <v>4249</v>
      </c>
    </row>
    <row r="1700" spans="1:14" ht="12.75" customHeight="1" x14ac:dyDescent="0.2">
      <c r="A1700" s="567"/>
      <c r="B1700" s="567" t="s">
        <v>1558</v>
      </c>
      <c r="C1700" s="567"/>
      <c r="D1700" s="567"/>
      <c r="E1700" s="567"/>
      <c r="F1700" s="567"/>
      <c r="G1700" s="567" t="s">
        <v>2821</v>
      </c>
      <c r="H1700" s="568" t="s">
        <v>873</v>
      </c>
      <c r="I1700" s="239" t="str">
        <f>IF(ISBLANK(global!I213),"",global!I213)</f>
        <v/>
      </c>
      <c r="K1700" s="262" t="s">
        <v>4249</v>
      </c>
      <c r="N1700" s="262" t="s">
        <v>4249</v>
      </c>
    </row>
    <row r="1701" spans="1:14" ht="12.75" customHeight="1" x14ac:dyDescent="0.2">
      <c r="A1701" s="567"/>
      <c r="B1701" s="567" t="s">
        <v>1517</v>
      </c>
      <c r="C1701" s="567"/>
      <c r="D1701" s="567"/>
      <c r="E1701" s="567"/>
      <c r="F1701" s="567"/>
      <c r="G1701" s="568" t="s">
        <v>2822</v>
      </c>
      <c r="H1701" s="568" t="s">
        <v>296</v>
      </c>
      <c r="I1701" s="239" t="str">
        <f>IF(ISBLANK(global!I214),"",global!I214)</f>
        <v/>
      </c>
      <c r="K1701" s="262" t="s">
        <v>4249</v>
      </c>
      <c r="N1701" s="262" t="s">
        <v>4249</v>
      </c>
    </row>
    <row r="1702" spans="1:14" ht="12.75" customHeight="1" x14ac:dyDescent="0.2">
      <c r="A1702" s="567"/>
      <c r="B1702" s="567"/>
      <c r="C1702" s="567" t="s">
        <v>1519</v>
      </c>
      <c r="D1702" s="567"/>
      <c r="E1702" s="567"/>
      <c r="F1702" s="567"/>
      <c r="G1702" s="568" t="s">
        <v>2823</v>
      </c>
      <c r="H1702" s="568" t="s">
        <v>296</v>
      </c>
      <c r="I1702" s="239" t="str">
        <f>IF(ISBLANK(global!I215),"",global!I215)</f>
        <v/>
      </c>
      <c r="K1702" s="262" t="s">
        <v>4249</v>
      </c>
      <c r="N1702" s="262" t="s">
        <v>4249</v>
      </c>
    </row>
    <row r="1703" spans="1:14" ht="12.75" customHeight="1" x14ac:dyDescent="0.2">
      <c r="A1703" s="567"/>
      <c r="B1703" s="567"/>
      <c r="C1703" s="567"/>
      <c r="D1703" s="567" t="s">
        <v>1521</v>
      </c>
      <c r="E1703" s="567"/>
      <c r="F1703" s="567"/>
      <c r="G1703" s="567" t="s">
        <v>2824</v>
      </c>
      <c r="H1703" s="568" t="s">
        <v>296</v>
      </c>
      <c r="I1703" s="239" t="str">
        <f>IF(ISBLANK(global!I216),"",global!I216)</f>
        <v/>
      </c>
      <c r="K1703" s="262" t="s">
        <v>4249</v>
      </c>
      <c r="N1703" s="262" t="s">
        <v>4249</v>
      </c>
    </row>
    <row r="1704" spans="1:14" ht="12.75" customHeight="1" x14ac:dyDescent="0.2">
      <c r="A1704" s="567"/>
      <c r="B1704" s="567"/>
      <c r="C1704" s="567"/>
      <c r="D1704" s="567"/>
      <c r="E1704" s="567" t="s">
        <v>1563</v>
      </c>
      <c r="F1704" s="567"/>
      <c r="G1704" s="567" t="s">
        <v>2825</v>
      </c>
      <c r="H1704" s="568" t="s">
        <v>296</v>
      </c>
      <c r="I1704" s="239" t="str">
        <f>IF(ISBLANK(global!I217),"",global!I217)</f>
        <v/>
      </c>
      <c r="K1704" s="262" t="s">
        <v>4249</v>
      </c>
      <c r="N1704" s="262" t="s">
        <v>4249</v>
      </c>
    </row>
    <row r="1705" spans="1:14" ht="12.75" customHeight="1" x14ac:dyDescent="0.2">
      <c r="A1705" s="567"/>
      <c r="B1705" s="567"/>
      <c r="C1705" s="567"/>
      <c r="D1705" s="567"/>
      <c r="E1705" s="567"/>
      <c r="F1705" s="567" t="s">
        <v>1565</v>
      </c>
      <c r="G1705" s="567" t="s">
        <v>2826</v>
      </c>
      <c r="H1705" s="568" t="s">
        <v>1527</v>
      </c>
      <c r="I1705" s="239" t="str">
        <f>IF(ISBLANK(global!I218),"",global!I218)</f>
        <v/>
      </c>
      <c r="K1705" s="262" t="s">
        <v>4249</v>
      </c>
      <c r="N1705" s="262" t="s">
        <v>4249</v>
      </c>
    </row>
    <row r="1706" spans="1:14" ht="12.75" customHeight="1" x14ac:dyDescent="0.2">
      <c r="A1706" s="567"/>
      <c r="B1706" s="567"/>
      <c r="C1706" s="567" t="s">
        <v>1529</v>
      </c>
      <c r="D1706" s="567"/>
      <c r="E1706" s="567"/>
      <c r="F1706" s="567"/>
      <c r="G1706" s="568" t="s">
        <v>2827</v>
      </c>
      <c r="H1706" s="568" t="s">
        <v>296</v>
      </c>
      <c r="I1706" s="239" t="str">
        <f>IF(ISBLANK(global!I219),"",global!I219)</f>
        <v/>
      </c>
      <c r="K1706" s="262" t="s">
        <v>4249</v>
      </c>
      <c r="N1706" s="262" t="s">
        <v>4249</v>
      </c>
    </row>
    <row r="1707" spans="1:14" ht="12.75" customHeight="1" x14ac:dyDescent="0.2">
      <c r="A1707" s="567"/>
      <c r="B1707" s="567"/>
      <c r="C1707" s="567" t="s">
        <v>1531</v>
      </c>
      <c r="D1707" s="567"/>
      <c r="E1707" s="567"/>
      <c r="F1707" s="567"/>
      <c r="G1707" s="568" t="s">
        <v>2828</v>
      </c>
      <c r="H1707" s="568" t="s">
        <v>296</v>
      </c>
      <c r="I1707" s="239" t="str">
        <f>IF(ISBLANK(global!I220),"",global!I220)</f>
        <v/>
      </c>
      <c r="K1707" s="262" t="s">
        <v>4249</v>
      </c>
      <c r="N1707" s="262" t="s">
        <v>4249</v>
      </c>
    </row>
    <row r="1708" spans="1:14" ht="12.75" customHeight="1" x14ac:dyDescent="0.2">
      <c r="A1708" s="567"/>
      <c r="B1708" s="567"/>
      <c r="C1708" s="567"/>
      <c r="D1708" s="567" t="s">
        <v>1535</v>
      </c>
      <c r="E1708" s="567"/>
      <c r="F1708" s="567"/>
      <c r="G1708" s="567" t="s">
        <v>2829</v>
      </c>
      <c r="H1708" s="568" t="s">
        <v>1537</v>
      </c>
      <c r="I1708" s="239" t="str">
        <f>IF(ISBLANK(global!I221),"",global!I221)</f>
        <v/>
      </c>
      <c r="K1708" s="262" t="s">
        <v>4249</v>
      </c>
      <c r="N1708" s="262" t="s">
        <v>4249</v>
      </c>
    </row>
    <row r="1709" spans="1:14" ht="12.75" customHeight="1" x14ac:dyDescent="0.2">
      <c r="A1709" s="567"/>
      <c r="B1709" s="567"/>
      <c r="C1709" s="567"/>
      <c r="D1709" s="567" t="s">
        <v>1538</v>
      </c>
      <c r="E1709" s="567"/>
      <c r="F1709" s="567"/>
      <c r="G1709" s="567" t="s">
        <v>2830</v>
      </c>
      <c r="H1709" s="568" t="s">
        <v>296</v>
      </c>
      <c r="I1709" s="239" t="str">
        <f>IF(ISBLANK(global!I222),"",global!I222)</f>
        <v/>
      </c>
      <c r="K1709" s="262" t="s">
        <v>4249</v>
      </c>
      <c r="N1709" s="262" t="s">
        <v>4249</v>
      </c>
    </row>
    <row r="1710" spans="1:14" ht="12.75" customHeight="1" x14ac:dyDescent="0.2">
      <c r="A1710" s="567"/>
      <c r="B1710" s="567"/>
      <c r="C1710" s="567"/>
      <c r="D1710" s="567" t="s">
        <v>1533</v>
      </c>
      <c r="E1710" s="567"/>
      <c r="F1710" s="567"/>
      <c r="G1710" s="567" t="s">
        <v>2831</v>
      </c>
      <c r="H1710" s="568" t="s">
        <v>296</v>
      </c>
      <c r="I1710" s="239" t="str">
        <f>IF(ISBLANK(global!I223),"",global!I223)</f>
        <v/>
      </c>
      <c r="K1710" s="262" t="s">
        <v>4249</v>
      </c>
      <c r="N1710" s="262" t="s">
        <v>4249</v>
      </c>
    </row>
    <row r="1711" spans="1:14" ht="12.75" customHeight="1" x14ac:dyDescent="0.2">
      <c r="A1711" s="567"/>
      <c r="B1711" s="567"/>
      <c r="C1711" s="567"/>
      <c r="D1711" s="567" t="s">
        <v>1540</v>
      </c>
      <c r="E1711" s="567"/>
      <c r="F1711" s="567"/>
      <c r="G1711" s="568" t="s">
        <v>2832</v>
      </c>
      <c r="H1711" s="568" t="s">
        <v>296</v>
      </c>
      <c r="I1711" s="239" t="str">
        <f>IF(ISBLANK(global!I224),"",global!I224)</f>
        <v/>
      </c>
      <c r="K1711" s="262" t="s">
        <v>4249</v>
      </c>
      <c r="N1711" s="262" t="s">
        <v>4249</v>
      </c>
    </row>
    <row r="1712" spans="1:14" ht="12.75" customHeight="1" x14ac:dyDescent="0.2">
      <c r="I1712" s="239" t="str">
        <f>IF(ISBLANK(global!I225),"",global!I225)</f>
        <v/>
      </c>
      <c r="K1712" s="262" t="s">
        <v>4249</v>
      </c>
      <c r="N1712" s="262" t="s">
        <v>4249</v>
      </c>
    </row>
    <row r="1713" spans="1:14" ht="12.75" customHeight="1" x14ac:dyDescent="0.2">
      <c r="A1713" s="633" t="s">
        <v>1605</v>
      </c>
      <c r="B1713" s="634"/>
      <c r="C1713" s="634"/>
      <c r="D1713" s="634"/>
      <c r="E1713" s="634"/>
      <c r="F1713" s="634"/>
      <c r="G1713" s="633" t="s">
        <v>263</v>
      </c>
      <c r="H1713" s="633" t="s">
        <v>279</v>
      </c>
      <c r="I1713" s="239" t="str">
        <f>IF(ISBLANK(global!I226),"",global!I226)</f>
        <v>User input</v>
      </c>
      <c r="K1713" s="262" t="s">
        <v>264</v>
      </c>
      <c r="N1713" s="262" t="s">
        <v>264</v>
      </c>
    </row>
    <row r="1714" spans="1:14" ht="12.75" customHeight="1" x14ac:dyDescent="0.2">
      <c r="A1714" t="s">
        <v>2833</v>
      </c>
      <c r="I1714" s="239" t="str">
        <f>IF(ISBLANK(global!I227),"",global!I227)</f>
        <v/>
      </c>
      <c r="K1714" s="262" t="s">
        <v>4249</v>
      </c>
      <c r="N1714" s="262" t="s">
        <v>4249</v>
      </c>
    </row>
    <row r="1715" spans="1:14" ht="12.75" customHeight="1" x14ac:dyDescent="0.2">
      <c r="A1715" s="567"/>
      <c r="B1715" s="567" t="s">
        <v>1607</v>
      </c>
      <c r="C1715" s="567"/>
      <c r="D1715" s="567"/>
      <c r="E1715" s="567"/>
      <c r="F1715" s="567"/>
      <c r="G1715" s="568" t="s">
        <v>2834</v>
      </c>
      <c r="H1715" s="568" t="s">
        <v>820</v>
      </c>
      <c r="I1715" s="239" t="str">
        <f>IF(ISBLANK(global!I228),"",global!I228)</f>
        <v/>
      </c>
      <c r="K1715" s="262" t="s">
        <v>4249</v>
      </c>
      <c r="N1715" s="262" t="s">
        <v>4249</v>
      </c>
    </row>
    <row r="1716" spans="1:14" ht="12.75" customHeight="1" x14ac:dyDescent="0.2">
      <c r="A1716" s="567"/>
      <c r="B1716" s="567" t="s">
        <v>1610</v>
      </c>
      <c r="C1716" s="567"/>
      <c r="D1716" s="567"/>
      <c r="E1716" s="567"/>
      <c r="F1716" s="567"/>
      <c r="G1716" s="568" t="s">
        <v>2835</v>
      </c>
      <c r="H1716" s="568" t="s">
        <v>296</v>
      </c>
      <c r="I1716" s="239">
        <f>IF(ISBLANK(global!I229),"",global!I229)</f>
        <v>1</v>
      </c>
      <c r="K1716" s="262" t="s">
        <v>4249</v>
      </c>
      <c r="N1716" s="262" t="s">
        <v>4249</v>
      </c>
    </row>
    <row r="1717" spans="1:14" ht="12.75" customHeight="1" x14ac:dyDescent="0.2">
      <c r="A1717" s="567"/>
      <c r="B1717" s="567" t="s">
        <v>1613</v>
      </c>
      <c r="C1717" s="567"/>
      <c r="D1717" s="567"/>
      <c r="E1717" s="567"/>
      <c r="F1717" s="567"/>
      <c r="G1717" s="568" t="s">
        <v>2836</v>
      </c>
      <c r="H1717" s="568" t="s">
        <v>873</v>
      </c>
      <c r="I1717" s="239" t="str">
        <f>IF(ISBLANK(global!I230),"",global!I230)</f>
        <v/>
      </c>
      <c r="K1717" s="262" t="s">
        <v>4249</v>
      </c>
      <c r="N1717" s="262" t="s">
        <v>4249</v>
      </c>
    </row>
    <row r="1718" spans="1:14" ht="12.75" customHeight="1" x14ac:dyDescent="0.2">
      <c r="A1718" s="567"/>
      <c r="B1718" s="567" t="s">
        <v>1617</v>
      </c>
      <c r="C1718" s="567"/>
      <c r="D1718" s="567"/>
      <c r="E1718" s="567"/>
      <c r="F1718" s="567"/>
      <c r="G1718" s="568" t="s">
        <v>2837</v>
      </c>
      <c r="H1718" s="568" t="s">
        <v>873</v>
      </c>
      <c r="I1718" s="239" t="str">
        <f>IF(ISBLANK(global!I231),"",global!I231)</f>
        <v/>
      </c>
      <c r="K1718" s="262" t="s">
        <v>4249</v>
      </c>
      <c r="N1718" s="262" t="s">
        <v>4249</v>
      </c>
    </row>
    <row r="1719" spans="1:14" ht="12.75" customHeight="1" x14ac:dyDescent="0.2">
      <c r="A1719" s="567"/>
      <c r="B1719" s="567" t="s">
        <v>1619</v>
      </c>
      <c r="C1719" s="567"/>
      <c r="D1719" s="567"/>
      <c r="E1719" s="567"/>
      <c r="F1719" s="567"/>
      <c r="G1719" s="568" t="s">
        <v>2838</v>
      </c>
      <c r="H1719" s="568" t="s">
        <v>296</v>
      </c>
      <c r="I1719" s="239" t="str">
        <f>IF(ISBLANK(global!I232),"",global!I232)</f>
        <v/>
      </c>
      <c r="K1719" s="262" t="s">
        <v>4249</v>
      </c>
      <c r="N1719" s="262" t="s">
        <v>4249</v>
      </c>
    </row>
    <row r="1720" spans="1:14" ht="12.75" customHeight="1" x14ac:dyDescent="0.2">
      <c r="A1720" s="567"/>
      <c r="B1720" s="567" t="s">
        <v>1621</v>
      </c>
      <c r="C1720" s="567"/>
      <c r="D1720" s="567"/>
      <c r="E1720" s="567"/>
      <c r="F1720" s="567"/>
      <c r="G1720" s="568" t="s">
        <v>2839</v>
      </c>
      <c r="H1720" s="568" t="s">
        <v>296</v>
      </c>
      <c r="I1720" s="239" t="str">
        <f>IF(ISBLANK(global!I233),"",global!I233)</f>
        <v/>
      </c>
      <c r="K1720" s="262" t="s">
        <v>4249</v>
      </c>
      <c r="N1720" s="262" t="s">
        <v>4249</v>
      </c>
    </row>
    <row r="1721" spans="1:14" ht="12.75" customHeight="1" x14ac:dyDescent="0.2">
      <c r="A1721" s="567"/>
      <c r="B1721" s="567" t="s">
        <v>1623</v>
      </c>
      <c r="C1721" s="567"/>
      <c r="D1721" s="567"/>
      <c r="E1721" s="567"/>
      <c r="F1721" s="567"/>
      <c r="G1721" s="568" t="s">
        <v>2840</v>
      </c>
      <c r="H1721" s="568" t="s">
        <v>296</v>
      </c>
      <c r="I1721" s="239" t="str">
        <f>IF(ISBLANK(global!I234),"",global!I234)</f>
        <v/>
      </c>
      <c r="K1721" s="262" t="s">
        <v>4249</v>
      </c>
      <c r="N1721" s="262" t="s">
        <v>4249</v>
      </c>
    </row>
    <row r="1722" spans="1:14" ht="12.75" customHeight="1" x14ac:dyDescent="0.2">
      <c r="A1722" t="s">
        <v>2841</v>
      </c>
      <c r="G1722"/>
      <c r="H1722"/>
      <c r="I1722" s="239" t="str">
        <f>IF(ISBLANK(global!I235),"",global!I235)</f>
        <v/>
      </c>
      <c r="K1722" s="262" t="s">
        <v>4249</v>
      </c>
      <c r="N1722" s="262" t="s">
        <v>4249</v>
      </c>
    </row>
    <row r="1723" spans="1:14" ht="12.75" customHeight="1" x14ac:dyDescent="0.2">
      <c r="A1723" s="567"/>
      <c r="B1723" s="567" t="s">
        <v>1626</v>
      </c>
      <c r="C1723" s="567"/>
      <c r="D1723" s="567"/>
      <c r="E1723" s="567"/>
      <c r="F1723" s="567"/>
      <c r="G1723" s="567" t="s">
        <v>2842</v>
      </c>
      <c r="H1723" s="567" t="s">
        <v>820</v>
      </c>
      <c r="I1723" s="239" t="str">
        <f>IF(ISBLANK(global!I236),"",global!I236)</f>
        <v/>
      </c>
      <c r="K1723" s="262" t="s">
        <v>4249</v>
      </c>
      <c r="N1723" s="262" t="s">
        <v>4249</v>
      </c>
    </row>
    <row r="1724" spans="1:14" ht="12.75" customHeight="1" x14ac:dyDescent="0.2">
      <c r="A1724" s="567"/>
      <c r="B1724" s="567" t="s">
        <v>1628</v>
      </c>
      <c r="C1724" s="567"/>
      <c r="D1724" s="567"/>
      <c r="E1724" s="567"/>
      <c r="F1724" s="567"/>
      <c r="G1724" s="567" t="s">
        <v>2843</v>
      </c>
      <c r="H1724" s="567" t="s">
        <v>287</v>
      </c>
      <c r="I1724" s="239" t="str">
        <f>IF(ISBLANK(global!I237),"",global!I237)</f>
        <v/>
      </c>
      <c r="K1724" s="262" t="s">
        <v>4249</v>
      </c>
      <c r="N1724" s="262" t="s">
        <v>4249</v>
      </c>
    </row>
    <row r="1725" spans="1:14" ht="12.75" customHeight="1" x14ac:dyDescent="0.2">
      <c r="A1725" s="567"/>
      <c r="B1725" s="567"/>
      <c r="C1725" s="567" t="s">
        <v>1630</v>
      </c>
      <c r="D1725" s="567"/>
      <c r="E1725" s="567"/>
      <c r="F1725" s="567"/>
      <c r="G1725" s="567" t="s">
        <v>2844</v>
      </c>
      <c r="H1725" s="567" t="s">
        <v>864</v>
      </c>
      <c r="I1725" s="239" t="str">
        <f>IF(ISBLANK(global!I238),"",global!I238)</f>
        <v/>
      </c>
      <c r="K1725" s="262" t="s">
        <v>4249</v>
      </c>
      <c r="N1725" s="262" t="s">
        <v>4249</v>
      </c>
    </row>
    <row r="1726" spans="1:14" ht="12.75" customHeight="1" x14ac:dyDescent="0.2">
      <c r="A1726" s="567"/>
      <c r="B1726" s="567"/>
      <c r="C1726" s="567" t="s">
        <v>1632</v>
      </c>
      <c r="D1726" s="567"/>
      <c r="E1726" s="567"/>
      <c r="F1726" s="567"/>
      <c r="G1726" s="567" t="s">
        <v>2845</v>
      </c>
      <c r="H1726" s="567" t="s">
        <v>895</v>
      </c>
      <c r="I1726" s="239" t="str">
        <f>IF(ISBLANK(global!I239),"",global!I239)</f>
        <v/>
      </c>
      <c r="K1726" s="262" t="s">
        <v>4249</v>
      </c>
      <c r="N1726" s="262" t="s">
        <v>4249</v>
      </c>
    </row>
    <row r="1727" spans="1:14" ht="12.75" customHeight="1" x14ac:dyDescent="0.2">
      <c r="A1727" t="s">
        <v>2846</v>
      </c>
      <c r="G1727"/>
      <c r="H1727"/>
      <c r="I1727" s="239" t="str">
        <f>IF(ISBLANK(global!I240),"",global!I240)</f>
        <v/>
      </c>
      <c r="K1727" s="262" t="s">
        <v>4249</v>
      </c>
      <c r="N1727" s="262" t="s">
        <v>4249</v>
      </c>
    </row>
    <row r="1728" spans="1:14" ht="12.75" customHeight="1" x14ac:dyDescent="0.2">
      <c r="A1728" s="567" t="s">
        <v>1635</v>
      </c>
      <c r="B1728" s="567"/>
      <c r="C1728" s="567"/>
      <c r="D1728" s="567"/>
      <c r="E1728" s="567"/>
      <c r="F1728" s="567"/>
      <c r="G1728" s="568" t="s">
        <v>2847</v>
      </c>
      <c r="H1728" s="568" t="s">
        <v>340</v>
      </c>
      <c r="I1728" s="239" t="str">
        <f>IF(ISBLANK(global!I241),"",global!I241)</f>
        <v/>
      </c>
      <c r="K1728" s="262" t="s">
        <v>4249</v>
      </c>
      <c r="N1728" s="262" t="s">
        <v>4249</v>
      </c>
    </row>
    <row r="1729" spans="1:14" ht="12.75" customHeight="1" x14ac:dyDescent="0.2">
      <c r="A1729" s="567"/>
      <c r="B1729" s="567" t="s">
        <v>1638</v>
      </c>
      <c r="C1729" s="567"/>
      <c r="D1729" s="567"/>
      <c r="E1729" s="567"/>
      <c r="F1729" s="567"/>
      <c r="G1729" s="568" t="s">
        <v>2848</v>
      </c>
      <c r="H1729" s="568" t="s">
        <v>1640</v>
      </c>
      <c r="I1729" s="239" t="str">
        <f>IF(ISBLANK(global!I242),"",global!I242)</f>
        <v/>
      </c>
      <c r="K1729" s="262" t="s">
        <v>4249</v>
      </c>
      <c r="N1729" s="262" t="s">
        <v>4249</v>
      </c>
    </row>
    <row r="1730" spans="1:14" ht="12.75" customHeight="1" x14ac:dyDescent="0.2">
      <c r="A1730" s="567"/>
      <c r="B1730" s="567" t="s">
        <v>1641</v>
      </c>
      <c r="C1730" s="567"/>
      <c r="D1730" s="567"/>
      <c r="E1730" s="567"/>
      <c r="F1730" s="567"/>
      <c r="G1730" s="568" t="s">
        <v>2849</v>
      </c>
      <c r="H1730" s="568" t="s">
        <v>296</v>
      </c>
      <c r="I1730" s="239" t="str">
        <f>IF(ISBLANK(global!I243),"",global!I243)</f>
        <v/>
      </c>
      <c r="K1730" s="262" t="s">
        <v>4249</v>
      </c>
      <c r="N1730" s="262" t="s">
        <v>4249</v>
      </c>
    </row>
    <row r="1731" spans="1:14" ht="12.75" customHeight="1" x14ac:dyDescent="0.2">
      <c r="A1731" s="567"/>
      <c r="B1731" s="567" t="s">
        <v>1644</v>
      </c>
      <c r="C1731" s="567"/>
      <c r="D1731" s="567"/>
      <c r="E1731" s="567"/>
      <c r="F1731" s="567"/>
      <c r="G1731" s="568" t="s">
        <v>2850</v>
      </c>
      <c r="H1731" s="568" t="s">
        <v>873</v>
      </c>
      <c r="I1731" s="239" t="str">
        <f>IF(ISBLANK(global!I244),"",global!I244)</f>
        <v/>
      </c>
      <c r="K1731" s="262" t="s">
        <v>4249</v>
      </c>
      <c r="N1731" s="262" t="s">
        <v>4249</v>
      </c>
    </row>
    <row r="1732" spans="1:14" ht="12.75" customHeight="1" x14ac:dyDescent="0.2">
      <c r="A1732" s="567"/>
      <c r="B1732" s="567" t="s">
        <v>1646</v>
      </c>
      <c r="C1732" s="567"/>
      <c r="D1732" s="567"/>
      <c r="E1732" s="567"/>
      <c r="F1732" s="567"/>
      <c r="G1732" s="568" t="s">
        <v>2851</v>
      </c>
      <c r="H1732" s="568" t="s">
        <v>296</v>
      </c>
      <c r="I1732" s="239" t="str">
        <f>IF(ISBLANK(global!I245),"",global!I245)</f>
        <v/>
      </c>
      <c r="K1732" s="262" t="s">
        <v>4249</v>
      </c>
      <c r="N1732" s="262" t="s">
        <v>4249</v>
      </c>
    </row>
    <row r="1733" spans="1:14" ht="12.75" customHeight="1" x14ac:dyDescent="0.2">
      <c r="A1733" s="567"/>
      <c r="B1733" s="567"/>
      <c r="C1733" s="567" t="s">
        <v>1648</v>
      </c>
      <c r="D1733" s="567"/>
      <c r="E1733" s="567"/>
      <c r="F1733" s="567"/>
      <c r="G1733" s="568" t="s">
        <v>2852</v>
      </c>
      <c r="H1733" s="568" t="s">
        <v>296</v>
      </c>
      <c r="I1733" s="239" t="str">
        <f>IF(ISBLANK(global!I246),"",global!I246)</f>
        <v/>
      </c>
      <c r="K1733" s="262" t="s">
        <v>4249</v>
      </c>
      <c r="N1733" s="262" t="s">
        <v>4249</v>
      </c>
    </row>
    <row r="1734" spans="1:14" ht="12.75" customHeight="1" x14ac:dyDescent="0.2">
      <c r="A1734" s="567"/>
      <c r="B1734" s="567"/>
      <c r="C1734" s="567" t="s">
        <v>1650</v>
      </c>
      <c r="D1734" s="567"/>
      <c r="E1734" s="567"/>
      <c r="F1734" s="567"/>
      <c r="G1734" s="568" t="s">
        <v>2853</v>
      </c>
      <c r="H1734" s="568" t="s">
        <v>296</v>
      </c>
      <c r="I1734" s="239" t="str">
        <f>IF(ISBLANK(global!I247),"",global!I247)</f>
        <v/>
      </c>
      <c r="K1734" s="262" t="s">
        <v>4249</v>
      </c>
      <c r="N1734" s="262" t="s">
        <v>4249</v>
      </c>
    </row>
    <row r="1735" spans="1:14" ht="12.75" customHeight="1" x14ac:dyDescent="0.2">
      <c r="A1735" s="567"/>
      <c r="B1735" s="567"/>
      <c r="C1735" s="567" t="s">
        <v>1652</v>
      </c>
      <c r="D1735" s="567"/>
      <c r="E1735" s="567"/>
      <c r="F1735" s="567"/>
      <c r="G1735" s="568" t="s">
        <v>2854</v>
      </c>
      <c r="H1735" s="568" t="s">
        <v>296</v>
      </c>
      <c r="I1735" s="239" t="str">
        <f>IF(ISBLANK(global!I248),"",global!I248)</f>
        <v/>
      </c>
      <c r="K1735" s="262" t="s">
        <v>4249</v>
      </c>
      <c r="N1735" s="262" t="s">
        <v>4249</v>
      </c>
    </row>
    <row r="1736" spans="1:14" ht="12.75" customHeight="1" x14ac:dyDescent="0.2">
      <c r="A1736" s="567"/>
      <c r="B1736" s="567"/>
      <c r="C1736" s="567" t="s">
        <v>1654</v>
      </c>
      <c r="D1736" s="567"/>
      <c r="E1736" s="567"/>
      <c r="F1736" s="567"/>
      <c r="G1736" s="568" t="s">
        <v>2855</v>
      </c>
      <c r="H1736" s="568" t="s">
        <v>296</v>
      </c>
      <c r="I1736" s="239" t="str">
        <f>IF(ISBLANK(global!I249),"",global!I249)</f>
        <v/>
      </c>
      <c r="K1736" s="262" t="s">
        <v>4249</v>
      </c>
      <c r="N1736" s="262" t="s">
        <v>4249</v>
      </c>
    </row>
    <row r="1737" spans="1:14" ht="12.75" customHeight="1" x14ac:dyDescent="0.2">
      <c r="A1737" s="567" t="s">
        <v>1656</v>
      </c>
      <c r="B1737" s="567"/>
      <c r="C1737" s="567"/>
      <c r="D1737" s="567"/>
      <c r="E1737" s="567"/>
      <c r="F1737" s="567"/>
      <c r="G1737" s="568" t="s">
        <v>2856</v>
      </c>
      <c r="H1737" s="568" t="s">
        <v>340</v>
      </c>
      <c r="I1737" s="239" t="str">
        <f>IF(ISBLANK(global!I250),"",global!I250)</f>
        <v/>
      </c>
      <c r="K1737" s="262" t="s">
        <v>4249</v>
      </c>
      <c r="N1737" s="262" t="s">
        <v>4249</v>
      </c>
    </row>
    <row r="1738" spans="1:14" ht="12.75" customHeight="1" x14ac:dyDescent="0.2">
      <c r="A1738" s="567"/>
      <c r="B1738" s="567" t="s">
        <v>1658</v>
      </c>
      <c r="C1738" s="567"/>
      <c r="D1738" s="567"/>
      <c r="E1738" s="567"/>
      <c r="F1738" s="567"/>
      <c r="G1738" s="568" t="s">
        <v>2857</v>
      </c>
      <c r="H1738" s="568" t="s">
        <v>296</v>
      </c>
      <c r="I1738" s="239" t="str">
        <f>IF(ISBLANK(global!I251),"",global!I251)</f>
        <v/>
      </c>
      <c r="K1738" s="262" t="s">
        <v>4249</v>
      </c>
      <c r="N1738" s="262" t="s">
        <v>4249</v>
      </c>
    </row>
    <row r="1739" spans="1:14" ht="12.75" customHeight="1" x14ac:dyDescent="0.2">
      <c r="A1739" s="567"/>
      <c r="B1739" s="567" t="s">
        <v>1660</v>
      </c>
      <c r="C1739" s="567"/>
      <c r="D1739" s="567"/>
      <c r="E1739" s="567"/>
      <c r="F1739" s="567"/>
      <c r="G1739" s="568" t="s">
        <v>2858</v>
      </c>
      <c r="H1739" s="568"/>
      <c r="I1739" s="239" t="str">
        <f>IF(ISBLANK(global!I252),"",global!I252)</f>
        <v/>
      </c>
      <c r="K1739" s="262" t="s">
        <v>4249</v>
      </c>
      <c r="N1739" s="262" t="s">
        <v>4249</v>
      </c>
    </row>
    <row r="1740" spans="1:14" ht="12.75" customHeight="1" x14ac:dyDescent="0.2">
      <c r="A1740" s="567"/>
      <c r="B1740" s="567" t="s">
        <v>1638</v>
      </c>
      <c r="C1740" s="567"/>
      <c r="D1740" s="567"/>
      <c r="E1740" s="567"/>
      <c r="F1740" s="567"/>
      <c r="G1740" s="568" t="s">
        <v>2859</v>
      </c>
      <c r="H1740" s="568" t="s">
        <v>1640</v>
      </c>
      <c r="I1740" s="239" t="str">
        <f>IF(ISBLANK(global!I253),"",global!I253)</f>
        <v/>
      </c>
      <c r="K1740" s="262" t="s">
        <v>4249</v>
      </c>
      <c r="N1740" s="262" t="s">
        <v>4249</v>
      </c>
    </row>
    <row r="1741" spans="1:14" ht="12.75" customHeight="1" x14ac:dyDescent="0.2">
      <c r="A1741" s="567"/>
      <c r="B1741" s="567" t="s">
        <v>1663</v>
      </c>
      <c r="C1741" s="567"/>
      <c r="D1741" s="567"/>
      <c r="E1741" s="567"/>
      <c r="F1741" s="567"/>
      <c r="G1741" s="568" t="s">
        <v>2860</v>
      </c>
      <c r="H1741" s="568" t="s">
        <v>296</v>
      </c>
      <c r="I1741" s="239" t="str">
        <f>IF(ISBLANK(global!I254),"",global!I254)</f>
        <v/>
      </c>
      <c r="K1741" s="262" t="s">
        <v>4249</v>
      </c>
      <c r="N1741" s="262" t="s">
        <v>4249</v>
      </c>
    </row>
    <row r="1742" spans="1:14" ht="12.75" customHeight="1" x14ac:dyDescent="0.2">
      <c r="A1742" s="567"/>
      <c r="B1742" s="567" t="s">
        <v>1644</v>
      </c>
      <c r="C1742" s="567"/>
      <c r="D1742" s="567"/>
      <c r="E1742" s="567"/>
      <c r="F1742" s="567"/>
      <c r="G1742" s="568" t="s">
        <v>2861</v>
      </c>
      <c r="H1742" s="568" t="s">
        <v>873</v>
      </c>
      <c r="I1742" s="239" t="str">
        <f>IF(ISBLANK(global!I255),"",global!I255)</f>
        <v/>
      </c>
      <c r="K1742" s="262" t="s">
        <v>4249</v>
      </c>
      <c r="N1742" s="262" t="s">
        <v>4249</v>
      </c>
    </row>
    <row r="1743" spans="1:14" ht="12.75" customHeight="1" x14ac:dyDescent="0.2">
      <c r="A1743" s="567"/>
      <c r="B1743" s="567" t="s">
        <v>1646</v>
      </c>
      <c r="C1743" s="567"/>
      <c r="D1743" s="567"/>
      <c r="E1743" s="567"/>
      <c r="F1743" s="567"/>
      <c r="G1743" s="568" t="s">
        <v>2862</v>
      </c>
      <c r="H1743" s="568" t="s">
        <v>296</v>
      </c>
      <c r="I1743" s="239" t="str">
        <f>IF(ISBLANK(global!I256),"",global!I256)</f>
        <v/>
      </c>
      <c r="K1743" s="262" t="s">
        <v>4249</v>
      </c>
      <c r="N1743" s="262" t="s">
        <v>4249</v>
      </c>
    </row>
    <row r="1744" spans="1:14" ht="12.75" customHeight="1" x14ac:dyDescent="0.2">
      <c r="A1744" s="567"/>
      <c r="B1744" s="567"/>
      <c r="C1744" s="567" t="s">
        <v>1648</v>
      </c>
      <c r="D1744" s="567"/>
      <c r="E1744" s="567"/>
      <c r="F1744" s="567"/>
      <c r="G1744" s="568" t="s">
        <v>2863</v>
      </c>
      <c r="H1744" s="568" t="s">
        <v>296</v>
      </c>
      <c r="I1744" s="239" t="str">
        <f>IF(ISBLANK(global!I257),"",global!I257)</f>
        <v/>
      </c>
      <c r="K1744" s="262" t="s">
        <v>4249</v>
      </c>
      <c r="N1744" s="262" t="s">
        <v>4249</v>
      </c>
    </row>
    <row r="1745" spans="1:14" ht="12.75" customHeight="1" x14ac:dyDescent="0.2">
      <c r="A1745" s="567"/>
      <c r="B1745" s="567"/>
      <c r="C1745" s="567" t="s">
        <v>1650</v>
      </c>
      <c r="D1745" s="567"/>
      <c r="E1745" s="567"/>
      <c r="F1745" s="567"/>
      <c r="G1745" s="568" t="s">
        <v>2864</v>
      </c>
      <c r="H1745" s="568" t="s">
        <v>296</v>
      </c>
      <c r="I1745" s="239" t="str">
        <f>IF(ISBLANK(global!I258),"",global!I258)</f>
        <v/>
      </c>
      <c r="K1745" s="262" t="s">
        <v>4249</v>
      </c>
      <c r="N1745" s="262" t="s">
        <v>4249</v>
      </c>
    </row>
    <row r="1746" spans="1:14" ht="12.75" customHeight="1" x14ac:dyDescent="0.2">
      <c r="A1746" s="567"/>
      <c r="B1746" s="567"/>
      <c r="C1746" s="567" t="s">
        <v>1652</v>
      </c>
      <c r="D1746" s="567"/>
      <c r="E1746" s="567"/>
      <c r="F1746" s="567"/>
      <c r="G1746" s="568" t="s">
        <v>2865</v>
      </c>
      <c r="H1746" s="568" t="s">
        <v>296</v>
      </c>
      <c r="I1746" s="239" t="str">
        <f>IF(ISBLANK(global!I259),"",global!I259)</f>
        <v/>
      </c>
      <c r="K1746" s="262" t="s">
        <v>4249</v>
      </c>
      <c r="N1746" s="262" t="s">
        <v>4249</v>
      </c>
    </row>
    <row r="1747" spans="1:14" ht="12.75" customHeight="1" x14ac:dyDescent="0.2">
      <c r="A1747" s="567"/>
      <c r="B1747" s="567"/>
      <c r="C1747" s="567" t="s">
        <v>1654</v>
      </c>
      <c r="D1747" s="567"/>
      <c r="E1747" s="567"/>
      <c r="F1747" s="567"/>
      <c r="G1747" s="568" t="s">
        <v>2866</v>
      </c>
      <c r="H1747" s="568" t="s">
        <v>296</v>
      </c>
      <c r="I1747" s="239" t="str">
        <f>IF(ISBLANK(global!I260),"",global!I260)</f>
        <v/>
      </c>
      <c r="K1747" s="262" t="s">
        <v>4249</v>
      </c>
      <c r="N1747" s="262" t="s">
        <v>4249</v>
      </c>
    </row>
    <row r="1748" spans="1:14" ht="12.75" customHeight="1" x14ac:dyDescent="0.2">
      <c r="A1748" s="567" t="s">
        <v>1671</v>
      </c>
      <c r="B1748" s="567"/>
      <c r="C1748" s="567"/>
      <c r="D1748" s="567"/>
      <c r="E1748" s="567"/>
      <c r="F1748" s="567"/>
      <c r="G1748" s="568" t="s">
        <v>2867</v>
      </c>
      <c r="H1748" s="568" t="s">
        <v>340</v>
      </c>
      <c r="I1748" s="239" t="str">
        <f>IF(ISBLANK(global!I261),"",global!I261)</f>
        <v/>
      </c>
      <c r="K1748" s="262" t="s">
        <v>4249</v>
      </c>
      <c r="N1748" s="262" t="s">
        <v>4249</v>
      </c>
    </row>
    <row r="1749" spans="1:14" ht="12.75" customHeight="1" x14ac:dyDescent="0.2">
      <c r="A1749" s="567" t="s">
        <v>2869</v>
      </c>
      <c r="B1749" s="567"/>
      <c r="C1749" s="567"/>
      <c r="D1749" s="567"/>
      <c r="E1749" s="567"/>
      <c r="F1749" s="567"/>
      <c r="G1749" s="568" t="s">
        <v>2870</v>
      </c>
      <c r="H1749" s="568" t="s">
        <v>340</v>
      </c>
      <c r="I1749" s="239" t="str">
        <f>IF(ISBLANK(global!I262),"",global!I262)</f>
        <v/>
      </c>
      <c r="K1749" s="262" t="s">
        <v>4249</v>
      </c>
      <c r="N1749" s="262" t="s">
        <v>4249</v>
      </c>
    </row>
    <row r="1750" spans="1:14" ht="12.75" customHeight="1" x14ac:dyDescent="0.2">
      <c r="A1750" s="567"/>
      <c r="B1750" s="567" t="s">
        <v>1676</v>
      </c>
      <c r="C1750" s="567"/>
      <c r="D1750" s="567"/>
      <c r="E1750" s="567"/>
      <c r="F1750" s="567"/>
      <c r="G1750" s="568" t="s">
        <v>2871</v>
      </c>
      <c r="H1750" s="568" t="s">
        <v>873</v>
      </c>
      <c r="I1750" s="239" t="str">
        <f>IF(ISBLANK(global!I263),"",global!I263)</f>
        <v/>
      </c>
      <c r="K1750" s="262" t="s">
        <v>4249</v>
      </c>
      <c r="N1750" s="262" t="s">
        <v>4249</v>
      </c>
    </row>
    <row r="1751" spans="1:14" ht="12.75" customHeight="1" x14ac:dyDescent="0.2">
      <c r="A1751" s="567"/>
      <c r="B1751" s="567" t="s">
        <v>1678</v>
      </c>
      <c r="C1751" s="567"/>
      <c r="D1751" s="567"/>
      <c r="E1751" s="567"/>
      <c r="F1751" s="567"/>
      <c r="G1751" s="568" t="s">
        <v>2872</v>
      </c>
      <c r="H1751" s="568" t="s">
        <v>1680</v>
      </c>
      <c r="I1751" s="239" t="str">
        <f>IF(ISBLANK(global!I264),"",global!I264)</f>
        <v/>
      </c>
      <c r="K1751" s="262" t="s">
        <v>4249</v>
      </c>
      <c r="N1751" s="262" t="s">
        <v>4249</v>
      </c>
    </row>
    <row r="1752" spans="1:14" ht="12.75" customHeight="1" x14ac:dyDescent="0.2">
      <c r="A1752" s="567"/>
      <c r="B1752" s="567" t="s">
        <v>1683</v>
      </c>
      <c r="C1752" s="567"/>
      <c r="D1752" s="567"/>
      <c r="E1752" s="567"/>
      <c r="F1752" s="567"/>
      <c r="G1752" s="568" t="s">
        <v>2873</v>
      </c>
      <c r="H1752" s="568" t="s">
        <v>1680</v>
      </c>
      <c r="I1752" s="239" t="str">
        <f>IF(ISBLANK(global!I265),"",global!I265)</f>
        <v/>
      </c>
      <c r="K1752" s="262" t="s">
        <v>4249</v>
      </c>
      <c r="N1752" s="262" t="s">
        <v>4249</v>
      </c>
    </row>
    <row r="1753" spans="1:14" ht="12.75" customHeight="1" x14ac:dyDescent="0.2">
      <c r="A1753" s="567"/>
      <c r="B1753" s="567"/>
      <c r="C1753" s="567" t="s">
        <v>1686</v>
      </c>
      <c r="D1753" s="567"/>
      <c r="E1753" s="567"/>
      <c r="F1753" s="567"/>
      <c r="G1753" s="568" t="s">
        <v>2874</v>
      </c>
      <c r="H1753" s="568" t="s">
        <v>873</v>
      </c>
      <c r="I1753" s="239" t="str">
        <f>IF(ISBLANK(global!I266),"",global!I266)</f>
        <v/>
      </c>
      <c r="K1753" s="262" t="s">
        <v>4249</v>
      </c>
      <c r="N1753" s="262" t="s">
        <v>4249</v>
      </c>
    </row>
    <row r="1754" spans="1:14" ht="12.75" customHeight="1" x14ac:dyDescent="0.2">
      <c r="A1754" s="567"/>
      <c r="B1754" s="567"/>
      <c r="C1754" s="567" t="s">
        <v>1648</v>
      </c>
      <c r="D1754" s="567"/>
      <c r="E1754" s="567"/>
      <c r="F1754" s="567"/>
      <c r="G1754" s="568" t="s">
        <v>2875</v>
      </c>
      <c r="H1754" s="568" t="s">
        <v>296</v>
      </c>
      <c r="I1754" s="239" t="str">
        <f>IF(ISBLANK(global!I267),"",global!I267)</f>
        <v/>
      </c>
      <c r="K1754" s="262" t="s">
        <v>4249</v>
      </c>
      <c r="N1754" s="262" t="s">
        <v>4249</v>
      </c>
    </row>
    <row r="1755" spans="1:14" ht="12.75" customHeight="1" x14ac:dyDescent="0.2">
      <c r="A1755" s="567"/>
      <c r="B1755" s="567"/>
      <c r="C1755" s="567" t="s">
        <v>1650</v>
      </c>
      <c r="D1755" s="567"/>
      <c r="E1755" s="567"/>
      <c r="F1755" s="567"/>
      <c r="G1755" s="568" t="s">
        <v>2876</v>
      </c>
      <c r="H1755" s="568" t="s">
        <v>296</v>
      </c>
      <c r="I1755" s="239" t="str">
        <f>IF(ISBLANK(global!I268),"",global!I268)</f>
        <v/>
      </c>
      <c r="K1755" s="262" t="s">
        <v>4249</v>
      </c>
      <c r="N1755" s="262" t="s">
        <v>4249</v>
      </c>
    </row>
    <row r="1756" spans="1:14" ht="12.75" customHeight="1" x14ac:dyDescent="0.2">
      <c r="A1756" s="567"/>
      <c r="B1756" s="567"/>
      <c r="C1756" s="567"/>
      <c r="D1756" s="567" t="s">
        <v>1693</v>
      </c>
      <c r="E1756" s="567"/>
      <c r="F1756" s="567"/>
      <c r="G1756" s="568" t="s">
        <v>2877</v>
      </c>
      <c r="H1756" s="568" t="s">
        <v>820</v>
      </c>
      <c r="I1756" s="239" t="str">
        <f>IF(ISBLANK(global!I269),"",global!I269)</f>
        <v/>
      </c>
      <c r="K1756" s="262" t="s">
        <v>4249</v>
      </c>
      <c r="N1756" s="262" t="s">
        <v>4249</v>
      </c>
    </row>
    <row r="1757" spans="1:14" ht="12.75" customHeight="1" x14ac:dyDescent="0.2">
      <c r="A1757" s="567"/>
      <c r="B1757" s="567"/>
      <c r="C1757" s="567"/>
      <c r="D1757" s="567" t="s">
        <v>1695</v>
      </c>
      <c r="E1757" s="567"/>
      <c r="F1757" s="567"/>
      <c r="G1757" s="568" t="s">
        <v>2878</v>
      </c>
      <c r="H1757" s="568" t="s">
        <v>820</v>
      </c>
      <c r="I1757" s="239" t="str">
        <f>IF(ISBLANK(global!I270),"",global!I270)</f>
        <v/>
      </c>
      <c r="K1757" s="262" t="s">
        <v>4249</v>
      </c>
      <c r="N1757" s="262" t="s">
        <v>4249</v>
      </c>
    </row>
    <row r="1758" spans="1:14" ht="12.75" customHeight="1" x14ac:dyDescent="0.2">
      <c r="A1758" s="567"/>
      <c r="B1758" s="567"/>
      <c r="C1758" s="567"/>
      <c r="D1758" s="567" t="s">
        <v>1697</v>
      </c>
      <c r="E1758" s="567"/>
      <c r="F1758" s="567"/>
      <c r="G1758" s="568" t="s">
        <v>2879</v>
      </c>
      <c r="H1758" s="568" t="s">
        <v>296</v>
      </c>
      <c r="I1758" s="239" t="str">
        <f>IF(ISBLANK(global!I271),"",global!I271)</f>
        <v/>
      </c>
      <c r="K1758" s="262" t="s">
        <v>4249</v>
      </c>
      <c r="N1758" s="262" t="s">
        <v>4249</v>
      </c>
    </row>
    <row r="1759" spans="1:14" ht="12.75" customHeight="1" x14ac:dyDescent="0.2">
      <c r="A1759" s="567"/>
      <c r="B1759" s="567"/>
      <c r="C1759" s="567" t="s">
        <v>1652</v>
      </c>
      <c r="D1759" s="567"/>
      <c r="E1759" s="567"/>
      <c r="F1759" s="567"/>
      <c r="G1759" s="568" t="s">
        <v>2880</v>
      </c>
      <c r="H1759" s="568" t="s">
        <v>296</v>
      </c>
      <c r="I1759" s="239" t="str">
        <f>IF(ISBLANK(global!I272),"",global!I272)</f>
        <v/>
      </c>
      <c r="K1759" s="262" t="s">
        <v>4249</v>
      </c>
      <c r="N1759" s="262" t="s">
        <v>4249</v>
      </c>
    </row>
    <row r="1760" spans="1:14" ht="12.75" customHeight="1" x14ac:dyDescent="0.2">
      <c r="A1760" s="567" t="s">
        <v>2881</v>
      </c>
      <c r="B1760" s="567"/>
      <c r="C1760" s="567"/>
      <c r="D1760" s="567"/>
      <c r="E1760" s="567"/>
      <c r="F1760" s="567"/>
      <c r="G1760" s="568" t="s">
        <v>2882</v>
      </c>
      <c r="H1760" s="568" t="s">
        <v>340</v>
      </c>
      <c r="I1760" s="239" t="str">
        <f>IF(ISBLANK(global!I273),"",global!I273)</f>
        <v/>
      </c>
      <c r="K1760" s="262" t="s">
        <v>4249</v>
      </c>
      <c r="N1760" s="262" t="s">
        <v>4249</v>
      </c>
    </row>
    <row r="1761" spans="1:14" ht="12.75" customHeight="1" x14ac:dyDescent="0.2">
      <c r="A1761" s="567"/>
      <c r="B1761" s="567" t="s">
        <v>1676</v>
      </c>
      <c r="C1761" s="567"/>
      <c r="D1761" s="567"/>
      <c r="E1761" s="567"/>
      <c r="F1761" s="567"/>
      <c r="G1761" s="568" t="s">
        <v>2883</v>
      </c>
      <c r="H1761" s="568" t="s">
        <v>873</v>
      </c>
      <c r="I1761" s="239" t="str">
        <f>IF(ISBLANK(global!I274),"",global!I274)</f>
        <v/>
      </c>
      <c r="K1761" s="262" t="s">
        <v>4249</v>
      </c>
      <c r="N1761" s="262" t="s">
        <v>4249</v>
      </c>
    </row>
    <row r="1762" spans="1:14" ht="12.75" customHeight="1" x14ac:dyDescent="0.2">
      <c r="A1762" s="567"/>
      <c r="B1762" s="567" t="s">
        <v>1683</v>
      </c>
      <c r="C1762" s="567"/>
      <c r="D1762" s="567"/>
      <c r="E1762" s="567"/>
      <c r="F1762" s="567"/>
      <c r="G1762" s="568" t="s">
        <v>2884</v>
      </c>
      <c r="H1762" s="568" t="s">
        <v>1680</v>
      </c>
      <c r="I1762" s="239" t="str">
        <f>IF(ISBLANK(global!I275),"",global!I275)</f>
        <v/>
      </c>
      <c r="K1762" s="262" t="s">
        <v>4249</v>
      </c>
      <c r="N1762" s="262" t="s">
        <v>4249</v>
      </c>
    </row>
    <row r="1763" spans="1:14" ht="12.75" customHeight="1" x14ac:dyDescent="0.2">
      <c r="A1763" s="567"/>
      <c r="B1763" s="567"/>
      <c r="C1763" s="567" t="s">
        <v>1648</v>
      </c>
      <c r="D1763" s="567"/>
      <c r="E1763" s="567"/>
      <c r="F1763" s="567"/>
      <c r="G1763" s="568" t="s">
        <v>2885</v>
      </c>
      <c r="H1763" s="568" t="s">
        <v>296</v>
      </c>
      <c r="I1763" s="239" t="str">
        <f>IF(ISBLANK(global!I276),"",global!I276)</f>
        <v/>
      </c>
      <c r="K1763" s="262" t="s">
        <v>4249</v>
      </c>
      <c r="N1763" s="262" t="s">
        <v>4249</v>
      </c>
    </row>
    <row r="1764" spans="1:14" ht="12.75" customHeight="1" x14ac:dyDescent="0.2">
      <c r="A1764" s="567"/>
      <c r="B1764" s="567"/>
      <c r="C1764" s="567" t="s">
        <v>1650</v>
      </c>
      <c r="D1764" s="567"/>
      <c r="E1764" s="567"/>
      <c r="F1764" s="567"/>
      <c r="G1764" s="568" t="s">
        <v>2886</v>
      </c>
      <c r="H1764" s="568" t="s">
        <v>296</v>
      </c>
      <c r="I1764" s="239" t="str">
        <f>IF(ISBLANK(global!I277),"",global!I277)</f>
        <v/>
      </c>
      <c r="K1764" s="262" t="s">
        <v>4249</v>
      </c>
      <c r="N1764" s="262" t="s">
        <v>4249</v>
      </c>
    </row>
    <row r="1765" spans="1:14" ht="12.75" customHeight="1" x14ac:dyDescent="0.2">
      <c r="A1765" s="567"/>
      <c r="B1765" s="567"/>
      <c r="C1765" s="567" t="s">
        <v>1652</v>
      </c>
      <c r="D1765" s="567"/>
      <c r="E1765" s="567"/>
      <c r="F1765" s="567"/>
      <c r="G1765" s="568" t="s">
        <v>2887</v>
      </c>
      <c r="H1765" s="568" t="s">
        <v>296</v>
      </c>
      <c r="I1765" s="239" t="str">
        <f>IF(ISBLANK(global!I278),"",global!I278)</f>
        <v/>
      </c>
      <c r="K1765" s="262" t="s">
        <v>4249</v>
      </c>
      <c r="N1765" s="262" t="s">
        <v>4249</v>
      </c>
    </row>
    <row r="1766" spans="1:14" ht="12.75" customHeight="1" x14ac:dyDescent="0.2">
      <c r="A1766" s="567" t="s">
        <v>2888</v>
      </c>
      <c r="B1766" s="567"/>
      <c r="C1766" s="567"/>
      <c r="D1766" s="567"/>
      <c r="E1766" s="567"/>
      <c r="F1766" s="567"/>
      <c r="G1766" s="568" t="s">
        <v>2889</v>
      </c>
      <c r="H1766" s="568" t="s">
        <v>340</v>
      </c>
      <c r="I1766" s="239" t="str">
        <f>IF(ISBLANK(global!I279),"",global!I279)</f>
        <v/>
      </c>
      <c r="K1766" s="262" t="s">
        <v>4249</v>
      </c>
      <c r="N1766" s="262" t="s">
        <v>4249</v>
      </c>
    </row>
    <row r="1767" spans="1:14" ht="12.75" customHeight="1" x14ac:dyDescent="0.2">
      <c r="A1767" s="567" t="s">
        <v>2890</v>
      </c>
      <c r="B1767" s="567"/>
      <c r="C1767" s="567"/>
      <c r="D1767" s="567"/>
      <c r="E1767" s="567"/>
      <c r="F1767" s="567"/>
      <c r="G1767" s="568" t="s">
        <v>2891</v>
      </c>
      <c r="H1767" s="568" t="s">
        <v>340</v>
      </c>
      <c r="I1767" s="239" t="str">
        <f>IF(ISBLANK(global!I280),"",global!I280)</f>
        <v/>
      </c>
      <c r="K1767" s="262" t="s">
        <v>4249</v>
      </c>
      <c r="N1767" s="262" t="s">
        <v>4249</v>
      </c>
    </row>
    <row r="1768" spans="1:14" ht="12.75" customHeight="1" x14ac:dyDescent="0.2">
      <c r="A1768" s="567"/>
      <c r="B1768" s="567" t="s">
        <v>1676</v>
      </c>
      <c r="C1768" s="567"/>
      <c r="D1768" s="567"/>
      <c r="E1768" s="567"/>
      <c r="F1768" s="567"/>
      <c r="G1768" s="568" t="s">
        <v>2892</v>
      </c>
      <c r="H1768" s="568" t="s">
        <v>873</v>
      </c>
      <c r="I1768" s="239" t="str">
        <f>IF(ISBLANK(global!I281),"",global!I281)</f>
        <v/>
      </c>
      <c r="K1768" s="262" t="s">
        <v>4249</v>
      </c>
      <c r="N1768" s="262" t="s">
        <v>4249</v>
      </c>
    </row>
    <row r="1769" spans="1:14" ht="12.75" customHeight="1" x14ac:dyDescent="0.2">
      <c r="A1769" s="567"/>
      <c r="B1769" s="567"/>
      <c r="C1769" s="567" t="s">
        <v>1772</v>
      </c>
      <c r="D1769" s="567"/>
      <c r="E1769" s="567"/>
      <c r="F1769" s="567"/>
      <c r="G1769" s="567" t="s">
        <v>2893</v>
      </c>
      <c r="H1769" s="568" t="s">
        <v>1680</v>
      </c>
      <c r="I1769" s="239" t="str">
        <f>IF(ISBLANK(global!I282),"",global!I282)</f>
        <v/>
      </c>
      <c r="K1769" s="262" t="s">
        <v>4249</v>
      </c>
      <c r="N1769" s="262" t="s">
        <v>4249</v>
      </c>
    </row>
    <row r="1770" spans="1:14" ht="12.75" customHeight="1" x14ac:dyDescent="0.2">
      <c r="A1770" s="567"/>
      <c r="B1770" s="567"/>
      <c r="C1770" s="567" t="s">
        <v>2894</v>
      </c>
      <c r="D1770" s="567"/>
      <c r="E1770" s="567"/>
      <c r="F1770" s="567"/>
      <c r="G1770" s="568" t="s">
        <v>2895</v>
      </c>
      <c r="H1770" s="568" t="s">
        <v>1680</v>
      </c>
      <c r="I1770" s="239" t="str">
        <f>IF(ISBLANK(global!I283),"",global!I283)</f>
        <v/>
      </c>
      <c r="K1770" s="262" t="s">
        <v>4249</v>
      </c>
      <c r="N1770" s="262" t="s">
        <v>4249</v>
      </c>
    </row>
    <row r="1771" spans="1:14" ht="12.75" customHeight="1" x14ac:dyDescent="0.2">
      <c r="A1771" s="567"/>
      <c r="B1771" s="567"/>
      <c r="C1771" s="567" t="s">
        <v>1760</v>
      </c>
      <c r="D1771" s="567"/>
      <c r="E1771" s="567"/>
      <c r="F1771" s="567"/>
      <c r="G1771" s="568" t="s">
        <v>2896</v>
      </c>
      <c r="H1771" s="568" t="s">
        <v>873</v>
      </c>
      <c r="I1771" s="239" t="str">
        <f>IF(ISBLANK(global!I284),"",global!I284)</f>
        <v/>
      </c>
      <c r="K1771" s="262" t="s">
        <v>4249</v>
      </c>
      <c r="N1771" s="262" t="s">
        <v>4249</v>
      </c>
    </row>
    <row r="1772" spans="1:14" ht="12.75" customHeight="1" x14ac:dyDescent="0.2">
      <c r="A1772" s="567"/>
      <c r="B1772" s="567"/>
      <c r="C1772" s="567"/>
      <c r="D1772" s="567" t="s">
        <v>1648</v>
      </c>
      <c r="E1772" s="567"/>
      <c r="F1772" s="567"/>
      <c r="G1772" s="568" t="s">
        <v>2897</v>
      </c>
      <c r="H1772" s="568" t="s">
        <v>296</v>
      </c>
      <c r="I1772" s="239" t="str">
        <f>IF(ISBLANK(global!I285),"",global!I285)</f>
        <v/>
      </c>
      <c r="K1772" s="262" t="s">
        <v>4249</v>
      </c>
      <c r="N1772" s="262" t="s">
        <v>4249</v>
      </c>
    </row>
    <row r="1773" spans="1:14" ht="12.75" customHeight="1" x14ac:dyDescent="0.2">
      <c r="A1773" s="567"/>
      <c r="B1773" s="567"/>
      <c r="C1773" s="567"/>
      <c r="D1773" s="567" t="s">
        <v>1652</v>
      </c>
      <c r="E1773" s="567"/>
      <c r="F1773" s="567"/>
      <c r="G1773" s="568" t="s">
        <v>2898</v>
      </c>
      <c r="H1773" s="568" t="s">
        <v>296</v>
      </c>
      <c r="I1773" s="239" t="str">
        <f>IF(ISBLANK(global!I286),"",global!I286)</f>
        <v/>
      </c>
      <c r="K1773" s="262" t="s">
        <v>4249</v>
      </c>
      <c r="N1773" s="262" t="s">
        <v>4249</v>
      </c>
    </row>
    <row r="1774" spans="1:14" ht="12.75" customHeight="1" x14ac:dyDescent="0.2">
      <c r="A1774" s="567" t="s">
        <v>2899</v>
      </c>
      <c r="B1774" s="567"/>
      <c r="C1774" s="567"/>
      <c r="D1774" s="567"/>
      <c r="E1774" s="567"/>
      <c r="F1774" s="567"/>
      <c r="G1774" s="567" t="s">
        <v>2900</v>
      </c>
      <c r="H1774" s="568" t="s">
        <v>340</v>
      </c>
      <c r="I1774" s="239" t="str">
        <f>IF(ISBLANK(global!I287),"",global!I287)</f>
        <v/>
      </c>
      <c r="K1774" s="262" t="s">
        <v>4249</v>
      </c>
      <c r="N1774" s="262" t="s">
        <v>4249</v>
      </c>
    </row>
    <row r="1775" spans="1:14" ht="12.75" customHeight="1" x14ac:dyDescent="0.2">
      <c r="A1775" s="567"/>
      <c r="B1775" s="567" t="s">
        <v>1676</v>
      </c>
      <c r="C1775" s="567"/>
      <c r="D1775" s="567"/>
      <c r="E1775" s="567"/>
      <c r="F1775" s="567"/>
      <c r="G1775" s="568" t="s">
        <v>2901</v>
      </c>
      <c r="H1775" s="568" t="s">
        <v>873</v>
      </c>
      <c r="I1775" s="239" t="str">
        <f>IF(ISBLANK(global!I288),"",global!I288)</f>
        <v/>
      </c>
      <c r="K1775" s="262" t="s">
        <v>4249</v>
      </c>
      <c r="N1775" s="262" t="s">
        <v>4249</v>
      </c>
    </row>
    <row r="1776" spans="1:14" ht="12.75" customHeight="1" x14ac:dyDescent="0.2">
      <c r="A1776" s="567"/>
      <c r="B1776" s="567"/>
      <c r="C1776" s="567" t="s">
        <v>1758</v>
      </c>
      <c r="D1776" s="567"/>
      <c r="E1776" s="567"/>
      <c r="F1776" s="567"/>
      <c r="G1776" s="568" t="s">
        <v>2902</v>
      </c>
      <c r="H1776" s="568" t="s">
        <v>1680</v>
      </c>
      <c r="I1776" s="239" t="str">
        <f>IF(ISBLANK(global!I289),"",global!I289)</f>
        <v/>
      </c>
      <c r="K1776" s="262" t="s">
        <v>4249</v>
      </c>
      <c r="N1776" s="262" t="s">
        <v>4249</v>
      </c>
    </row>
    <row r="1777" spans="1:14" ht="12.75" customHeight="1" x14ac:dyDescent="0.2">
      <c r="A1777" s="567"/>
      <c r="B1777" s="567"/>
      <c r="C1777" s="567"/>
      <c r="D1777" s="567" t="s">
        <v>1648</v>
      </c>
      <c r="E1777" s="567"/>
      <c r="F1777" s="567"/>
      <c r="G1777" s="568" t="s">
        <v>2903</v>
      </c>
      <c r="H1777" s="568" t="s">
        <v>296</v>
      </c>
      <c r="I1777" s="239" t="str">
        <f>IF(ISBLANK(global!I290),"",global!I290)</f>
        <v/>
      </c>
      <c r="K1777" s="262" t="s">
        <v>4249</v>
      </c>
      <c r="N1777" s="262" t="s">
        <v>4249</v>
      </c>
    </row>
    <row r="1778" spans="1:14" ht="12.75" customHeight="1" x14ac:dyDescent="0.2">
      <c r="A1778" s="567"/>
      <c r="B1778" s="567"/>
      <c r="C1778" s="567"/>
      <c r="D1778" s="567" t="s">
        <v>1652</v>
      </c>
      <c r="E1778" s="567"/>
      <c r="F1778" s="567"/>
      <c r="G1778" s="568" t="s">
        <v>2904</v>
      </c>
      <c r="H1778" s="568" t="s">
        <v>296</v>
      </c>
      <c r="I1778" s="239" t="str">
        <f>IF(ISBLANK(global!I291),"",global!I291)</f>
        <v/>
      </c>
      <c r="K1778" s="262" t="s">
        <v>4249</v>
      </c>
      <c r="N1778" s="262" t="s">
        <v>4249</v>
      </c>
    </row>
    <row r="1779" spans="1:14" ht="12.75" customHeight="1" x14ac:dyDescent="0.2">
      <c r="A1779" s="567" t="s">
        <v>2905</v>
      </c>
      <c r="B1779" s="567"/>
      <c r="C1779" s="567"/>
      <c r="D1779" s="567"/>
      <c r="E1779" s="567"/>
      <c r="F1779" s="567"/>
      <c r="G1779" s="567" t="s">
        <v>2906</v>
      </c>
      <c r="H1779" s="568" t="s">
        <v>340</v>
      </c>
      <c r="I1779" s="239" t="str">
        <f>IF(ISBLANK(global!I292),"",global!I292)</f>
        <v/>
      </c>
      <c r="K1779" s="262" t="s">
        <v>4249</v>
      </c>
      <c r="N1779" s="262" t="s">
        <v>4249</v>
      </c>
    </row>
    <row r="1780" spans="1:14" ht="12.75" customHeight="1" x14ac:dyDescent="0.2">
      <c r="A1780" s="567" t="s">
        <v>2907</v>
      </c>
      <c r="B1780" s="567"/>
      <c r="C1780" s="567"/>
      <c r="D1780" s="567"/>
      <c r="E1780" s="567"/>
      <c r="F1780" s="567"/>
      <c r="G1780" s="568" t="s">
        <v>2908</v>
      </c>
      <c r="H1780" s="568" t="s">
        <v>340</v>
      </c>
      <c r="I1780" s="239" t="str">
        <f>IF(ISBLANK(global!I293),"",global!I293)</f>
        <v/>
      </c>
      <c r="K1780" s="262" t="s">
        <v>4249</v>
      </c>
      <c r="N1780" s="262" t="s">
        <v>4249</v>
      </c>
    </row>
    <row r="1781" spans="1:14" ht="12.75" customHeight="1" x14ac:dyDescent="0.2">
      <c r="A1781" s="567" t="s">
        <v>2909</v>
      </c>
      <c r="B1781" s="567"/>
      <c r="C1781" s="567"/>
      <c r="D1781" s="567"/>
      <c r="E1781" s="567"/>
      <c r="F1781" s="567"/>
      <c r="G1781" s="568" t="s">
        <v>2910</v>
      </c>
      <c r="H1781" s="568" t="s">
        <v>340</v>
      </c>
      <c r="I1781" s="239" t="str">
        <f>IF(ISBLANK(global!I294),"",global!I294)</f>
        <v/>
      </c>
      <c r="K1781" s="262" t="s">
        <v>4249</v>
      </c>
      <c r="N1781" s="262" t="s">
        <v>4249</v>
      </c>
    </row>
    <row r="1782" spans="1:14" ht="12.75" customHeight="1" x14ac:dyDescent="0.2">
      <c r="A1782" s="567" t="s">
        <v>2911</v>
      </c>
      <c r="B1782" s="567"/>
      <c r="C1782" s="567"/>
      <c r="D1782" s="567"/>
      <c r="E1782" s="567"/>
      <c r="F1782" s="567"/>
      <c r="G1782" s="568" t="s">
        <v>2912</v>
      </c>
      <c r="H1782" s="568" t="s">
        <v>340</v>
      </c>
      <c r="I1782" s="239" t="str">
        <f>IF(ISBLANK(global!I295),"",global!I295)</f>
        <v/>
      </c>
      <c r="K1782" s="262" t="s">
        <v>4249</v>
      </c>
      <c r="N1782" s="262" t="s">
        <v>4249</v>
      </c>
    </row>
    <row r="1783" spans="1:14" ht="12.75" customHeight="1" x14ac:dyDescent="0.2">
      <c r="A1783" s="567" t="s">
        <v>2913</v>
      </c>
      <c r="B1783" s="567"/>
      <c r="C1783" s="567"/>
      <c r="D1783" s="567"/>
      <c r="E1783" s="567"/>
      <c r="F1783" s="567"/>
      <c r="G1783" s="568" t="s">
        <v>2914</v>
      </c>
      <c r="H1783" s="568" t="s">
        <v>340</v>
      </c>
      <c r="I1783" s="239" t="str">
        <f>IF(ISBLANK(global!I296),"",global!I296)</f>
        <v/>
      </c>
      <c r="K1783" s="262" t="s">
        <v>4249</v>
      </c>
      <c r="N1783" s="262" t="s">
        <v>4249</v>
      </c>
    </row>
    <row r="1784" spans="1:14" ht="12.75" customHeight="1" x14ac:dyDescent="0.2">
      <c r="A1784" s="567" t="s">
        <v>2915</v>
      </c>
      <c r="B1784" s="567"/>
      <c r="C1784" s="567"/>
      <c r="D1784" s="567"/>
      <c r="E1784" s="567"/>
      <c r="F1784" s="567"/>
      <c r="G1784" s="568" t="s">
        <v>2916</v>
      </c>
      <c r="H1784" s="568" t="s">
        <v>340</v>
      </c>
      <c r="I1784" s="239" t="str">
        <f>IF(ISBLANK(global!I297),"",global!I297)</f>
        <v/>
      </c>
      <c r="K1784" s="262" t="s">
        <v>4249</v>
      </c>
      <c r="N1784" s="262" t="s">
        <v>4249</v>
      </c>
    </row>
    <row r="1785" spans="1:14" ht="12.75" customHeight="1" x14ac:dyDescent="0.2">
      <c r="A1785" s="567" t="s">
        <v>2917</v>
      </c>
      <c r="B1785" s="567"/>
      <c r="C1785" s="567"/>
      <c r="D1785" s="567"/>
      <c r="E1785" s="567"/>
      <c r="F1785" s="567"/>
      <c r="G1785" s="568" t="s">
        <v>2918</v>
      </c>
      <c r="H1785" s="568" t="s">
        <v>340</v>
      </c>
      <c r="I1785" s="239" t="str">
        <f>IF(ISBLANK(global!I298),"",global!I298)</f>
        <v/>
      </c>
      <c r="K1785" s="262" t="s">
        <v>4249</v>
      </c>
      <c r="N1785" s="262" t="s">
        <v>4249</v>
      </c>
    </row>
    <row r="1786" spans="1:14" ht="12.75" customHeight="1" x14ac:dyDescent="0.2">
      <c r="A1786" s="567" t="s">
        <v>2919</v>
      </c>
      <c r="B1786" s="567"/>
      <c r="C1786" s="567"/>
      <c r="D1786" s="567"/>
      <c r="E1786" s="567"/>
      <c r="F1786" s="567"/>
      <c r="G1786" s="568" t="s">
        <v>2920</v>
      </c>
      <c r="H1786" s="568" t="s">
        <v>340</v>
      </c>
      <c r="I1786" s="239" t="str">
        <f>IF(ISBLANK(global!I299),"",global!I299)</f>
        <v/>
      </c>
      <c r="K1786" s="262" t="s">
        <v>4249</v>
      </c>
      <c r="N1786" s="262" t="s">
        <v>4249</v>
      </c>
    </row>
    <row r="1787" spans="1:14" ht="12.75" customHeight="1" x14ac:dyDescent="0.2">
      <c r="A1787" s="567" t="s">
        <v>2922</v>
      </c>
      <c r="B1787" s="567"/>
      <c r="C1787" s="567"/>
      <c r="D1787" s="567"/>
      <c r="E1787" s="567"/>
      <c r="F1787" s="567"/>
      <c r="G1787" s="568" t="s">
        <v>2923</v>
      </c>
      <c r="H1787" s="568" t="s">
        <v>340</v>
      </c>
      <c r="I1787" s="239" t="str">
        <f>IF(ISBLANK(global!I300),"",global!I300)</f>
        <v/>
      </c>
      <c r="K1787" s="262" t="s">
        <v>4249</v>
      </c>
      <c r="N1787" s="262" t="s">
        <v>4249</v>
      </c>
    </row>
    <row r="1788" spans="1:14" ht="12.75" customHeight="1" x14ac:dyDescent="0.2">
      <c r="A1788" s="567" t="s">
        <v>2924</v>
      </c>
      <c r="B1788" s="567"/>
      <c r="C1788" s="567"/>
      <c r="D1788" s="567"/>
      <c r="E1788" s="567"/>
      <c r="F1788" s="567"/>
      <c r="G1788" s="568" t="s">
        <v>2925</v>
      </c>
      <c r="H1788" s="568" t="s">
        <v>340</v>
      </c>
      <c r="I1788" s="239" t="str">
        <f>IF(ISBLANK(global!I301),"",global!I301)</f>
        <v/>
      </c>
      <c r="K1788" s="262" t="s">
        <v>4249</v>
      </c>
      <c r="N1788" s="262" t="s">
        <v>4249</v>
      </c>
    </row>
    <row r="1789" spans="1:14" ht="12.75" customHeight="1" x14ac:dyDescent="0.2">
      <c r="A1789" s="567" t="s">
        <v>2926</v>
      </c>
      <c r="B1789" s="567"/>
      <c r="C1789" s="567"/>
      <c r="D1789" s="567"/>
      <c r="E1789" s="567"/>
      <c r="F1789" s="567"/>
      <c r="G1789" s="568" t="s">
        <v>2927</v>
      </c>
      <c r="H1789" s="568" t="s">
        <v>340</v>
      </c>
      <c r="I1789" s="239" t="str">
        <f>IF(ISBLANK(global!I302),"",global!I302)</f>
        <v/>
      </c>
      <c r="K1789" s="262" t="s">
        <v>4249</v>
      </c>
      <c r="N1789" s="262" t="s">
        <v>4249</v>
      </c>
    </row>
    <row r="1790" spans="1:14" ht="12.75" customHeight="1" x14ac:dyDescent="0.2">
      <c r="A1790" s="567" t="s">
        <v>2928</v>
      </c>
      <c r="B1790" s="567"/>
      <c r="C1790" s="567"/>
      <c r="D1790" s="567"/>
      <c r="E1790" s="567"/>
      <c r="F1790" s="567"/>
      <c r="G1790" s="568" t="s">
        <v>2929</v>
      </c>
      <c r="H1790" s="568" t="s">
        <v>340</v>
      </c>
      <c r="I1790" s="239" t="str">
        <f>IF(ISBLANK(global!I303),"",global!I303)</f>
        <v/>
      </c>
      <c r="K1790" s="262" t="s">
        <v>4249</v>
      </c>
      <c r="N1790" s="262" t="s">
        <v>4249</v>
      </c>
    </row>
    <row r="1791" spans="1:14" ht="12.75" customHeight="1" x14ac:dyDescent="0.2">
      <c r="A1791" s="567" t="s">
        <v>2930</v>
      </c>
      <c r="B1791" s="567"/>
      <c r="C1791" s="567"/>
      <c r="D1791" s="567"/>
      <c r="E1791" s="567"/>
      <c r="F1791" s="567"/>
      <c r="G1791" s="568" t="s">
        <v>2931</v>
      </c>
      <c r="H1791" s="568" t="s">
        <v>340</v>
      </c>
      <c r="I1791" s="239" t="str">
        <f>IF(ISBLANK(global!I304),"",global!I304)</f>
        <v/>
      </c>
      <c r="K1791" s="262" t="s">
        <v>4249</v>
      </c>
      <c r="N1791" s="262" t="s">
        <v>4249</v>
      </c>
    </row>
    <row r="1792" spans="1:14" ht="12.75" customHeight="1" x14ac:dyDescent="0.2">
      <c r="A1792" s="567" t="s">
        <v>2932</v>
      </c>
      <c r="B1792" s="567"/>
      <c r="C1792" s="567"/>
      <c r="D1792" s="567"/>
      <c r="E1792" s="567"/>
      <c r="F1792" s="567"/>
      <c r="G1792" s="568" t="s">
        <v>2933</v>
      </c>
      <c r="H1792" s="568" t="s">
        <v>340</v>
      </c>
      <c r="I1792" s="239" t="str">
        <f>IF(ISBLANK(global!I305),"",global!I305)</f>
        <v/>
      </c>
      <c r="K1792" s="262" t="s">
        <v>4249</v>
      </c>
      <c r="N1792" s="262" t="s">
        <v>4249</v>
      </c>
    </row>
    <row r="1793" spans="1:14" ht="12.75" customHeight="1" x14ac:dyDescent="0.2">
      <c r="A1793" s="567" t="s">
        <v>2934</v>
      </c>
      <c r="B1793" s="567"/>
      <c r="C1793" s="567"/>
      <c r="D1793" s="567"/>
      <c r="E1793" s="567"/>
      <c r="F1793" s="567"/>
      <c r="G1793" s="568" t="s">
        <v>2935</v>
      </c>
      <c r="H1793" s="568" t="s">
        <v>340</v>
      </c>
      <c r="I1793" s="239" t="str">
        <f>IF(ISBLANK(global!I306),"",global!I306)</f>
        <v/>
      </c>
      <c r="K1793" s="262" t="s">
        <v>4249</v>
      </c>
      <c r="N1793" s="262" t="s">
        <v>4249</v>
      </c>
    </row>
    <row r="1794" spans="1:14" ht="12.75" customHeight="1" x14ac:dyDescent="0.2">
      <c r="A1794" s="567" t="s">
        <v>2936</v>
      </c>
      <c r="B1794" s="567"/>
      <c r="C1794" s="567"/>
      <c r="D1794" s="567"/>
      <c r="E1794" s="567"/>
      <c r="F1794" s="567"/>
      <c r="G1794" s="568" t="s">
        <v>2937</v>
      </c>
      <c r="H1794" s="568" t="s">
        <v>340</v>
      </c>
      <c r="I1794" s="239" t="str">
        <f>IF(ISBLANK(global!I307),"",global!I307)</f>
        <v/>
      </c>
      <c r="K1794" s="262" t="s">
        <v>4249</v>
      </c>
      <c r="N1794" s="262" t="s">
        <v>4249</v>
      </c>
    </row>
    <row r="1795" spans="1:14" ht="12.75" customHeight="1" x14ac:dyDescent="0.2">
      <c r="A1795" s="567" t="s">
        <v>1867</v>
      </c>
      <c r="B1795" s="567"/>
      <c r="C1795" s="567"/>
      <c r="D1795" s="567"/>
      <c r="E1795" s="567"/>
      <c r="F1795" s="567"/>
      <c r="G1795" s="568" t="s">
        <v>2938</v>
      </c>
      <c r="H1795" s="568" t="s">
        <v>340</v>
      </c>
      <c r="I1795" s="239" t="str">
        <f>IF(ISBLANK(global!I308),"",global!I308)</f>
        <v/>
      </c>
      <c r="K1795" s="262" t="s">
        <v>4249</v>
      </c>
      <c r="N1795" s="262" t="s">
        <v>4249</v>
      </c>
    </row>
    <row r="1796" spans="1:14" ht="12.75" customHeight="1" x14ac:dyDescent="0.2">
      <c r="A1796" s="567" t="s">
        <v>1874</v>
      </c>
      <c r="B1796" s="567"/>
      <c r="C1796" s="567"/>
      <c r="D1796" s="567"/>
      <c r="E1796" s="567"/>
      <c r="F1796" s="567"/>
      <c r="G1796" s="568" t="s">
        <v>2939</v>
      </c>
      <c r="H1796" s="568" t="s">
        <v>340</v>
      </c>
      <c r="I1796" s="239" t="str">
        <f>IF(ISBLANK(global!I309),"",global!I309)</f>
        <v/>
      </c>
      <c r="K1796" s="262" t="s">
        <v>4249</v>
      </c>
      <c r="N1796" s="262" t="s">
        <v>4249</v>
      </c>
    </row>
    <row r="1797" spans="1:14" ht="12.75" customHeight="1" x14ac:dyDescent="0.2">
      <c r="A1797" s="567" t="s">
        <v>1880</v>
      </c>
      <c r="B1797" s="567"/>
      <c r="C1797" s="567"/>
      <c r="D1797" s="567"/>
      <c r="E1797" s="567"/>
      <c r="F1797" s="567"/>
      <c r="G1797" s="568" t="s">
        <v>2940</v>
      </c>
      <c r="H1797" s="568" t="s">
        <v>340</v>
      </c>
      <c r="I1797" s="239" t="str">
        <f>IF(ISBLANK(global!I310),"",global!I310)</f>
        <v/>
      </c>
      <c r="K1797" s="262" t="s">
        <v>4249</v>
      </c>
      <c r="N1797" s="262" t="s">
        <v>4249</v>
      </c>
    </row>
    <row r="1798" spans="1:14" ht="12.75" customHeight="1" x14ac:dyDescent="0.2">
      <c r="A1798" s="172" t="s">
        <v>2941</v>
      </c>
      <c r="I1798" s="239" t="str">
        <f>IF(ISBLANK(global!I311),"",global!I311)</f>
        <v/>
      </c>
      <c r="K1798" s="262" t="s">
        <v>4249</v>
      </c>
      <c r="N1798" s="262" t="s">
        <v>4249</v>
      </c>
    </row>
    <row r="1799" spans="1:14" ht="12.75" customHeight="1" x14ac:dyDescent="0.2">
      <c r="A1799" s="568" t="s">
        <v>1322</v>
      </c>
      <c r="B1799" s="567"/>
      <c r="C1799" s="567"/>
      <c r="D1799" s="567"/>
      <c r="E1799" s="567"/>
      <c r="F1799" s="567"/>
      <c r="G1799" s="568" t="s">
        <v>2942</v>
      </c>
      <c r="H1799" s="568" t="s">
        <v>624</v>
      </c>
      <c r="I1799" s="239" t="str">
        <f>IF(ISBLANK(global!I312),"",global!I312)</f>
        <v/>
      </c>
      <c r="K1799" s="262" t="s">
        <v>4249</v>
      </c>
      <c r="N1799" s="262" t="s">
        <v>4249</v>
      </c>
    </row>
    <row r="1800" spans="1:14" ht="12.75" customHeight="1" x14ac:dyDescent="0.2">
      <c r="A1800" s="568" t="s">
        <v>1322</v>
      </c>
      <c r="B1800" s="567"/>
      <c r="C1800" s="567"/>
      <c r="D1800" s="567"/>
      <c r="E1800" s="567"/>
      <c r="F1800" s="567"/>
      <c r="G1800" s="568" t="s">
        <v>2943</v>
      </c>
      <c r="H1800" s="568" t="s">
        <v>624</v>
      </c>
      <c r="I1800" s="239" t="str">
        <f>IF(ISBLANK(global!I313),"",global!I313)</f>
        <v/>
      </c>
      <c r="K1800" s="262" t="s">
        <v>4249</v>
      </c>
      <c r="N1800" s="262" t="s">
        <v>4249</v>
      </c>
    </row>
    <row r="1801" spans="1:14" ht="12.75" customHeight="1" x14ac:dyDescent="0.2">
      <c r="A1801" s="568" t="s">
        <v>1322</v>
      </c>
      <c r="B1801" s="567"/>
      <c r="C1801" s="567"/>
      <c r="D1801" s="567"/>
      <c r="E1801" s="567"/>
      <c r="F1801" s="567"/>
      <c r="G1801" s="568" t="s">
        <v>2944</v>
      </c>
      <c r="H1801" s="568" t="s">
        <v>624</v>
      </c>
      <c r="I1801" s="239" t="str">
        <f>IF(ISBLANK(global!I314),"",global!I314)</f>
        <v/>
      </c>
      <c r="K1801" s="262" t="s">
        <v>4249</v>
      </c>
      <c r="N1801" s="262" t="s">
        <v>4249</v>
      </c>
    </row>
    <row r="1802" spans="1:14" ht="12.75" customHeight="1" x14ac:dyDescent="0.2">
      <c r="A1802" s="568" t="s">
        <v>2719</v>
      </c>
      <c r="B1802" s="567"/>
      <c r="C1802" s="567"/>
      <c r="D1802" s="567"/>
      <c r="E1802" s="567"/>
      <c r="F1802" s="567"/>
      <c r="G1802" s="568" t="s">
        <v>2945</v>
      </c>
      <c r="H1802" s="568" t="s">
        <v>624</v>
      </c>
      <c r="I1802" s="239" t="str">
        <f>IF(ISBLANK(global!I315),"",global!I315)</f>
        <v/>
      </c>
      <c r="K1802" s="262" t="s">
        <v>4249</v>
      </c>
      <c r="N1802" s="262" t="s">
        <v>4249</v>
      </c>
    </row>
    <row r="1803" spans="1:14" ht="12.75" customHeight="1" x14ac:dyDescent="0.2">
      <c r="A1803" s="568" t="s">
        <v>2719</v>
      </c>
      <c r="B1803" s="567"/>
      <c r="C1803" s="567"/>
      <c r="D1803" s="567"/>
      <c r="E1803" s="567"/>
      <c r="F1803" s="567"/>
      <c r="G1803" s="568" t="s">
        <v>2946</v>
      </c>
      <c r="H1803" s="568" t="s">
        <v>624</v>
      </c>
      <c r="I1803" s="239" t="str">
        <f>IF(ISBLANK(global!I316),"",global!I316)</f>
        <v/>
      </c>
      <c r="K1803" s="262" t="s">
        <v>4249</v>
      </c>
      <c r="N1803" s="262" t="s">
        <v>4249</v>
      </c>
    </row>
    <row r="1804" spans="1:14" ht="12.75" customHeight="1" x14ac:dyDescent="0.2">
      <c r="A1804" s="568" t="s">
        <v>2719</v>
      </c>
      <c r="B1804" s="567"/>
      <c r="C1804" s="567"/>
      <c r="D1804" s="567"/>
      <c r="E1804" s="567"/>
      <c r="F1804" s="567"/>
      <c r="G1804" s="568" t="s">
        <v>2947</v>
      </c>
      <c r="H1804" s="568" t="s">
        <v>624</v>
      </c>
      <c r="I1804" s="239" t="str">
        <f>IF(ISBLANK(global!I317),"",global!I317)</f>
        <v/>
      </c>
      <c r="K1804" s="262" t="s">
        <v>4249</v>
      </c>
      <c r="N1804" s="262" t="s">
        <v>4249</v>
      </c>
    </row>
    <row r="1805" spans="1:14" ht="12.75" customHeight="1" x14ac:dyDescent="0.2">
      <c r="A1805" s="568" t="s">
        <v>2721</v>
      </c>
      <c r="B1805" s="567"/>
      <c r="C1805" s="567"/>
      <c r="D1805" s="567"/>
      <c r="E1805" s="567"/>
      <c r="F1805" s="567"/>
      <c r="G1805" s="568" t="s">
        <v>2948</v>
      </c>
      <c r="H1805" s="568" t="s">
        <v>624</v>
      </c>
      <c r="I1805" s="239" t="str">
        <f>IF(ISBLANK(global!I318),"",global!I318)</f>
        <v/>
      </c>
      <c r="K1805" s="262" t="s">
        <v>4249</v>
      </c>
      <c r="N1805" s="262" t="s">
        <v>4249</v>
      </c>
    </row>
    <row r="1806" spans="1:14" ht="12.75" customHeight="1" x14ac:dyDescent="0.2">
      <c r="A1806" s="568" t="s">
        <v>2721</v>
      </c>
      <c r="B1806" s="567"/>
      <c r="C1806" s="567"/>
      <c r="D1806" s="567"/>
      <c r="E1806" s="567"/>
      <c r="F1806" s="567"/>
      <c r="G1806" s="568" t="s">
        <v>2949</v>
      </c>
      <c r="H1806" s="568" t="s">
        <v>624</v>
      </c>
      <c r="I1806" s="239" t="str">
        <f>IF(ISBLANK(global!I319),"",global!I319)</f>
        <v/>
      </c>
      <c r="K1806" s="262" t="s">
        <v>4249</v>
      </c>
      <c r="N1806" s="262" t="s">
        <v>4249</v>
      </c>
    </row>
    <row r="1807" spans="1:14" ht="12.75" customHeight="1" x14ac:dyDescent="0.2">
      <c r="A1807" s="568" t="s">
        <v>2721</v>
      </c>
      <c r="B1807" s="567"/>
      <c r="C1807" s="567"/>
      <c r="D1807" s="567"/>
      <c r="E1807" s="567"/>
      <c r="F1807" s="567"/>
      <c r="G1807" s="568" t="s">
        <v>2950</v>
      </c>
      <c r="H1807" s="568" t="s">
        <v>624</v>
      </c>
      <c r="I1807" s="239" t="str">
        <f>IF(ISBLANK(global!I320),"",global!I320)</f>
        <v/>
      </c>
      <c r="K1807" s="262" t="s">
        <v>4249</v>
      </c>
      <c r="N1807" s="262" t="s">
        <v>4249</v>
      </c>
    </row>
    <row r="1808" spans="1:14" ht="12.75" customHeight="1" x14ac:dyDescent="0.2">
      <c r="A1808" s="568" t="s">
        <v>2723</v>
      </c>
      <c r="B1808" s="567"/>
      <c r="C1808" s="567"/>
      <c r="D1808" s="567"/>
      <c r="E1808" s="567"/>
      <c r="F1808" s="567"/>
      <c r="G1808" s="568" t="s">
        <v>2951</v>
      </c>
      <c r="H1808" s="568" t="s">
        <v>624</v>
      </c>
      <c r="I1808" s="239" t="str">
        <f>IF(ISBLANK(global!I321),"",global!I321)</f>
        <v/>
      </c>
      <c r="K1808" s="262" t="s">
        <v>4249</v>
      </c>
      <c r="N1808" s="262" t="s">
        <v>4249</v>
      </c>
    </row>
    <row r="1809" spans="1:14" ht="12.75" customHeight="1" x14ac:dyDescent="0.2">
      <c r="A1809" s="568" t="s">
        <v>2723</v>
      </c>
      <c r="B1809" s="567"/>
      <c r="C1809" s="567"/>
      <c r="D1809" s="567"/>
      <c r="E1809" s="567"/>
      <c r="F1809" s="567"/>
      <c r="G1809" s="568" t="s">
        <v>2952</v>
      </c>
      <c r="H1809" s="568" t="s">
        <v>624</v>
      </c>
      <c r="I1809" s="239" t="str">
        <f>IF(ISBLANK(global!I322),"",global!I322)</f>
        <v/>
      </c>
      <c r="K1809" s="262" t="s">
        <v>4249</v>
      </c>
      <c r="N1809" s="262" t="s">
        <v>4249</v>
      </c>
    </row>
    <row r="1810" spans="1:14" ht="12.75" customHeight="1" x14ac:dyDescent="0.2">
      <c r="A1810" s="568" t="s">
        <v>2723</v>
      </c>
      <c r="B1810" s="567"/>
      <c r="C1810" s="567"/>
      <c r="D1810" s="567"/>
      <c r="E1810" s="567"/>
      <c r="F1810" s="567"/>
      <c r="G1810" s="568" t="s">
        <v>2953</v>
      </c>
      <c r="H1810" s="568" t="s">
        <v>624</v>
      </c>
      <c r="I1810" s="239" t="str">
        <f>IF(ISBLANK(global!I323),"",global!I323)</f>
        <v/>
      </c>
      <c r="K1810" s="262" t="s">
        <v>4249</v>
      </c>
      <c r="N1810" s="262" t="s">
        <v>4249</v>
      </c>
    </row>
    <row r="1811" spans="1:14" ht="12.75" customHeight="1" x14ac:dyDescent="0.2">
      <c r="A1811" s="568" t="s">
        <v>2725</v>
      </c>
      <c r="B1811" s="567"/>
      <c r="C1811" s="567"/>
      <c r="D1811" s="567"/>
      <c r="E1811" s="567"/>
      <c r="F1811" s="567"/>
      <c r="G1811" s="568" t="s">
        <v>2954</v>
      </c>
      <c r="H1811" s="568" t="s">
        <v>624</v>
      </c>
      <c r="I1811" s="239" t="str">
        <f>IF(ISBLANK(global!I324),"",global!I324)</f>
        <v/>
      </c>
      <c r="K1811" s="262" t="s">
        <v>4249</v>
      </c>
      <c r="N1811" s="262" t="s">
        <v>4249</v>
      </c>
    </row>
    <row r="1812" spans="1:14" ht="12.75" customHeight="1" x14ac:dyDescent="0.2">
      <c r="A1812" s="568" t="s">
        <v>2725</v>
      </c>
      <c r="B1812" s="567"/>
      <c r="C1812" s="567"/>
      <c r="D1812" s="567"/>
      <c r="E1812" s="567"/>
      <c r="F1812" s="567"/>
      <c r="G1812" s="568" t="s">
        <v>2955</v>
      </c>
      <c r="H1812" s="568" t="s">
        <v>624</v>
      </c>
      <c r="I1812" s="239" t="str">
        <f>IF(ISBLANK(global!I325),"",global!I325)</f>
        <v/>
      </c>
      <c r="K1812" s="262" t="s">
        <v>4249</v>
      </c>
      <c r="N1812" s="262" t="s">
        <v>4249</v>
      </c>
    </row>
    <row r="1813" spans="1:14" ht="12.75" customHeight="1" x14ac:dyDescent="0.2">
      <c r="A1813" s="568" t="s">
        <v>2725</v>
      </c>
      <c r="B1813" s="567"/>
      <c r="C1813" s="567"/>
      <c r="D1813" s="567"/>
      <c r="E1813" s="567"/>
      <c r="F1813" s="567"/>
      <c r="G1813" s="568" t="s">
        <v>2956</v>
      </c>
      <c r="H1813" s="568" t="s">
        <v>624</v>
      </c>
      <c r="I1813" s="239" t="str">
        <f>IF(ISBLANK(global!I326),"",global!I326)</f>
        <v/>
      </c>
      <c r="K1813" s="262" t="s">
        <v>4249</v>
      </c>
      <c r="N1813" s="262" t="s">
        <v>4249</v>
      </c>
    </row>
    <row r="1814" spans="1:14" ht="12.75" customHeight="1" x14ac:dyDescent="0.2">
      <c r="A1814" s="567"/>
      <c r="B1814" s="567" t="s">
        <v>1919</v>
      </c>
      <c r="C1814" s="567"/>
      <c r="D1814" s="567"/>
      <c r="E1814" s="567"/>
      <c r="F1814" s="567"/>
      <c r="G1814" s="568" t="s">
        <v>2957</v>
      </c>
      <c r="H1814" s="568" t="s">
        <v>340</v>
      </c>
      <c r="I1814" s="239" t="str">
        <f>IF(ISBLANK(global!I327),"",global!I327)</f>
        <v/>
      </c>
      <c r="K1814" s="262" t="s">
        <v>4249</v>
      </c>
      <c r="N1814" s="262" t="s">
        <v>4249</v>
      </c>
    </row>
    <row r="1815" spans="1:14" ht="12.75" customHeight="1" x14ac:dyDescent="0.2">
      <c r="A1815" s="599"/>
      <c r="B1815" s="599" t="s">
        <v>1926</v>
      </c>
      <c r="C1815" s="599"/>
      <c r="D1815" s="599"/>
      <c r="E1815" s="599"/>
      <c r="F1815" s="599"/>
      <c r="G1815" s="602" t="s">
        <v>2958</v>
      </c>
      <c r="H1815" s="602" t="s">
        <v>340</v>
      </c>
      <c r="I1815" s="239" t="str">
        <f>IF(ISBLANK(global!I328),"",global!I328)</f>
        <v/>
      </c>
      <c r="K1815" s="262" t="s">
        <v>4249</v>
      </c>
      <c r="N1815" s="262" t="s">
        <v>4249</v>
      </c>
    </row>
    <row r="1816" spans="1:14" ht="12.75" customHeight="1" x14ac:dyDescent="0.2">
      <c r="A1816" s="73"/>
      <c r="B1816" s="17"/>
      <c r="C1816" s="17"/>
      <c r="D1816" s="17"/>
      <c r="E1816" s="17"/>
      <c r="F1816" s="17"/>
      <c r="G1816" s="17"/>
      <c r="H1816" s="17"/>
      <c r="I1816" s="239" t="str">
        <f>IF(ISBLANK(global!I329),"",global!I329)</f>
        <v/>
      </c>
      <c r="K1816" s="262" t="s">
        <v>4249</v>
      </c>
      <c r="N1816" s="262" t="s">
        <v>4249</v>
      </c>
    </row>
    <row r="1817" spans="1:14" ht="12.75" customHeight="1" x14ac:dyDescent="0.2">
      <c r="A1817" s="101" t="s">
        <v>2959</v>
      </c>
      <c r="B1817" s="17"/>
      <c r="C1817" s="17"/>
      <c r="D1817" s="17"/>
      <c r="E1817" s="17"/>
      <c r="F1817" s="17"/>
      <c r="G1817" s="17"/>
      <c r="H1817" s="17"/>
      <c r="I1817" s="239" t="str">
        <f>IF(ISBLANK(global!I330),"",global!I330)</f>
        <v/>
      </c>
      <c r="K1817" s="262" t="s">
        <v>4249</v>
      </c>
      <c r="N1817" s="262" t="s">
        <v>4249</v>
      </c>
    </row>
    <row r="1818" spans="1:14" ht="12.75" customHeight="1" x14ac:dyDescent="0.2">
      <c r="A1818" s="17"/>
      <c r="B1818" s="17"/>
      <c r="C1818" s="17"/>
      <c r="D1818" s="17"/>
      <c r="E1818" s="17"/>
      <c r="F1818" s="17"/>
      <c r="G1818" s="17"/>
      <c r="H1818" s="17"/>
      <c r="I1818" s="239" t="str">
        <f>IF(ISBLANK(global!I331),"",global!I331)</f>
        <v/>
      </c>
      <c r="K1818" s="262" t="s">
        <v>4249</v>
      </c>
      <c r="N1818" s="262" t="s">
        <v>4249</v>
      </c>
    </row>
    <row r="1819" spans="1:14" ht="12.75" customHeight="1" x14ac:dyDescent="0.2">
      <c r="A1819" s="147" t="s">
        <v>954</v>
      </c>
      <c r="B1819" s="147"/>
      <c r="C1819" s="147"/>
      <c r="D1819" s="147"/>
      <c r="E1819" s="147"/>
      <c r="F1819" s="147"/>
      <c r="G1819" s="148" t="s">
        <v>263</v>
      </c>
      <c r="H1819" s="148" t="s">
        <v>279</v>
      </c>
      <c r="I1819" s="239" t="str">
        <f>IF(ISBLANK(global!I332),"",global!I332)</f>
        <v>User input</v>
      </c>
      <c r="K1819" s="262" t="s">
        <v>264</v>
      </c>
      <c r="N1819" s="262" t="s">
        <v>264</v>
      </c>
    </row>
    <row r="1820" spans="1:14" ht="12.75" customHeight="1" x14ac:dyDescent="0.2">
      <c r="A1820" s="38"/>
      <c r="B1820" s="38"/>
      <c r="C1820" s="17"/>
      <c r="D1820" s="17"/>
      <c r="E1820" s="17"/>
      <c r="F1820" s="17"/>
      <c r="G1820" s="17"/>
      <c r="H1820" s="17"/>
      <c r="I1820" s="239" t="str">
        <f>IF(ISBLANK(global!I333),"",global!I333)</f>
        <v/>
      </c>
      <c r="K1820" s="262" t="s">
        <v>4249</v>
      </c>
      <c r="N1820" s="262" t="s">
        <v>4249</v>
      </c>
    </row>
    <row r="1821" spans="1:14" ht="12.75" customHeight="1" x14ac:dyDescent="0.2">
      <c r="A1821" s="38" t="s">
        <v>955</v>
      </c>
      <c r="B1821" s="17"/>
      <c r="C1821" s="17"/>
      <c r="D1821" s="17"/>
      <c r="E1821" s="17"/>
      <c r="F1821" s="17"/>
      <c r="G1821" s="38" t="s">
        <v>2961</v>
      </c>
      <c r="H1821" s="17" t="s">
        <v>957</v>
      </c>
      <c r="I1821" s="239" t="str">
        <f>IF(ISBLANK(global!I334),"",global!I334)</f>
        <v/>
      </c>
      <c r="K1821" s="262" t="s">
        <v>4249</v>
      </c>
      <c r="N1821" s="262" t="s">
        <v>4249</v>
      </c>
    </row>
    <row r="1822" spans="1:14" ht="12.75" customHeight="1" x14ac:dyDescent="0.2">
      <c r="A1822" s="568" t="s">
        <v>1935</v>
      </c>
      <c r="B1822" s="567"/>
      <c r="C1822" s="567"/>
      <c r="D1822" s="567"/>
      <c r="E1822" s="567"/>
      <c r="F1822" s="567"/>
      <c r="G1822" s="568" t="s">
        <v>2962</v>
      </c>
      <c r="H1822" s="567" t="s">
        <v>957</v>
      </c>
      <c r="I1822" s="239" t="str">
        <f>IF(ISBLANK(global!I335),"",global!I335)</f>
        <v/>
      </c>
      <c r="K1822" s="262" t="s">
        <v>4249</v>
      </c>
      <c r="N1822" s="262" t="s">
        <v>4249</v>
      </c>
    </row>
    <row r="1823" spans="1:14" ht="12.75" customHeight="1" x14ac:dyDescent="0.2">
      <c r="A1823" s="17" t="s">
        <v>2963</v>
      </c>
      <c r="B1823" s="17"/>
      <c r="C1823" s="17"/>
      <c r="D1823" s="17"/>
      <c r="E1823" s="17"/>
      <c r="F1823" s="17"/>
      <c r="G1823" s="38" t="s">
        <v>2964</v>
      </c>
      <c r="H1823" s="17" t="s">
        <v>957</v>
      </c>
      <c r="I1823" s="239" t="str">
        <f>IF(ISBLANK(global!I336),"",global!I336)</f>
        <v/>
      </c>
      <c r="K1823" s="262" t="s">
        <v>4249</v>
      </c>
      <c r="N1823" s="262" t="s">
        <v>4249</v>
      </c>
    </row>
    <row r="1824" spans="1:14" ht="12.75" customHeight="1" x14ac:dyDescent="0.2">
      <c r="A1824" s="38" t="s">
        <v>2965</v>
      </c>
      <c r="B1824" s="17"/>
      <c r="C1824" s="17"/>
      <c r="D1824" s="17"/>
      <c r="E1824" s="17"/>
      <c r="F1824" s="17"/>
      <c r="G1824" s="38" t="s">
        <v>2966</v>
      </c>
      <c r="H1824" s="17" t="s">
        <v>957</v>
      </c>
      <c r="I1824" s="239" t="str">
        <f>IF(ISBLANK(global!I337),"",global!I337)</f>
        <v/>
      </c>
      <c r="K1824" s="262" t="s">
        <v>4249</v>
      </c>
      <c r="N1824" s="262" t="s">
        <v>4249</v>
      </c>
    </row>
    <row r="1825" spans="1:14" ht="12.75" customHeight="1" x14ac:dyDescent="0.2">
      <c r="A1825" s="38" t="s">
        <v>2538</v>
      </c>
      <c r="B1825" s="17"/>
      <c r="C1825" s="17"/>
      <c r="D1825" s="17"/>
      <c r="E1825" s="17"/>
      <c r="F1825" s="17"/>
      <c r="G1825" s="38" t="s">
        <v>2967</v>
      </c>
      <c r="H1825" s="17" t="s">
        <v>957</v>
      </c>
      <c r="I1825" s="239" t="str">
        <f>IF(ISBLANK(global!I338),"",global!I338)</f>
        <v/>
      </c>
      <c r="K1825" s="262" t="s">
        <v>4249</v>
      </c>
      <c r="N1825" s="262" t="s">
        <v>4249</v>
      </c>
    </row>
    <row r="1826" spans="1:14" ht="12.75" customHeight="1" x14ac:dyDescent="0.2">
      <c r="A1826" s="38" t="s">
        <v>2540</v>
      </c>
      <c r="B1826" s="17"/>
      <c r="C1826" s="17"/>
      <c r="D1826" s="17"/>
      <c r="E1826" s="17"/>
      <c r="F1826" s="17"/>
      <c r="G1826" s="38" t="s">
        <v>2968</v>
      </c>
      <c r="H1826" s="17" t="s">
        <v>957</v>
      </c>
      <c r="I1826" s="239" t="str">
        <f>IF(ISBLANK(global!I339),"",global!I339)</f>
        <v/>
      </c>
      <c r="K1826" s="262" t="s">
        <v>4249</v>
      </c>
      <c r="N1826" s="262" t="s">
        <v>4249</v>
      </c>
    </row>
    <row r="1827" spans="1:14" ht="12.75" customHeight="1" x14ac:dyDescent="0.2">
      <c r="A1827" s="17"/>
      <c r="B1827" s="38" t="s">
        <v>2969</v>
      </c>
      <c r="C1827" s="17"/>
      <c r="D1827" s="17"/>
      <c r="E1827" s="17"/>
      <c r="F1827" s="17"/>
      <c r="G1827" s="38" t="s">
        <v>2970</v>
      </c>
      <c r="H1827" s="17" t="s">
        <v>679</v>
      </c>
      <c r="I1827" s="239" t="str">
        <f>IF(ISBLANK(global!I340),"",global!I340)</f>
        <v/>
      </c>
      <c r="K1827" s="262" t="s">
        <v>4249</v>
      </c>
      <c r="N1827" s="262" t="s">
        <v>4249</v>
      </c>
    </row>
    <row r="1828" spans="1:14" ht="12.75" customHeight="1" x14ac:dyDescent="0.2">
      <c r="A1828" s="17"/>
      <c r="B1828" s="38" t="s">
        <v>2544</v>
      </c>
      <c r="C1828" s="17"/>
      <c r="D1828" s="17"/>
      <c r="E1828" s="17"/>
      <c r="F1828" s="17"/>
      <c r="G1828" s="146" t="s">
        <v>2971</v>
      </c>
      <c r="H1828" s="17" t="s">
        <v>296</v>
      </c>
      <c r="I1828" s="239" t="str">
        <f>IF(ISBLANK(global!I341),"",global!I341)</f>
        <v/>
      </c>
      <c r="K1828" s="262" t="s">
        <v>4249</v>
      </c>
      <c r="N1828" s="262" t="s">
        <v>4249</v>
      </c>
    </row>
    <row r="1829" spans="1:14" ht="12.75" customHeight="1" x14ac:dyDescent="0.2">
      <c r="A1829" s="17"/>
      <c r="B1829" s="38" t="s">
        <v>2546</v>
      </c>
      <c r="C1829" s="17"/>
      <c r="D1829" s="17"/>
      <c r="E1829" s="17"/>
      <c r="F1829" s="17"/>
      <c r="G1829" s="146" t="s">
        <v>2972</v>
      </c>
      <c r="H1829" s="17" t="s">
        <v>296</v>
      </c>
      <c r="I1829" s="239" t="str">
        <f>IF(ISBLANK(global!I342),"",global!I342)</f>
        <v/>
      </c>
      <c r="K1829" s="262" t="s">
        <v>4249</v>
      </c>
      <c r="N1829" s="262" t="s">
        <v>4249</v>
      </c>
    </row>
    <row r="1830" spans="1:14" ht="12.75" customHeight="1" x14ac:dyDescent="0.2">
      <c r="A1830" s="17"/>
      <c r="B1830" s="17"/>
      <c r="C1830" s="38" t="s">
        <v>994</v>
      </c>
      <c r="D1830" s="17"/>
      <c r="E1830" s="17"/>
      <c r="F1830" s="17"/>
      <c r="G1830" s="146" t="s">
        <v>2973</v>
      </c>
      <c r="H1830" s="38" t="s">
        <v>820</v>
      </c>
      <c r="I1830" s="239" t="str">
        <f>IF(ISBLANK(global!I343),"",global!I343)</f>
        <v/>
      </c>
      <c r="K1830" s="262" t="s">
        <v>4249</v>
      </c>
      <c r="N1830" s="262" t="s">
        <v>4249</v>
      </c>
    </row>
    <row r="1831" spans="1:14" ht="12.75" customHeight="1" x14ac:dyDescent="0.2">
      <c r="A1831" s="17"/>
      <c r="B1831" s="17"/>
      <c r="C1831" s="38" t="s">
        <v>2974</v>
      </c>
      <c r="D1831" s="17"/>
      <c r="E1831" s="17"/>
      <c r="F1831" s="17"/>
      <c r="G1831" s="146" t="s">
        <v>2975</v>
      </c>
      <c r="H1831" s="38" t="s">
        <v>820</v>
      </c>
      <c r="I1831" s="239" t="str">
        <f>IF(ISBLANK(global!I344),"",global!I344)</f>
        <v/>
      </c>
      <c r="K1831" s="262" t="s">
        <v>4249</v>
      </c>
      <c r="N1831" s="262" t="s">
        <v>4249</v>
      </c>
    </row>
    <row r="1832" spans="1:14" ht="12.75" customHeight="1" x14ac:dyDescent="0.2">
      <c r="A1832" s="17"/>
      <c r="B1832" s="17"/>
      <c r="C1832" s="38" t="s">
        <v>2976</v>
      </c>
      <c r="D1832" s="17"/>
      <c r="E1832" s="17"/>
      <c r="F1832" s="17"/>
      <c r="G1832" s="146" t="s">
        <v>2977</v>
      </c>
      <c r="H1832" s="38" t="s">
        <v>820</v>
      </c>
      <c r="I1832" s="239" t="str">
        <f>IF(ISBLANK(global!I345),"",global!I345)</f>
        <v/>
      </c>
      <c r="K1832" s="262" t="s">
        <v>4249</v>
      </c>
      <c r="N1832" s="262" t="s">
        <v>4249</v>
      </c>
    </row>
    <row r="1833" spans="1:14" ht="12.75" customHeight="1" x14ac:dyDescent="0.2">
      <c r="A1833" s="17"/>
      <c r="B1833" s="17"/>
      <c r="C1833" s="38" t="s">
        <v>2553</v>
      </c>
      <c r="D1833" s="17"/>
      <c r="E1833" s="17"/>
      <c r="F1833" s="17"/>
      <c r="G1833" s="146" t="s">
        <v>2978</v>
      </c>
      <c r="H1833" s="38" t="s">
        <v>1004</v>
      </c>
      <c r="I1833" s="239" t="str">
        <f>IF(ISBLANK(global!I346),"",global!I346)</f>
        <v/>
      </c>
      <c r="K1833" s="262" t="s">
        <v>4249</v>
      </c>
      <c r="N1833" s="262" t="s">
        <v>4249</v>
      </c>
    </row>
    <row r="1834" spans="1:14" ht="12.75" customHeight="1" x14ac:dyDescent="0.2">
      <c r="A1834" s="38"/>
      <c r="B1834" s="17"/>
      <c r="C1834" s="38" t="s">
        <v>2555</v>
      </c>
      <c r="D1834" s="146"/>
      <c r="E1834" s="146"/>
      <c r="F1834" s="146"/>
      <c r="G1834" s="146" t="s">
        <v>2979</v>
      </c>
      <c r="H1834" s="38" t="s">
        <v>820</v>
      </c>
      <c r="I1834" s="239" t="str">
        <f>IF(ISBLANK(global!I347),"",global!I347)</f>
        <v/>
      </c>
      <c r="K1834" s="262" t="s">
        <v>4249</v>
      </c>
      <c r="N1834" s="262" t="s">
        <v>4249</v>
      </c>
    </row>
    <row r="1835" spans="1:14" ht="12.75" customHeight="1" x14ac:dyDescent="0.2">
      <c r="A1835" s="567"/>
      <c r="B1835" s="567"/>
      <c r="C1835" s="567" t="s">
        <v>1015</v>
      </c>
      <c r="D1835" s="567"/>
      <c r="E1835" s="567"/>
      <c r="F1835" s="567"/>
      <c r="G1835" s="568" t="s">
        <v>2980</v>
      </c>
      <c r="H1835" s="568" t="s">
        <v>1017</v>
      </c>
      <c r="I1835" s="239" t="str">
        <f>IF(ISBLANK(global!I348),"",global!I348)</f>
        <v/>
      </c>
      <c r="K1835" s="262" t="s">
        <v>4249</v>
      </c>
      <c r="N1835" s="262" t="s">
        <v>4249</v>
      </c>
    </row>
    <row r="1836" spans="1:14" ht="12.75" customHeight="1" x14ac:dyDescent="0.2">
      <c r="A1836" s="17"/>
      <c r="B1836" s="17"/>
      <c r="C1836" s="17" t="s">
        <v>1019</v>
      </c>
      <c r="D1836" s="17"/>
      <c r="E1836" s="17"/>
      <c r="F1836" s="17"/>
      <c r="G1836" s="38" t="s">
        <v>2981</v>
      </c>
      <c r="H1836" s="38" t="s">
        <v>1017</v>
      </c>
      <c r="I1836" s="239" t="str">
        <f>IF(ISBLANK(global!I349),"",global!I349)</f>
        <v/>
      </c>
      <c r="K1836" s="262" t="s">
        <v>4249</v>
      </c>
      <c r="N1836" s="262" t="s">
        <v>4249</v>
      </c>
    </row>
    <row r="1837" spans="1:14" ht="12.75" customHeight="1" x14ac:dyDescent="0.2">
      <c r="A1837" s="17"/>
      <c r="B1837" s="17"/>
      <c r="C1837" s="17" t="s">
        <v>1022</v>
      </c>
      <c r="D1837" s="17"/>
      <c r="E1837" s="17"/>
      <c r="F1837" s="17"/>
      <c r="G1837" s="38" t="s">
        <v>2982</v>
      </c>
      <c r="H1837" s="38" t="s">
        <v>1017</v>
      </c>
      <c r="I1837" s="239" t="str">
        <f>IF(ISBLANK(global!I350),"",global!I350)</f>
        <v/>
      </c>
      <c r="K1837" s="262" t="s">
        <v>4249</v>
      </c>
      <c r="N1837" s="262" t="s">
        <v>4249</v>
      </c>
    </row>
    <row r="1838" spans="1:14" ht="12.75" customHeight="1" x14ac:dyDescent="0.2">
      <c r="A1838" s="17"/>
      <c r="B1838" s="17"/>
      <c r="C1838" s="38" t="s">
        <v>2560</v>
      </c>
      <c r="D1838" s="146"/>
      <c r="E1838" s="146"/>
      <c r="F1838" s="146"/>
      <c r="G1838" s="146" t="s">
        <v>2983</v>
      </c>
      <c r="H1838" s="38" t="s">
        <v>1017</v>
      </c>
      <c r="I1838" s="239" t="str">
        <f>IF(ISBLANK(global!I351),"",global!I351)</f>
        <v/>
      </c>
      <c r="K1838" s="262" t="s">
        <v>4249</v>
      </c>
      <c r="N1838" s="262" t="s">
        <v>4249</v>
      </c>
    </row>
    <row r="1839" spans="1:14" ht="12.75" customHeight="1" x14ac:dyDescent="0.2">
      <c r="A1839" s="17"/>
      <c r="B1839" s="17"/>
      <c r="C1839" s="38" t="s">
        <v>2562</v>
      </c>
      <c r="D1839" s="17"/>
      <c r="E1839" s="17"/>
      <c r="F1839" s="17"/>
      <c r="G1839" s="146" t="s">
        <v>2984</v>
      </c>
      <c r="H1839" s="38" t="s">
        <v>1017</v>
      </c>
      <c r="I1839" s="239" t="str">
        <f>IF(ISBLANK(global!I352),"",global!I352)</f>
        <v/>
      </c>
      <c r="K1839" s="262" t="s">
        <v>4249</v>
      </c>
      <c r="N1839" s="262" t="s">
        <v>4249</v>
      </c>
    </row>
    <row r="1840" spans="1:14" ht="12.75" customHeight="1" x14ac:dyDescent="0.2">
      <c r="A1840" s="17"/>
      <c r="B1840" s="17"/>
      <c r="C1840" s="38" t="s">
        <v>2564</v>
      </c>
      <c r="D1840" s="17"/>
      <c r="E1840" s="17"/>
      <c r="F1840" s="17"/>
      <c r="G1840" s="146" t="s">
        <v>2985</v>
      </c>
      <c r="H1840" s="38" t="s">
        <v>1017</v>
      </c>
      <c r="I1840" s="239" t="str">
        <f>IF(ISBLANK(global!I353),"",global!I353)</f>
        <v/>
      </c>
      <c r="K1840" s="262" t="s">
        <v>4249</v>
      </c>
      <c r="N1840" s="262" t="s">
        <v>4249</v>
      </c>
    </row>
    <row r="1841" spans="1:14" ht="12.75" customHeight="1" x14ac:dyDescent="0.2">
      <c r="A1841" s="38"/>
      <c r="B1841" s="17"/>
      <c r="C1841" s="38" t="s">
        <v>1042</v>
      </c>
      <c r="D1841" s="146"/>
      <c r="E1841" s="146"/>
      <c r="F1841" s="146"/>
      <c r="G1841" s="146" t="s">
        <v>2986</v>
      </c>
      <c r="H1841" s="38" t="s">
        <v>1017</v>
      </c>
      <c r="I1841" s="239" t="str">
        <f>IF(ISBLANK(global!I354),"",global!I354)</f>
        <v/>
      </c>
      <c r="K1841" s="262" t="s">
        <v>4249</v>
      </c>
      <c r="N1841" s="262" t="s">
        <v>4249</v>
      </c>
    </row>
    <row r="1842" spans="1:14" ht="12.75" customHeight="1" x14ac:dyDescent="0.2">
      <c r="A1842" s="38"/>
      <c r="B1842" s="17"/>
      <c r="C1842" s="38" t="s">
        <v>2987</v>
      </c>
      <c r="D1842" s="146"/>
      <c r="E1842" s="146"/>
      <c r="F1842" s="146"/>
      <c r="G1842" s="146" t="s">
        <v>2988</v>
      </c>
      <c r="H1842" s="38" t="s">
        <v>1017</v>
      </c>
      <c r="I1842" s="239" t="str">
        <f>IF(ISBLANK(global!I355),"",global!I355)</f>
        <v/>
      </c>
      <c r="K1842" s="262" t="s">
        <v>4249</v>
      </c>
      <c r="N1842" s="262" t="s">
        <v>4249</v>
      </c>
    </row>
    <row r="1843" spans="1:14" ht="12.75" customHeight="1" x14ac:dyDescent="0.2">
      <c r="A1843" s="17"/>
      <c r="B1843" s="17"/>
      <c r="C1843" s="17"/>
      <c r="D1843" s="17"/>
      <c r="E1843" s="17"/>
      <c r="F1843" s="17"/>
      <c r="G1843" s="17"/>
      <c r="H1843" s="17"/>
      <c r="I1843" s="239" t="str">
        <f>IF(ISBLANK(global!I356),"",global!I356)</f>
        <v/>
      </c>
      <c r="K1843" s="262" t="s">
        <v>4249</v>
      </c>
      <c r="N1843" s="262" t="s">
        <v>4249</v>
      </c>
    </row>
    <row r="1844" spans="1:14" ht="12.75" customHeight="1" x14ac:dyDescent="0.2">
      <c r="A1844" s="38" t="s">
        <v>2989</v>
      </c>
      <c r="B1844" s="17"/>
      <c r="C1844" s="17"/>
      <c r="D1844" s="17"/>
      <c r="E1844" s="17"/>
      <c r="F1844" s="17"/>
      <c r="G1844" s="38" t="s">
        <v>2990</v>
      </c>
      <c r="H1844" s="38" t="s">
        <v>624</v>
      </c>
      <c r="I1844" s="239" t="str">
        <f>IF(ISBLANK(global!I357),"",global!I357)</f>
        <v/>
      </c>
      <c r="K1844" s="262" t="s">
        <v>4249</v>
      </c>
      <c r="N1844" s="262" t="s">
        <v>4249</v>
      </c>
    </row>
    <row r="1845" spans="1:14" ht="12.75" customHeight="1" x14ac:dyDescent="0.2">
      <c r="A1845" s="38"/>
      <c r="B1845" s="38" t="s">
        <v>2991</v>
      </c>
      <c r="C1845" s="17"/>
      <c r="D1845" s="17"/>
      <c r="E1845" s="17"/>
      <c r="F1845" s="17"/>
      <c r="G1845" s="38" t="s">
        <v>2992</v>
      </c>
      <c r="H1845" s="17" t="s">
        <v>1051</v>
      </c>
      <c r="I1845" s="239" t="str">
        <f>IF(ISBLANK(global!I358),"",global!I358)</f>
        <v/>
      </c>
      <c r="K1845" s="262" t="s">
        <v>4249</v>
      </c>
      <c r="N1845" s="262" t="s">
        <v>4249</v>
      </c>
    </row>
    <row r="1846" spans="1:14" ht="12.75" customHeight="1" x14ac:dyDescent="0.2">
      <c r="A1846" s="17"/>
      <c r="B1846" s="17"/>
      <c r="C1846" s="17"/>
      <c r="D1846" s="17"/>
      <c r="E1846" s="17"/>
      <c r="F1846" s="17"/>
      <c r="G1846" s="17"/>
      <c r="H1846" s="17"/>
      <c r="I1846" s="239" t="str">
        <f>IF(ISBLANK(global!I359),"",global!I359)</f>
        <v/>
      </c>
      <c r="K1846" s="262" t="s">
        <v>4249</v>
      </c>
      <c r="N1846" s="262" t="s">
        <v>4249</v>
      </c>
    </row>
    <row r="1847" spans="1:14" ht="12.75" customHeight="1" x14ac:dyDescent="0.2">
      <c r="A1847" s="38" t="s">
        <v>2993</v>
      </c>
      <c r="B1847" s="17"/>
      <c r="C1847" s="17"/>
      <c r="D1847" s="17"/>
      <c r="E1847" s="17"/>
      <c r="F1847" s="17"/>
      <c r="G1847" s="38" t="s">
        <v>2994</v>
      </c>
      <c r="H1847" s="38" t="s">
        <v>624</v>
      </c>
      <c r="I1847" s="239" t="str">
        <f>IF(ISBLANK(global!I360),"",global!I360)</f>
        <v/>
      </c>
      <c r="K1847" s="262" t="s">
        <v>4249</v>
      </c>
      <c r="N1847" s="262" t="s">
        <v>4249</v>
      </c>
    </row>
    <row r="1848" spans="1:14" ht="12.75" customHeight="1" x14ac:dyDescent="0.2">
      <c r="A1848" s="38" t="s">
        <v>2995</v>
      </c>
      <c r="B1848" s="17"/>
      <c r="C1848" s="17"/>
      <c r="D1848" s="17"/>
      <c r="E1848" s="17"/>
      <c r="F1848" s="17"/>
      <c r="G1848" s="38" t="s">
        <v>2996</v>
      </c>
      <c r="H1848" s="38" t="s">
        <v>624</v>
      </c>
      <c r="I1848" s="239" t="str">
        <f>IF(ISBLANK(global!I361),"",global!I361)</f>
        <v/>
      </c>
      <c r="K1848" s="262" t="s">
        <v>4249</v>
      </c>
      <c r="N1848" s="262" t="s">
        <v>4249</v>
      </c>
    </row>
    <row r="1849" spans="1:14" ht="12.75" customHeight="1" x14ac:dyDescent="0.2">
      <c r="A1849" s="38"/>
      <c r="B1849" s="38" t="s">
        <v>2997</v>
      </c>
      <c r="C1849" s="17"/>
      <c r="D1849" s="17"/>
      <c r="E1849" s="17"/>
      <c r="F1849" s="17"/>
      <c r="G1849" s="146" t="s">
        <v>2998</v>
      </c>
      <c r="H1849" s="17" t="s">
        <v>1065</v>
      </c>
      <c r="I1849" s="239" t="str">
        <f>IF(ISBLANK(global!I362),"",global!I362)</f>
        <v/>
      </c>
      <c r="K1849" s="262" t="s">
        <v>4249</v>
      </c>
      <c r="N1849" s="262" t="s">
        <v>4249</v>
      </c>
    </row>
    <row r="1850" spans="1:14" ht="12.75" customHeight="1" x14ac:dyDescent="0.2">
      <c r="A1850" s="38" t="s">
        <v>2999</v>
      </c>
      <c r="B1850" s="17"/>
      <c r="C1850" s="17"/>
      <c r="D1850" s="17"/>
      <c r="E1850" s="17"/>
      <c r="F1850" s="17"/>
      <c r="G1850" s="38" t="s">
        <v>3000</v>
      </c>
      <c r="H1850" s="38" t="s">
        <v>624</v>
      </c>
      <c r="I1850" s="239" t="str">
        <f>IF(ISBLANK(global!I363),"",global!I363)</f>
        <v/>
      </c>
      <c r="K1850" s="262" t="s">
        <v>4249</v>
      </c>
      <c r="N1850" s="262" t="s">
        <v>4249</v>
      </c>
    </row>
    <row r="1851" spans="1:14" ht="12.75" customHeight="1" x14ac:dyDescent="0.2">
      <c r="A1851" s="38" t="s">
        <v>3001</v>
      </c>
      <c r="B1851" s="17"/>
      <c r="C1851" s="17"/>
      <c r="D1851" s="17"/>
      <c r="E1851" s="17"/>
      <c r="F1851" s="17"/>
      <c r="G1851" s="38" t="s">
        <v>3002</v>
      </c>
      <c r="H1851" s="38" t="s">
        <v>624</v>
      </c>
      <c r="I1851" s="239" t="str">
        <f>IF(ISBLANK(global!I364),"",global!I364)</f>
        <v/>
      </c>
      <c r="K1851" s="262" t="s">
        <v>4249</v>
      </c>
      <c r="N1851" s="262" t="s">
        <v>4249</v>
      </c>
    </row>
    <row r="1852" spans="1:14" ht="12.75" customHeight="1" x14ac:dyDescent="0.2">
      <c r="A1852" s="38"/>
      <c r="B1852" s="17" t="s">
        <v>2596</v>
      </c>
      <c r="C1852" s="17"/>
      <c r="D1852" s="17"/>
      <c r="E1852" s="17"/>
      <c r="F1852" s="17"/>
      <c r="G1852" s="38" t="s">
        <v>3003</v>
      </c>
      <c r="H1852" s="17" t="s">
        <v>1065</v>
      </c>
      <c r="I1852" s="239" t="str">
        <f>IF(ISBLANK(global!I365),"",global!I365)</f>
        <v/>
      </c>
      <c r="K1852" s="262" t="s">
        <v>4249</v>
      </c>
      <c r="N1852" s="262" t="s">
        <v>4249</v>
      </c>
    </row>
    <row r="1853" spans="1:14" ht="12.75" customHeight="1" x14ac:dyDescent="0.2">
      <c r="A1853" s="38"/>
      <c r="B1853" s="38"/>
      <c r="C1853" s="17" t="s">
        <v>2598</v>
      </c>
      <c r="D1853" s="17"/>
      <c r="E1853" s="17"/>
      <c r="F1853" s="17"/>
      <c r="G1853" s="38" t="s">
        <v>3004</v>
      </c>
      <c r="H1853" s="17" t="s">
        <v>1051</v>
      </c>
      <c r="I1853" s="239" t="str">
        <f>IF(ISBLANK(global!I366),"",global!I366)</f>
        <v/>
      </c>
      <c r="K1853" s="262" t="s">
        <v>4249</v>
      </c>
      <c r="N1853" s="262" t="s">
        <v>4249</v>
      </c>
    </row>
    <row r="1854" spans="1:14" ht="12.75" customHeight="1" x14ac:dyDescent="0.2">
      <c r="A1854" s="17"/>
      <c r="B1854" s="17"/>
      <c r="C1854" s="17"/>
      <c r="D1854" s="17"/>
      <c r="E1854" s="17"/>
      <c r="F1854" s="17"/>
      <c r="G1854" s="17"/>
      <c r="H1854" s="17"/>
      <c r="I1854" s="239" t="str">
        <f>IF(ISBLANK(global!I367),"",global!I367)</f>
        <v/>
      </c>
      <c r="K1854" s="262" t="s">
        <v>4249</v>
      </c>
      <c r="N1854" s="262" t="s">
        <v>4249</v>
      </c>
    </row>
    <row r="1855" spans="1:14" ht="12.75" customHeight="1" x14ac:dyDescent="0.2">
      <c r="A1855" s="148" t="s">
        <v>2017</v>
      </c>
      <c r="B1855" s="147"/>
      <c r="C1855" s="147"/>
      <c r="D1855" s="147"/>
      <c r="E1855" s="147"/>
      <c r="F1855" s="147"/>
      <c r="G1855" s="148" t="s">
        <v>263</v>
      </c>
      <c r="H1855" s="148" t="s">
        <v>279</v>
      </c>
      <c r="I1855" s="239" t="str">
        <f>IF(ISBLANK(global!I368),"",global!I368)</f>
        <v>User input</v>
      </c>
      <c r="K1855" s="262" t="s">
        <v>264</v>
      </c>
      <c r="N1855" s="262" t="s">
        <v>264</v>
      </c>
    </row>
    <row r="1856" spans="1:14" ht="12.75" customHeight="1" x14ac:dyDescent="0.2">
      <c r="A1856" s="38"/>
      <c r="B1856" s="38"/>
      <c r="C1856" s="17"/>
      <c r="D1856" s="17"/>
      <c r="E1856" s="17"/>
      <c r="F1856" s="17"/>
      <c r="G1856" s="17"/>
      <c r="H1856" s="17"/>
      <c r="I1856" s="239" t="str">
        <f>IF(ISBLANK(global!I369),"",global!I369)</f>
        <v/>
      </c>
      <c r="K1856" s="262" t="s">
        <v>4249</v>
      </c>
      <c r="N1856" s="262" t="s">
        <v>4249</v>
      </c>
    </row>
    <row r="1857" spans="1:14" ht="12.75" customHeight="1" x14ac:dyDescent="0.2">
      <c r="A1857" s="17"/>
      <c r="B1857" s="17" t="s">
        <v>2600</v>
      </c>
      <c r="C1857" s="17"/>
      <c r="D1857" s="17"/>
      <c r="E1857" s="17"/>
      <c r="F1857" s="17"/>
      <c r="G1857" s="38" t="s">
        <v>3005</v>
      </c>
      <c r="H1857" s="38" t="s">
        <v>296</v>
      </c>
      <c r="I1857" s="239" t="str">
        <f>IF(ISBLANK(global!I370),"",global!I370)</f>
        <v/>
      </c>
      <c r="K1857" s="262" t="s">
        <v>4249</v>
      </c>
      <c r="N1857" s="262" t="s">
        <v>4249</v>
      </c>
    </row>
    <row r="1858" spans="1:14" ht="12.75" customHeight="1" x14ac:dyDescent="0.2">
      <c r="A1858" s="17"/>
      <c r="B1858" s="17" t="s">
        <v>2020</v>
      </c>
      <c r="C1858" s="17"/>
      <c r="D1858" s="17"/>
      <c r="E1858" s="17"/>
      <c r="F1858" s="17"/>
      <c r="G1858" s="17" t="s">
        <v>3006</v>
      </c>
      <c r="H1858" s="17" t="s">
        <v>296</v>
      </c>
      <c r="I1858" s="239" t="str">
        <f>IF(ISBLANK(global!I371),"",global!I371)</f>
        <v/>
      </c>
      <c r="K1858" s="262" t="s">
        <v>4249</v>
      </c>
      <c r="N1858" s="262" t="s">
        <v>4249</v>
      </c>
    </row>
    <row r="1859" spans="1:14" ht="12.75" customHeight="1" x14ac:dyDescent="0.2">
      <c r="A1859" s="17"/>
      <c r="B1859" s="17" t="s">
        <v>2022</v>
      </c>
      <c r="C1859" s="17"/>
      <c r="D1859" s="17"/>
      <c r="E1859" s="17"/>
      <c r="F1859" s="17"/>
      <c r="G1859" s="17" t="s">
        <v>3007</v>
      </c>
      <c r="H1859" s="17" t="s">
        <v>296</v>
      </c>
      <c r="I1859" s="239" t="str">
        <f>IF(ISBLANK(global!I372),"",global!I372)</f>
        <v/>
      </c>
      <c r="K1859" s="262" t="s">
        <v>4249</v>
      </c>
      <c r="N1859" s="262" t="s">
        <v>4249</v>
      </c>
    </row>
    <row r="1860" spans="1:14" ht="12.75" customHeight="1" x14ac:dyDescent="0.2">
      <c r="A1860" s="17"/>
      <c r="B1860" s="17"/>
      <c r="C1860" s="38" t="s">
        <v>2024</v>
      </c>
      <c r="D1860" s="38"/>
      <c r="E1860" s="38"/>
      <c r="F1860" s="38"/>
      <c r="G1860" s="38" t="s">
        <v>3008</v>
      </c>
      <c r="H1860" s="38" t="s">
        <v>296</v>
      </c>
      <c r="I1860" s="239" t="str">
        <f>IF(ISBLANK(global!I373),"",global!I373)</f>
        <v/>
      </c>
      <c r="K1860" s="262" t="s">
        <v>4249</v>
      </c>
      <c r="N1860" s="262" t="s">
        <v>4249</v>
      </c>
    </row>
    <row r="1861" spans="1:14" ht="12.75" customHeight="1" x14ac:dyDescent="0.2">
      <c r="A1861" s="38"/>
      <c r="B1861" s="17"/>
      <c r="C1861" s="17" t="s">
        <v>3009</v>
      </c>
      <c r="D1861" s="17"/>
      <c r="E1861" s="17"/>
      <c r="F1861" s="17"/>
      <c r="G1861" s="17" t="s">
        <v>3010</v>
      </c>
      <c r="H1861" s="17" t="s">
        <v>592</v>
      </c>
      <c r="I1861" s="239" t="str">
        <f>IF(ISBLANK(global!I374),"",global!I374)</f>
        <v/>
      </c>
      <c r="K1861" s="262" t="s">
        <v>4249</v>
      </c>
      <c r="N1861" s="262" t="s">
        <v>4249</v>
      </c>
    </row>
    <row r="1862" spans="1:14" ht="12.75" customHeight="1" x14ac:dyDescent="0.25">
      <c r="A1862" s="17"/>
      <c r="B1862" s="17"/>
      <c r="C1862" s="17" t="s">
        <v>2026</v>
      </c>
      <c r="D1862" s="17"/>
      <c r="E1862" s="17"/>
      <c r="F1862" s="17"/>
      <c r="G1862" s="17" t="s">
        <v>3011</v>
      </c>
      <c r="H1862" s="17" t="s">
        <v>1088</v>
      </c>
      <c r="I1862" s="239" t="str">
        <f>IF(ISBLANK(global!I375),"",global!I375)</f>
        <v/>
      </c>
      <c r="K1862" s="262" t="s">
        <v>4249</v>
      </c>
      <c r="N1862" s="262" t="s">
        <v>4249</v>
      </c>
    </row>
    <row r="1863" spans="1:14" ht="12.75" customHeight="1" x14ac:dyDescent="0.25">
      <c r="A1863" s="17"/>
      <c r="B1863" s="17"/>
      <c r="C1863" s="17" t="s">
        <v>2028</v>
      </c>
      <c r="D1863" s="17"/>
      <c r="E1863" s="17"/>
      <c r="F1863" s="17"/>
      <c r="G1863" s="17" t="s">
        <v>3012</v>
      </c>
      <c r="H1863" s="17" t="s">
        <v>1091</v>
      </c>
      <c r="I1863" s="239" t="str">
        <f>IF(ISBLANK(global!I376),"",global!I376)</f>
        <v/>
      </c>
      <c r="K1863" s="262" t="s">
        <v>4249</v>
      </c>
      <c r="N1863" s="262" t="s">
        <v>4249</v>
      </c>
    </row>
    <row r="1864" spans="1:14" ht="12.75" customHeight="1" x14ac:dyDescent="0.2">
      <c r="A1864" s="38"/>
      <c r="B1864" s="38" t="s">
        <v>2611</v>
      </c>
      <c r="C1864" s="146"/>
      <c r="D1864" s="17"/>
      <c r="E1864" s="17"/>
      <c r="F1864" s="17"/>
      <c r="G1864" s="38" t="s">
        <v>3013</v>
      </c>
      <c r="H1864" s="38" t="s">
        <v>296</v>
      </c>
      <c r="I1864" s="239" t="str">
        <f>IF(ISBLANK(global!I377),"",global!I377)</f>
        <v/>
      </c>
      <c r="K1864" s="262" t="s">
        <v>4249</v>
      </c>
      <c r="N1864" s="262" t="s">
        <v>4249</v>
      </c>
    </row>
    <row r="1865" spans="1:14" ht="12.75" customHeight="1" x14ac:dyDescent="0.2">
      <c r="A1865" s="38"/>
      <c r="B1865" s="38" t="s">
        <v>2613</v>
      </c>
      <c r="C1865" s="146"/>
      <c r="D1865" s="17"/>
      <c r="E1865" s="17"/>
      <c r="F1865" s="17"/>
      <c r="G1865" s="38" t="s">
        <v>3014</v>
      </c>
      <c r="H1865" s="38" t="s">
        <v>296</v>
      </c>
      <c r="I1865" s="239" t="str">
        <f>IF(ISBLANK(global!I378),"",global!I378)</f>
        <v/>
      </c>
      <c r="K1865" s="262" t="s">
        <v>4249</v>
      </c>
      <c r="N1865" s="262" t="s">
        <v>4249</v>
      </c>
    </row>
    <row r="1866" spans="1:14" ht="12.75" customHeight="1" x14ac:dyDescent="0.2">
      <c r="A1866" s="38"/>
      <c r="B1866" s="17"/>
      <c r="C1866" s="38" t="s">
        <v>2615</v>
      </c>
      <c r="D1866" s="17"/>
      <c r="E1866" s="17"/>
      <c r="F1866" s="17"/>
      <c r="G1866" s="146" t="s">
        <v>3015</v>
      </c>
      <c r="H1866" s="38" t="s">
        <v>1097</v>
      </c>
      <c r="I1866" s="239" t="str">
        <f>IF(ISBLANK(global!I379),"",global!I379)</f>
        <v/>
      </c>
      <c r="K1866" s="262" t="s">
        <v>4249</v>
      </c>
      <c r="N1866" s="262" t="s">
        <v>4249</v>
      </c>
    </row>
    <row r="1867" spans="1:14" ht="12.75" customHeight="1" x14ac:dyDescent="0.2">
      <c r="A1867" s="38"/>
      <c r="B1867" s="17"/>
      <c r="C1867" s="38" t="s">
        <v>2617</v>
      </c>
      <c r="D1867" s="17"/>
      <c r="E1867" s="17"/>
      <c r="F1867" s="17"/>
      <c r="G1867" s="146" t="s">
        <v>3016</v>
      </c>
      <c r="H1867" s="38" t="s">
        <v>1097</v>
      </c>
      <c r="I1867" s="239" t="str">
        <f>IF(ISBLANK(global!I380),"",global!I380)</f>
        <v/>
      </c>
      <c r="K1867" s="262" t="s">
        <v>4249</v>
      </c>
      <c r="N1867" s="262" t="s">
        <v>4249</v>
      </c>
    </row>
    <row r="1868" spans="1:14" ht="12.75" customHeight="1" x14ac:dyDescent="0.2">
      <c r="A1868" s="38"/>
      <c r="B1868" s="17"/>
      <c r="C1868" s="38" t="s">
        <v>2619</v>
      </c>
      <c r="D1868" s="17"/>
      <c r="E1868" s="17"/>
      <c r="F1868" s="17"/>
      <c r="G1868" s="146" t="s">
        <v>3017</v>
      </c>
      <c r="H1868" s="38" t="s">
        <v>296</v>
      </c>
      <c r="I1868" s="239" t="str">
        <f>IF(ISBLANK(global!I381),"",global!I381)</f>
        <v/>
      </c>
      <c r="K1868" s="262" t="s">
        <v>4249</v>
      </c>
      <c r="N1868" s="262" t="s">
        <v>4249</v>
      </c>
    </row>
    <row r="1869" spans="1:14" ht="12.75" customHeight="1" x14ac:dyDescent="0.2">
      <c r="A1869" s="38"/>
      <c r="B1869" s="17"/>
      <c r="C1869" s="38" t="s">
        <v>2621</v>
      </c>
      <c r="D1869" s="17"/>
      <c r="E1869" s="17"/>
      <c r="F1869" s="17"/>
      <c r="G1869" s="146" t="s">
        <v>3018</v>
      </c>
      <c r="H1869" s="38" t="s">
        <v>296</v>
      </c>
      <c r="I1869" s="239" t="str">
        <f>IF(ISBLANK(global!I382),"",global!I382)</f>
        <v/>
      </c>
      <c r="K1869" s="262" t="s">
        <v>4249</v>
      </c>
      <c r="N1869" s="262" t="s">
        <v>4249</v>
      </c>
    </row>
    <row r="1870" spans="1:14" ht="12.75" customHeight="1" x14ac:dyDescent="0.2">
      <c r="A1870" s="38"/>
      <c r="B1870" s="17"/>
      <c r="C1870" s="38" t="s">
        <v>2623</v>
      </c>
      <c r="D1870" s="17"/>
      <c r="E1870" s="17"/>
      <c r="F1870" s="17"/>
      <c r="G1870" s="146" t="s">
        <v>3019</v>
      </c>
      <c r="H1870" s="38" t="s">
        <v>586</v>
      </c>
      <c r="I1870" s="239" t="str">
        <f>IF(ISBLANK(global!I383),"",global!I383)</f>
        <v/>
      </c>
      <c r="K1870" s="262" t="s">
        <v>4249</v>
      </c>
      <c r="N1870" s="262" t="s">
        <v>4249</v>
      </c>
    </row>
    <row r="1871" spans="1:14" ht="12.75" customHeight="1" x14ac:dyDescent="0.2">
      <c r="A1871" s="38"/>
      <c r="B1871" s="17"/>
      <c r="C1871" s="38" t="s">
        <v>2625</v>
      </c>
      <c r="D1871" s="17"/>
      <c r="E1871" s="17"/>
      <c r="F1871" s="17"/>
      <c r="G1871" s="146" t="s">
        <v>3020</v>
      </c>
      <c r="H1871" s="38" t="s">
        <v>586</v>
      </c>
      <c r="I1871" s="239" t="str">
        <f>IF(ISBLANK(global!I384),"",global!I384)</f>
        <v/>
      </c>
      <c r="K1871" s="262" t="s">
        <v>4249</v>
      </c>
      <c r="N1871" s="262" t="s">
        <v>4249</v>
      </c>
    </row>
    <row r="1872" spans="1:14" ht="12.75" customHeight="1" x14ac:dyDescent="0.2">
      <c r="A1872" s="38"/>
      <c r="B1872" s="17"/>
      <c r="C1872" s="38" t="s">
        <v>2627</v>
      </c>
      <c r="D1872" s="17"/>
      <c r="E1872" s="17"/>
      <c r="F1872" s="17"/>
      <c r="G1872" s="146" t="s">
        <v>3021</v>
      </c>
      <c r="H1872" s="38" t="s">
        <v>1103</v>
      </c>
      <c r="I1872" s="239" t="str">
        <f>IF(ISBLANK(global!I385),"",global!I385)</f>
        <v/>
      </c>
      <c r="K1872" s="262" t="s">
        <v>4249</v>
      </c>
      <c r="N1872" s="262" t="s">
        <v>4249</v>
      </c>
    </row>
    <row r="1873" spans="1:14" ht="12.75" customHeight="1" x14ac:dyDescent="0.2">
      <c r="A1873" s="38"/>
      <c r="B1873" s="17"/>
      <c r="C1873" s="38" t="s">
        <v>2629</v>
      </c>
      <c r="D1873" s="17"/>
      <c r="E1873" s="17"/>
      <c r="F1873" s="17"/>
      <c r="G1873" s="146" t="s">
        <v>3022</v>
      </c>
      <c r="H1873" s="38" t="s">
        <v>1103</v>
      </c>
      <c r="I1873" s="239" t="str">
        <f>IF(ISBLANK(global!I386),"",global!I386)</f>
        <v/>
      </c>
      <c r="K1873" s="262" t="s">
        <v>4249</v>
      </c>
      <c r="N1873" s="262" t="s">
        <v>4249</v>
      </c>
    </row>
    <row r="1874" spans="1:14" ht="12.75" customHeight="1" x14ac:dyDescent="0.2">
      <c r="A1874" s="38"/>
      <c r="B1874" s="17"/>
      <c r="C1874" s="38" t="s">
        <v>2631</v>
      </c>
      <c r="D1874" s="17"/>
      <c r="E1874" s="17"/>
      <c r="F1874" s="17"/>
      <c r="G1874" s="146" t="s">
        <v>3023</v>
      </c>
      <c r="H1874" s="38" t="s">
        <v>723</v>
      </c>
      <c r="I1874" s="239" t="str">
        <f>IF(ISBLANK(global!I387),"",global!I387)</f>
        <v/>
      </c>
      <c r="K1874" s="262" t="s">
        <v>4249</v>
      </c>
      <c r="N1874" s="262" t="s">
        <v>4249</v>
      </c>
    </row>
    <row r="1875" spans="1:14" ht="12.75" customHeight="1" x14ac:dyDescent="0.2">
      <c r="A1875" s="38"/>
      <c r="B1875" s="17"/>
      <c r="C1875" s="38" t="s">
        <v>2633</v>
      </c>
      <c r="D1875" s="17"/>
      <c r="E1875" s="17"/>
      <c r="F1875" s="17"/>
      <c r="G1875" s="146" t="s">
        <v>3024</v>
      </c>
      <c r="H1875" s="38" t="s">
        <v>723</v>
      </c>
      <c r="I1875" s="239" t="str">
        <f>IF(ISBLANK(global!I388),"",global!I388)</f>
        <v/>
      </c>
      <c r="K1875" s="262" t="s">
        <v>4249</v>
      </c>
      <c r="N1875" s="262" t="s">
        <v>4249</v>
      </c>
    </row>
    <row r="1876" spans="1:14" ht="12.75" customHeight="1" x14ac:dyDescent="0.2">
      <c r="A1876" s="38"/>
      <c r="B1876" s="38" t="s">
        <v>2635</v>
      </c>
      <c r="C1876" s="146"/>
      <c r="D1876" s="17"/>
      <c r="E1876" s="17"/>
      <c r="F1876" s="17"/>
      <c r="G1876" s="146" t="s">
        <v>3025</v>
      </c>
      <c r="H1876" s="38" t="s">
        <v>296</v>
      </c>
      <c r="I1876" s="239" t="str">
        <f>IF(ISBLANK(global!I389),"",global!I389)</f>
        <v/>
      </c>
      <c r="K1876" s="262" t="s">
        <v>4249</v>
      </c>
      <c r="N1876" s="262" t="s">
        <v>4249</v>
      </c>
    </row>
    <row r="1877" spans="1:14" ht="12.75" customHeight="1" x14ac:dyDescent="0.2">
      <c r="A1877" s="38"/>
      <c r="B1877" s="17"/>
      <c r="C1877" s="38" t="s">
        <v>2637</v>
      </c>
      <c r="D1877" s="17"/>
      <c r="E1877" s="17"/>
      <c r="F1877" s="17"/>
      <c r="G1877" s="146" t="s">
        <v>3026</v>
      </c>
      <c r="H1877" s="38" t="s">
        <v>1097</v>
      </c>
      <c r="I1877" s="239" t="str">
        <f>IF(ISBLANK(global!I390),"",global!I390)</f>
        <v/>
      </c>
      <c r="K1877" s="262" t="s">
        <v>4249</v>
      </c>
      <c r="N1877" s="262" t="s">
        <v>4249</v>
      </c>
    </row>
    <row r="1878" spans="1:14" ht="12.75" customHeight="1" x14ac:dyDescent="0.2">
      <c r="A1878" s="38"/>
      <c r="B1878" s="17"/>
      <c r="C1878" s="38" t="s">
        <v>2639</v>
      </c>
      <c r="D1878" s="17"/>
      <c r="E1878" s="17"/>
      <c r="F1878" s="17"/>
      <c r="G1878" s="146" t="s">
        <v>3027</v>
      </c>
      <c r="H1878" s="38" t="s">
        <v>296</v>
      </c>
      <c r="I1878" s="239" t="str">
        <f>IF(ISBLANK(global!I391),"",global!I391)</f>
        <v/>
      </c>
      <c r="K1878" s="262" t="s">
        <v>4249</v>
      </c>
      <c r="N1878" s="262" t="s">
        <v>4249</v>
      </c>
    </row>
    <row r="1879" spans="1:14" ht="12.75" customHeight="1" x14ac:dyDescent="0.2">
      <c r="A1879" s="38"/>
      <c r="B1879" s="38" t="s">
        <v>2641</v>
      </c>
      <c r="C1879" s="146"/>
      <c r="D1879" s="17"/>
      <c r="E1879" s="17"/>
      <c r="F1879" s="17"/>
      <c r="G1879" s="146" t="s">
        <v>3028</v>
      </c>
      <c r="H1879" s="38" t="s">
        <v>296</v>
      </c>
      <c r="I1879" s="239" t="str">
        <f>IF(ISBLANK(global!I392),"",global!I392)</f>
        <v/>
      </c>
      <c r="K1879" s="262" t="s">
        <v>4249</v>
      </c>
      <c r="N1879" s="262" t="s">
        <v>4249</v>
      </c>
    </row>
    <row r="1880" spans="1:14" ht="12.75" customHeight="1" x14ac:dyDescent="0.2">
      <c r="A1880" s="38"/>
      <c r="B1880" s="38" t="s">
        <v>2643</v>
      </c>
      <c r="C1880" s="146"/>
      <c r="D1880" s="17"/>
      <c r="E1880" s="17"/>
      <c r="F1880" s="17"/>
      <c r="G1880" s="146" t="s">
        <v>3029</v>
      </c>
      <c r="H1880" s="38" t="s">
        <v>296</v>
      </c>
      <c r="I1880" s="239" t="str">
        <f>IF(ISBLANK(global!I393),"",global!I393)</f>
        <v/>
      </c>
      <c r="K1880" s="262" t="s">
        <v>4249</v>
      </c>
      <c r="N1880" s="262" t="s">
        <v>4249</v>
      </c>
    </row>
    <row r="1881" spans="1:14" ht="12.75" customHeight="1" x14ac:dyDescent="0.2">
      <c r="A1881" s="38"/>
      <c r="B1881" s="38" t="s">
        <v>2645</v>
      </c>
      <c r="C1881" s="146"/>
      <c r="D1881" s="17"/>
      <c r="E1881" s="17"/>
      <c r="F1881" s="17"/>
      <c r="G1881" s="146" t="s">
        <v>3030</v>
      </c>
      <c r="H1881" s="38" t="s">
        <v>296</v>
      </c>
      <c r="I1881" s="239" t="str">
        <f>IF(ISBLANK(global!I394),"",global!I394)</f>
        <v/>
      </c>
      <c r="K1881" s="262" t="s">
        <v>4249</v>
      </c>
      <c r="N1881" s="262" t="s">
        <v>4249</v>
      </c>
    </row>
    <row r="1882" spans="1:14" ht="12.75" customHeight="1" x14ac:dyDescent="0.2">
      <c r="A1882" s="38"/>
      <c r="B1882" s="17"/>
      <c r="C1882" s="38" t="s">
        <v>2647</v>
      </c>
      <c r="D1882" s="17"/>
      <c r="E1882" s="17"/>
      <c r="F1882" s="17"/>
      <c r="G1882" s="146" t="s">
        <v>3031</v>
      </c>
      <c r="H1882" s="38" t="s">
        <v>1097</v>
      </c>
      <c r="I1882" s="239" t="str">
        <f>IF(ISBLANK(global!I395),"",global!I395)</f>
        <v/>
      </c>
      <c r="K1882" s="262" t="s">
        <v>4249</v>
      </c>
      <c r="N1882" s="262" t="s">
        <v>4249</v>
      </c>
    </row>
    <row r="1883" spans="1:14" ht="12.75" customHeight="1" x14ac:dyDescent="0.2">
      <c r="A1883" s="38"/>
      <c r="B1883" s="17"/>
      <c r="C1883" s="38" t="s">
        <v>2649</v>
      </c>
      <c r="D1883" s="17"/>
      <c r="E1883" s="17"/>
      <c r="F1883" s="17"/>
      <c r="G1883" s="146" t="s">
        <v>3032</v>
      </c>
      <c r="H1883" s="38" t="s">
        <v>296</v>
      </c>
      <c r="I1883" s="239" t="str">
        <f>IF(ISBLANK(global!I396),"",global!I396)</f>
        <v/>
      </c>
      <c r="K1883" s="262" t="s">
        <v>4249</v>
      </c>
      <c r="N1883" s="262" t="s">
        <v>4249</v>
      </c>
    </row>
    <row r="1884" spans="1:14" ht="12.75" customHeight="1" x14ac:dyDescent="0.2">
      <c r="A1884" s="17"/>
      <c r="B1884" s="17"/>
      <c r="C1884" s="17"/>
      <c r="D1884" s="17"/>
      <c r="E1884" s="17"/>
      <c r="F1884" s="17"/>
      <c r="G1884" s="17"/>
      <c r="H1884" s="17"/>
      <c r="I1884" s="239" t="str">
        <f>IF(ISBLANK(global!I397),"",global!I397)</f>
        <v/>
      </c>
      <c r="K1884" s="262" t="s">
        <v>4249</v>
      </c>
      <c r="N1884" s="262" t="s">
        <v>4249</v>
      </c>
    </row>
    <row r="1885" spans="1:14" ht="12.75" customHeight="1" x14ac:dyDescent="0.2">
      <c r="A1885" s="148" t="s">
        <v>1162</v>
      </c>
      <c r="B1885" s="147"/>
      <c r="C1885" s="147"/>
      <c r="D1885" s="147"/>
      <c r="E1885" s="147"/>
      <c r="F1885" s="147"/>
      <c r="G1885" s="148" t="s">
        <v>263</v>
      </c>
      <c r="H1885" s="148" t="s">
        <v>279</v>
      </c>
      <c r="I1885" s="239" t="str">
        <f>IF(ISBLANK(global!I398),"",global!I398)</f>
        <v>User input</v>
      </c>
      <c r="K1885" s="262" t="s">
        <v>264</v>
      </c>
      <c r="N1885" s="262" t="s">
        <v>264</v>
      </c>
    </row>
    <row r="1886" spans="1:14" ht="12.75" customHeight="1" x14ac:dyDescent="0.2">
      <c r="A1886" s="17"/>
      <c r="B1886" s="17"/>
      <c r="C1886" s="17"/>
      <c r="D1886" s="17"/>
      <c r="E1886" s="17"/>
      <c r="F1886" s="17"/>
      <c r="G1886" s="17"/>
      <c r="H1886" s="17"/>
      <c r="I1886" s="239" t="str">
        <f>IF(ISBLANK(global!I399),"",global!I399)</f>
        <v/>
      </c>
      <c r="K1886" s="262" t="s">
        <v>4249</v>
      </c>
      <c r="N1886" s="262" t="s">
        <v>4249</v>
      </c>
    </row>
    <row r="1887" spans="1:14" ht="12.75" customHeight="1" x14ac:dyDescent="0.2">
      <c r="A1887" s="38" t="s">
        <v>2651</v>
      </c>
      <c r="B1887" s="17"/>
      <c r="C1887" s="17"/>
      <c r="D1887" s="17"/>
      <c r="E1887" s="17"/>
      <c r="F1887" s="17"/>
      <c r="G1887" s="38" t="s">
        <v>3033</v>
      </c>
      <c r="H1887" s="38" t="s">
        <v>624</v>
      </c>
      <c r="I1887" s="239" t="str">
        <f>IF(ISBLANK(global!I400),"",global!I400)</f>
        <v/>
      </c>
      <c r="K1887" s="262" t="s">
        <v>4249</v>
      </c>
      <c r="N1887" s="262" t="s">
        <v>4249</v>
      </c>
    </row>
    <row r="1888" spans="1:14" ht="12.75" customHeight="1" x14ac:dyDescent="0.2">
      <c r="A1888" s="38" t="s">
        <v>2653</v>
      </c>
      <c r="B1888" s="17"/>
      <c r="C1888" s="17"/>
      <c r="D1888" s="17"/>
      <c r="E1888" s="17"/>
      <c r="F1888" s="17"/>
      <c r="G1888" s="38" t="s">
        <v>3034</v>
      </c>
      <c r="H1888" s="38" t="s">
        <v>624</v>
      </c>
      <c r="I1888" s="239" t="str">
        <f>IF(ISBLANK(global!I401),"",global!I401)</f>
        <v/>
      </c>
      <c r="K1888" s="262" t="s">
        <v>4249</v>
      </c>
      <c r="N1888" s="262" t="s">
        <v>4249</v>
      </c>
    </row>
    <row r="1889" spans="1:14" ht="12.75" customHeight="1" x14ac:dyDescent="0.2">
      <c r="A1889" s="38" t="s">
        <v>2655</v>
      </c>
      <c r="B1889" s="17"/>
      <c r="C1889" s="17"/>
      <c r="D1889" s="17"/>
      <c r="E1889" s="17"/>
      <c r="F1889" s="17"/>
      <c r="G1889" s="38" t="s">
        <v>3035</v>
      </c>
      <c r="H1889" s="38" t="s">
        <v>624</v>
      </c>
      <c r="I1889" s="239" t="str">
        <f>IF(ISBLANK(global!I402),"",global!I402)</f>
        <v/>
      </c>
      <c r="K1889" s="262" t="s">
        <v>4249</v>
      </c>
      <c r="N1889" s="262" t="s">
        <v>4249</v>
      </c>
    </row>
    <row r="1890" spans="1:14" ht="12.75" customHeight="1" x14ac:dyDescent="0.2">
      <c r="A1890" s="38" t="s">
        <v>2657</v>
      </c>
      <c r="B1890" s="17"/>
      <c r="C1890" s="17"/>
      <c r="D1890" s="17"/>
      <c r="E1890" s="17"/>
      <c r="F1890" s="17"/>
      <c r="G1890" s="38" t="s">
        <v>3036</v>
      </c>
      <c r="H1890" s="38" t="s">
        <v>624</v>
      </c>
      <c r="I1890" s="239" t="str">
        <f>IF(ISBLANK(global!I403),"",global!I403)</f>
        <v/>
      </c>
      <c r="K1890" s="262" t="s">
        <v>4249</v>
      </c>
      <c r="N1890" s="262" t="s">
        <v>4249</v>
      </c>
    </row>
    <row r="1891" spans="1:14" ht="12.75" customHeight="1" x14ac:dyDescent="0.2">
      <c r="A1891" s="38"/>
      <c r="B1891" s="38" t="s">
        <v>2098</v>
      </c>
      <c r="C1891" s="17"/>
      <c r="D1891" s="17"/>
      <c r="E1891" s="17"/>
      <c r="F1891" s="17"/>
      <c r="G1891" s="540" t="s">
        <v>3037</v>
      </c>
      <c r="H1891" s="38" t="s">
        <v>624</v>
      </c>
      <c r="I1891" s="239" t="str">
        <f>IF(ISBLANK(global!I404),"",global!I404)</f>
        <v/>
      </c>
      <c r="K1891" s="262" t="s">
        <v>4249</v>
      </c>
      <c r="N1891" s="262" t="s">
        <v>4249</v>
      </c>
    </row>
    <row r="1892" spans="1:14" ht="12.75" customHeight="1" x14ac:dyDescent="0.2">
      <c r="A1892" s="38"/>
      <c r="B1892" s="38"/>
      <c r="C1892" s="17" t="s">
        <v>2100</v>
      </c>
      <c r="D1892" s="17"/>
      <c r="E1892" s="17"/>
      <c r="F1892" s="17"/>
      <c r="G1892" s="540" t="s">
        <v>3038</v>
      </c>
      <c r="H1892" s="38" t="s">
        <v>624</v>
      </c>
      <c r="I1892" s="239" t="str">
        <f>IF(ISBLANK(global!I405),"",global!I405)</f>
        <v/>
      </c>
      <c r="K1892" s="262" t="s">
        <v>4249</v>
      </c>
      <c r="N1892" s="262" t="s">
        <v>4249</v>
      </c>
    </row>
    <row r="1893" spans="1:14" ht="12.75" customHeight="1" x14ac:dyDescent="0.2">
      <c r="A1893" s="38"/>
      <c r="B1893" s="38"/>
      <c r="C1893" s="38"/>
      <c r="D1893" s="38" t="s">
        <v>3039</v>
      </c>
      <c r="E1893" s="17"/>
      <c r="F1893" s="17"/>
      <c r="G1893" s="540" t="s">
        <v>3040</v>
      </c>
      <c r="H1893" s="38" t="s">
        <v>624</v>
      </c>
      <c r="I1893" s="239" t="str">
        <f>IF(ISBLANK(global!I406),"",global!I406)</f>
        <v/>
      </c>
      <c r="K1893" s="262" t="s">
        <v>4249</v>
      </c>
      <c r="N1893" s="262" t="s">
        <v>4249</v>
      </c>
    </row>
    <row r="1894" spans="1:14" ht="12.75" customHeight="1" x14ac:dyDescent="0.2">
      <c r="A1894" s="38"/>
      <c r="B1894" s="38"/>
      <c r="C1894" s="38"/>
      <c r="D1894" s="38" t="s">
        <v>3041</v>
      </c>
      <c r="E1894" s="17"/>
      <c r="F1894" s="17"/>
      <c r="G1894" s="540" t="s">
        <v>3042</v>
      </c>
      <c r="H1894" s="38" t="s">
        <v>624</v>
      </c>
      <c r="I1894" s="239" t="str">
        <f>IF(ISBLANK(global!I407),"",global!I407)</f>
        <v/>
      </c>
      <c r="K1894" s="262" t="s">
        <v>4249</v>
      </c>
      <c r="N1894" s="262" t="s">
        <v>4249</v>
      </c>
    </row>
    <row r="1895" spans="1:14" ht="12.75" customHeight="1" x14ac:dyDescent="0.2">
      <c r="A1895" s="38"/>
      <c r="B1895" s="38"/>
      <c r="C1895" s="17" t="s">
        <v>1195</v>
      </c>
      <c r="D1895" s="17"/>
      <c r="E1895" s="17"/>
      <c r="F1895" s="17"/>
      <c r="G1895" s="17" t="s">
        <v>3043</v>
      </c>
      <c r="H1895" s="17" t="s">
        <v>1197</v>
      </c>
      <c r="I1895" s="239" t="str">
        <f>IF(ISBLANK(global!I408),"",global!I408)</f>
        <v/>
      </c>
      <c r="K1895" s="262" t="s">
        <v>4249</v>
      </c>
      <c r="N1895" s="262" t="s">
        <v>4249</v>
      </c>
    </row>
    <row r="1896" spans="1:14" ht="12.75" customHeight="1" x14ac:dyDescent="0.2">
      <c r="A1896" s="38"/>
      <c r="B1896" s="38"/>
      <c r="C1896" s="17" t="s">
        <v>1198</v>
      </c>
      <c r="D1896" s="17"/>
      <c r="E1896" s="17"/>
      <c r="F1896" s="17"/>
      <c r="G1896" s="17" t="s">
        <v>3044</v>
      </c>
      <c r="H1896" s="17" t="s">
        <v>1197</v>
      </c>
      <c r="I1896" s="239" t="str">
        <f>IF(ISBLANK(global!I409),"",global!I409)</f>
        <v/>
      </c>
      <c r="K1896" s="262" t="s">
        <v>4249</v>
      </c>
      <c r="N1896" s="262" t="s">
        <v>4249</v>
      </c>
    </row>
    <row r="1897" spans="1:14" ht="12.75" customHeight="1" x14ac:dyDescent="0.2">
      <c r="A1897" s="38"/>
      <c r="B1897" s="38"/>
      <c r="C1897" s="38" t="s">
        <v>1200</v>
      </c>
      <c r="D1897" s="17"/>
      <c r="E1897" s="17"/>
      <c r="F1897" s="17"/>
      <c r="G1897" s="146" t="s">
        <v>3046</v>
      </c>
      <c r="H1897" s="31" t="s">
        <v>1202</v>
      </c>
      <c r="I1897" s="239" t="str">
        <f>IF(ISBLANK(global!I410),"",global!I410)</f>
        <v/>
      </c>
      <c r="K1897" s="262" t="s">
        <v>4249</v>
      </c>
      <c r="N1897" s="262" t="s">
        <v>4249</v>
      </c>
    </row>
    <row r="1898" spans="1:14" ht="12.75" customHeight="1" x14ac:dyDescent="0.2">
      <c r="A1898" s="38"/>
      <c r="B1898" s="38"/>
      <c r="C1898" s="38" t="s">
        <v>1203</v>
      </c>
      <c r="D1898" s="17"/>
      <c r="E1898" s="17"/>
      <c r="F1898" s="17"/>
      <c r="G1898" s="38" t="s">
        <v>3047</v>
      </c>
      <c r="H1898" s="146" t="s">
        <v>1202</v>
      </c>
      <c r="I1898" s="239" t="str">
        <f>IF(ISBLANK(global!I411),"",global!I411)</f>
        <v/>
      </c>
      <c r="K1898" s="262" t="s">
        <v>4249</v>
      </c>
      <c r="N1898" s="262" t="s">
        <v>4249</v>
      </c>
    </row>
    <row r="1899" spans="1:14" ht="12.75" customHeight="1" x14ac:dyDescent="0.2">
      <c r="A1899" s="38"/>
      <c r="B1899" s="38"/>
      <c r="C1899" s="38" t="s">
        <v>2110</v>
      </c>
      <c r="D1899" s="17"/>
      <c r="E1899" s="17"/>
      <c r="F1899" s="17"/>
      <c r="G1899" s="38" t="s">
        <v>3048</v>
      </c>
      <c r="H1899" s="146" t="s">
        <v>1202</v>
      </c>
      <c r="I1899" s="239" t="str">
        <f>IF(ISBLANK(global!I412),"",global!I412)</f>
        <v/>
      </c>
      <c r="K1899" s="262" t="s">
        <v>4249</v>
      </c>
      <c r="N1899" s="262" t="s">
        <v>4249</v>
      </c>
    </row>
    <row r="1900" spans="1:14" ht="12.75" customHeight="1" x14ac:dyDescent="0.2">
      <c r="A1900" s="38"/>
      <c r="B1900" s="38"/>
      <c r="C1900" s="17"/>
      <c r="D1900" s="146" t="s">
        <v>1207</v>
      </c>
      <c r="E1900" s="146"/>
      <c r="F1900" s="146"/>
      <c r="G1900" s="146" t="s">
        <v>3049</v>
      </c>
      <c r="H1900" s="31" t="s">
        <v>1202</v>
      </c>
      <c r="I1900" s="239" t="str">
        <f>IF(ISBLANK(global!I413),"",global!I413)</f>
        <v/>
      </c>
      <c r="K1900" s="262" t="s">
        <v>4249</v>
      </c>
      <c r="N1900" s="262" t="s">
        <v>4249</v>
      </c>
    </row>
    <row r="1901" spans="1:14" ht="12.75" customHeight="1" x14ac:dyDescent="0.2">
      <c r="A1901" s="38"/>
      <c r="B1901" s="38"/>
      <c r="C1901" s="17"/>
      <c r="D1901" s="38" t="s">
        <v>2673</v>
      </c>
      <c r="E1901" s="146"/>
      <c r="F1901" s="146"/>
      <c r="G1901" s="146" t="s">
        <v>3050</v>
      </c>
      <c r="H1901" s="146" t="s">
        <v>2675</v>
      </c>
      <c r="I1901" s="239" t="str">
        <f>IF(ISBLANK(global!I414),"",global!I414)</f>
        <v/>
      </c>
      <c r="K1901" s="262" t="s">
        <v>4249</v>
      </c>
      <c r="N1901" s="262" t="s">
        <v>4249</v>
      </c>
    </row>
    <row r="1902" spans="1:14" ht="12.75" customHeight="1" x14ac:dyDescent="0.2">
      <c r="A1902" s="38"/>
      <c r="B1902" s="38"/>
      <c r="C1902" s="17"/>
      <c r="D1902" s="38" t="s">
        <v>1209</v>
      </c>
      <c r="E1902" s="17"/>
      <c r="F1902" s="17"/>
      <c r="G1902" s="146" t="s">
        <v>3051</v>
      </c>
      <c r="H1902" s="38" t="s">
        <v>296</v>
      </c>
      <c r="I1902" s="239" t="str">
        <f>IF(ISBLANK(global!I415),"",global!I415)</f>
        <v/>
      </c>
      <c r="K1902" s="262" t="s">
        <v>4249</v>
      </c>
      <c r="N1902" s="262" t="s">
        <v>4249</v>
      </c>
    </row>
    <row r="1903" spans="1:14" ht="12.75" customHeight="1" x14ac:dyDescent="0.2">
      <c r="A1903" s="38"/>
      <c r="B1903" s="38" t="s">
        <v>1211</v>
      </c>
      <c r="C1903" s="17"/>
      <c r="D1903" s="38"/>
      <c r="E1903" s="17"/>
      <c r="F1903" s="17"/>
      <c r="G1903" s="146" t="s">
        <v>3052</v>
      </c>
      <c r="H1903" s="38" t="s">
        <v>873</v>
      </c>
      <c r="I1903" s="239" t="str">
        <f>IF(ISBLANK(global!I416),"",global!I416)</f>
        <v/>
      </c>
      <c r="K1903" s="262" t="s">
        <v>4249</v>
      </c>
      <c r="N1903" s="262" t="s">
        <v>4249</v>
      </c>
    </row>
    <row r="1904" spans="1:14" ht="12.75" customHeight="1" x14ac:dyDescent="0.2">
      <c r="A1904" s="38"/>
      <c r="B1904" s="38" t="s">
        <v>1213</v>
      </c>
      <c r="C1904" s="17"/>
      <c r="D1904" s="38"/>
      <c r="E1904" s="17"/>
      <c r="F1904" s="17"/>
      <c r="G1904" s="146" t="s">
        <v>3053</v>
      </c>
      <c r="H1904" s="38" t="s">
        <v>873</v>
      </c>
      <c r="I1904" s="239" t="str">
        <f>IF(ISBLANK(global!I417),"",global!I417)</f>
        <v/>
      </c>
      <c r="K1904" s="262" t="s">
        <v>4249</v>
      </c>
      <c r="N1904" s="262" t="s">
        <v>4249</v>
      </c>
    </row>
    <row r="1905" spans="1:14" ht="12.75" customHeight="1" x14ac:dyDescent="0.2">
      <c r="A1905" s="38"/>
      <c r="B1905" s="38" t="s">
        <v>2679</v>
      </c>
      <c r="C1905" s="17"/>
      <c r="D1905" s="38"/>
      <c r="E1905" s="17"/>
      <c r="F1905" s="17"/>
      <c r="G1905" s="146" t="s">
        <v>3054</v>
      </c>
      <c r="H1905" s="38" t="s">
        <v>873</v>
      </c>
      <c r="I1905" s="239" t="str">
        <f>IF(ISBLANK(global!I418),"",global!I418)</f>
        <v/>
      </c>
      <c r="K1905" s="262" t="s">
        <v>4249</v>
      </c>
      <c r="N1905" s="262" t="s">
        <v>4249</v>
      </c>
    </row>
    <row r="1906" spans="1:14" ht="12.75" customHeight="1" x14ac:dyDescent="0.2">
      <c r="A1906" s="38"/>
      <c r="B1906" s="38" t="s">
        <v>2681</v>
      </c>
      <c r="C1906" s="17"/>
      <c r="D1906" s="38"/>
      <c r="E1906" s="17"/>
      <c r="F1906" s="17"/>
      <c r="G1906" s="146" t="s">
        <v>3055</v>
      </c>
      <c r="H1906" s="38" t="s">
        <v>873</v>
      </c>
      <c r="I1906" s="239" t="str">
        <f>IF(ISBLANK(global!I419),"",global!I419)</f>
        <v/>
      </c>
      <c r="K1906" s="262" t="s">
        <v>4249</v>
      </c>
      <c r="N1906" s="262" t="s">
        <v>4249</v>
      </c>
    </row>
    <row r="1907" spans="1:14" ht="12.75" customHeight="1" x14ac:dyDescent="0.2">
      <c r="A1907" s="17"/>
      <c r="B1907" s="38"/>
      <c r="C1907" s="17" t="s">
        <v>1222</v>
      </c>
      <c r="D1907" s="17"/>
      <c r="E1907" s="17"/>
      <c r="F1907" s="17"/>
      <c r="G1907" s="17" t="s">
        <v>3056</v>
      </c>
      <c r="H1907" s="31" t="s">
        <v>1202</v>
      </c>
      <c r="I1907" s="239" t="str">
        <f>IF(ISBLANK(global!I420),"",global!I420)</f>
        <v/>
      </c>
      <c r="K1907" s="262" t="s">
        <v>4249</v>
      </c>
      <c r="N1907" s="262" t="s">
        <v>4249</v>
      </c>
    </row>
    <row r="1908" spans="1:14" ht="12.75" customHeight="1" x14ac:dyDescent="0.2">
      <c r="A1908" s="17"/>
      <c r="B1908" s="38"/>
      <c r="C1908" s="17" t="s">
        <v>1224</v>
      </c>
      <c r="D1908" s="17"/>
      <c r="E1908" s="17"/>
      <c r="F1908" s="17"/>
      <c r="G1908" s="17" t="s">
        <v>3057</v>
      </c>
      <c r="H1908" s="31" t="s">
        <v>1202</v>
      </c>
      <c r="I1908" s="239" t="str">
        <f>IF(ISBLANK(global!I421),"",global!I421)</f>
        <v/>
      </c>
      <c r="K1908" s="262" t="s">
        <v>4249</v>
      </c>
      <c r="N1908" s="262" t="s">
        <v>4249</v>
      </c>
    </row>
    <row r="1909" spans="1:14" ht="12.75" customHeight="1" x14ac:dyDescent="0.2">
      <c r="A1909" s="38"/>
      <c r="B1909" s="17"/>
      <c r="C1909" s="146" t="s">
        <v>2685</v>
      </c>
      <c r="D1909" s="17"/>
      <c r="E1909" s="17"/>
      <c r="F1909" s="17"/>
      <c r="G1909" s="38" t="s">
        <v>3058</v>
      </c>
      <c r="H1909" s="31" t="s">
        <v>1202</v>
      </c>
      <c r="I1909" s="239" t="str">
        <f>IF(ISBLANK(global!I422),"",global!I422)</f>
        <v/>
      </c>
      <c r="K1909" s="262" t="s">
        <v>4249</v>
      </c>
      <c r="N1909" s="262" t="s">
        <v>4249</v>
      </c>
    </row>
    <row r="1910" spans="1:14" ht="12.75" customHeight="1" x14ac:dyDescent="0.2">
      <c r="A1910" s="38"/>
      <c r="B1910" s="38"/>
      <c r="C1910" s="17" t="s">
        <v>1232</v>
      </c>
      <c r="D1910" s="17"/>
      <c r="E1910" s="146"/>
      <c r="F1910" s="146"/>
      <c r="G1910" s="17" t="s">
        <v>3059</v>
      </c>
      <c r="H1910" s="31" t="s">
        <v>1202</v>
      </c>
      <c r="I1910" s="239" t="str">
        <f>IF(ISBLANK(global!I423),"",global!I423)</f>
        <v/>
      </c>
      <c r="K1910" s="262" t="s">
        <v>4249</v>
      </c>
      <c r="N1910" s="262" t="s">
        <v>4249</v>
      </c>
    </row>
    <row r="1911" spans="1:14" ht="12.75" customHeight="1" x14ac:dyDescent="0.2">
      <c r="A1911" s="38"/>
      <c r="B1911" s="38"/>
      <c r="C1911" s="17" t="s">
        <v>1234</v>
      </c>
      <c r="D1911" s="17"/>
      <c r="E1911" s="17"/>
      <c r="F1911" s="17"/>
      <c r="G1911" s="17" t="s">
        <v>3060</v>
      </c>
      <c r="H1911" s="146" t="s">
        <v>1202</v>
      </c>
      <c r="I1911" s="239" t="str">
        <f>IF(ISBLANK(global!I424),"",global!I424)</f>
        <v/>
      </c>
      <c r="K1911" s="262" t="s">
        <v>4249</v>
      </c>
      <c r="N1911" s="262" t="s">
        <v>4249</v>
      </c>
    </row>
    <row r="1912" spans="1:14" ht="12.75" customHeight="1" x14ac:dyDescent="0.2">
      <c r="A1912" s="38"/>
      <c r="B1912" s="38"/>
      <c r="C1912" s="17" t="s">
        <v>1236</v>
      </c>
      <c r="D1912" s="17"/>
      <c r="E1912" s="146"/>
      <c r="F1912" s="17"/>
      <c r="G1912" s="38" t="s">
        <v>3061</v>
      </c>
      <c r="H1912" s="17" t="s">
        <v>296</v>
      </c>
      <c r="I1912" s="239" t="str">
        <f>IF(ISBLANK(global!I425),"",global!I425)</f>
        <v/>
      </c>
      <c r="K1912" s="262" t="s">
        <v>4249</v>
      </c>
      <c r="N1912" s="262" t="s">
        <v>4249</v>
      </c>
    </row>
    <row r="1913" spans="1:14" ht="12.75" customHeight="1" x14ac:dyDescent="0.2">
      <c r="A1913" s="17"/>
      <c r="B1913" s="17"/>
      <c r="C1913" s="17"/>
      <c r="D1913" s="17"/>
      <c r="E1913" s="17"/>
      <c r="F1913" s="17"/>
      <c r="G1913" s="17"/>
      <c r="H1913" s="17"/>
      <c r="I1913" s="239" t="str">
        <f>IF(ISBLANK(global!I426),"",global!I426)</f>
        <v/>
      </c>
      <c r="K1913" s="262" t="s">
        <v>4249</v>
      </c>
      <c r="N1913" s="262" t="s">
        <v>4249</v>
      </c>
    </row>
    <row r="1914" spans="1:14" ht="12.75" customHeight="1" x14ac:dyDescent="0.2">
      <c r="A1914" s="38" t="s">
        <v>2690</v>
      </c>
      <c r="B1914" s="17"/>
      <c r="C1914" s="17"/>
      <c r="D1914" s="17"/>
      <c r="E1914" s="17"/>
      <c r="F1914" s="17"/>
      <c r="G1914" s="38" t="s">
        <v>3062</v>
      </c>
      <c r="H1914" s="38" t="s">
        <v>624</v>
      </c>
      <c r="I1914" s="239" t="str">
        <f>IF(ISBLANK(global!I427),"",global!I427)</f>
        <v/>
      </c>
      <c r="K1914" s="262" t="s">
        <v>4249</v>
      </c>
      <c r="N1914" s="262" t="s">
        <v>4249</v>
      </c>
    </row>
    <row r="1915" spans="1:14" ht="12.75" customHeight="1" x14ac:dyDescent="0.2">
      <c r="A1915" s="38" t="s">
        <v>2692</v>
      </c>
      <c r="B1915" s="17"/>
      <c r="C1915" s="17"/>
      <c r="D1915" s="17"/>
      <c r="E1915" s="17"/>
      <c r="F1915" s="17"/>
      <c r="G1915" s="38" t="s">
        <v>3063</v>
      </c>
      <c r="H1915" s="38" t="s">
        <v>624</v>
      </c>
      <c r="I1915" s="239" t="str">
        <f>IF(ISBLANK(global!I428),"",global!I428)</f>
        <v/>
      </c>
      <c r="K1915" s="262" t="s">
        <v>4249</v>
      </c>
      <c r="N1915" s="262" t="s">
        <v>4249</v>
      </c>
    </row>
    <row r="1916" spans="1:14" ht="12.75" customHeight="1" x14ac:dyDescent="0.2">
      <c r="A1916" s="38"/>
      <c r="B1916" s="38" t="s">
        <v>2694</v>
      </c>
      <c r="C1916" s="17"/>
      <c r="D1916" s="17"/>
      <c r="E1916" s="17"/>
      <c r="F1916" s="17"/>
      <c r="G1916" s="540" t="s">
        <v>3064</v>
      </c>
      <c r="H1916" s="38" t="s">
        <v>1202</v>
      </c>
      <c r="I1916" s="239" t="str">
        <f>IF(ISBLANK(global!I429),"",global!I429)</f>
        <v/>
      </c>
      <c r="K1916" s="262" t="s">
        <v>4249</v>
      </c>
      <c r="N1916" s="262" t="s">
        <v>4249</v>
      </c>
    </row>
    <row r="1917" spans="1:14" ht="12.75" customHeight="1" x14ac:dyDescent="0.2">
      <c r="A1917" s="38"/>
      <c r="B1917" s="38" t="s">
        <v>2696</v>
      </c>
      <c r="C1917" s="17"/>
      <c r="D1917" s="17"/>
      <c r="E1917" s="17"/>
      <c r="F1917" s="17"/>
      <c r="G1917" s="540" t="s">
        <v>3065</v>
      </c>
      <c r="H1917" s="38" t="s">
        <v>1202</v>
      </c>
      <c r="I1917" s="239" t="str">
        <f>IF(ISBLANK(global!I430),"",global!I430)</f>
        <v/>
      </c>
      <c r="K1917" s="262" t="s">
        <v>4249</v>
      </c>
      <c r="N1917" s="262" t="s">
        <v>4249</v>
      </c>
    </row>
    <row r="1918" spans="1:14" ht="12.75" customHeight="1" x14ac:dyDescent="0.2">
      <c r="A1918" s="38"/>
      <c r="B1918" s="38"/>
      <c r="C1918" s="38" t="s">
        <v>1268</v>
      </c>
      <c r="D1918" s="38"/>
      <c r="E1918" s="17"/>
      <c r="F1918" s="17"/>
      <c r="G1918" s="146" t="s">
        <v>3066</v>
      </c>
      <c r="H1918" s="31" t="s">
        <v>1202</v>
      </c>
      <c r="I1918" s="239" t="str">
        <f>IF(ISBLANK(global!I431),"",global!I431)</f>
        <v/>
      </c>
      <c r="K1918" s="262" t="s">
        <v>4249</v>
      </c>
      <c r="N1918" s="262" t="s">
        <v>4249</v>
      </c>
    </row>
    <row r="1919" spans="1:14" ht="12.75" customHeight="1" x14ac:dyDescent="0.2">
      <c r="A1919" s="38"/>
      <c r="B1919" s="38"/>
      <c r="C1919" s="17"/>
      <c r="D1919" s="38" t="s">
        <v>1272</v>
      </c>
      <c r="E1919" s="146"/>
      <c r="F1919" s="146"/>
      <c r="G1919" s="146" t="s">
        <v>3067</v>
      </c>
      <c r="H1919" s="31" t="s">
        <v>1202</v>
      </c>
      <c r="I1919" s="239" t="str">
        <f>IF(ISBLANK(global!I432),"",global!I432)</f>
        <v/>
      </c>
      <c r="K1919" s="262" t="s">
        <v>4249</v>
      </c>
      <c r="N1919" s="262" t="s">
        <v>4249</v>
      </c>
    </row>
    <row r="1920" spans="1:14" ht="12.75" customHeight="1" x14ac:dyDescent="0.2">
      <c r="A1920" s="38"/>
      <c r="B1920" s="38"/>
      <c r="C1920" s="17"/>
      <c r="D1920" s="38" t="s">
        <v>2700</v>
      </c>
      <c r="E1920" s="146"/>
      <c r="F1920" s="146"/>
      <c r="G1920" s="146" t="s">
        <v>3068</v>
      </c>
      <c r="H1920" s="31" t="s">
        <v>1202</v>
      </c>
      <c r="I1920" s="239" t="str">
        <f>IF(ISBLANK(global!I433),"",global!I433)</f>
        <v/>
      </c>
      <c r="K1920" s="262" t="s">
        <v>4249</v>
      </c>
      <c r="N1920" s="262" t="s">
        <v>4249</v>
      </c>
    </row>
    <row r="1921" spans="1:14" ht="12.75" customHeight="1" x14ac:dyDescent="0.2">
      <c r="A1921" s="38"/>
      <c r="B1921" s="38"/>
      <c r="C1921" s="38"/>
      <c r="D1921" s="17"/>
      <c r="E1921" s="38" t="s">
        <v>2702</v>
      </c>
      <c r="F1921" s="38"/>
      <c r="G1921" s="146" t="s">
        <v>3069</v>
      </c>
      <c r="H1921" s="38" t="s">
        <v>1284</v>
      </c>
      <c r="I1921" s="239" t="str">
        <f>IF(ISBLANK(global!I434),"",global!I434)</f>
        <v/>
      </c>
      <c r="K1921" s="262" t="s">
        <v>4249</v>
      </c>
      <c r="N1921" s="262" t="s">
        <v>4249</v>
      </c>
    </row>
    <row r="1922" spans="1:14" ht="12.75" customHeight="1" x14ac:dyDescent="0.2">
      <c r="A1922" s="38"/>
      <c r="B1922" s="17" t="s">
        <v>2705</v>
      </c>
      <c r="C1922" s="146"/>
      <c r="D1922" s="146"/>
      <c r="E1922" s="17"/>
      <c r="F1922" s="17"/>
      <c r="G1922" s="540" t="s">
        <v>3071</v>
      </c>
      <c r="H1922" s="38" t="s">
        <v>1202</v>
      </c>
      <c r="I1922" s="239" t="str">
        <f>IF(ISBLANK(global!I435),"",global!I435)</f>
        <v/>
      </c>
      <c r="K1922" s="262" t="s">
        <v>4249</v>
      </c>
      <c r="N1922" s="262" t="s">
        <v>4249</v>
      </c>
    </row>
    <row r="1923" spans="1:14" ht="12.75" customHeight="1" x14ac:dyDescent="0.2">
      <c r="A1923" s="38"/>
      <c r="B1923" s="17" t="s">
        <v>2707</v>
      </c>
      <c r="C1923" s="146"/>
      <c r="D1923" s="146"/>
      <c r="E1923" s="17"/>
      <c r="F1923" s="17"/>
      <c r="G1923" s="540" t="s">
        <v>3072</v>
      </c>
      <c r="H1923" s="38" t="s">
        <v>1202</v>
      </c>
      <c r="I1923" s="239" t="str">
        <f>IF(ISBLANK(global!I436),"",global!I436)</f>
        <v/>
      </c>
      <c r="K1923" s="262" t="s">
        <v>4249</v>
      </c>
      <c r="N1923" s="262" t="s">
        <v>4249</v>
      </c>
    </row>
    <row r="1924" spans="1:14" ht="12.75" customHeight="1" x14ac:dyDescent="0.2">
      <c r="A1924" s="38"/>
      <c r="B1924" s="38"/>
      <c r="C1924" s="17" t="s">
        <v>1296</v>
      </c>
      <c r="D1924" s="17"/>
      <c r="E1924" s="17"/>
      <c r="F1924" s="17"/>
      <c r="G1924" s="17" t="s">
        <v>3073</v>
      </c>
      <c r="H1924" s="31" t="s">
        <v>1202</v>
      </c>
      <c r="I1924" s="239" t="str">
        <f>IF(ISBLANK(global!I437),"",global!I437)</f>
        <v/>
      </c>
      <c r="K1924" s="262" t="s">
        <v>4249</v>
      </c>
      <c r="N1924" s="262" t="s">
        <v>4249</v>
      </c>
    </row>
    <row r="1925" spans="1:14" ht="12.75" customHeight="1" x14ac:dyDescent="0.2">
      <c r="A1925" s="38"/>
      <c r="B1925" s="38"/>
      <c r="C1925" s="17" t="s">
        <v>1298</v>
      </c>
      <c r="D1925" s="17"/>
      <c r="E1925" s="17"/>
      <c r="F1925" s="17"/>
      <c r="G1925" s="17" t="s">
        <v>3074</v>
      </c>
      <c r="H1925" s="31" t="s">
        <v>1202</v>
      </c>
      <c r="I1925" s="239" t="str">
        <f>IF(ISBLANK(global!I438),"",global!I438)</f>
        <v/>
      </c>
      <c r="K1925" s="262" t="s">
        <v>4249</v>
      </c>
      <c r="N1925" s="262" t="s">
        <v>4249</v>
      </c>
    </row>
    <row r="1926" spans="1:14" ht="12.75" customHeight="1" x14ac:dyDescent="0.2">
      <c r="A1926" s="17"/>
      <c r="B1926" s="17"/>
      <c r="C1926" s="17"/>
      <c r="D1926" s="17"/>
      <c r="E1926" s="17"/>
      <c r="F1926" s="17"/>
      <c r="G1926" s="17"/>
      <c r="H1926" s="17"/>
      <c r="I1926" s="239" t="str">
        <f>IF(ISBLANK(global!I439),"",global!I439)</f>
        <v/>
      </c>
      <c r="K1926" s="262" t="s">
        <v>4249</v>
      </c>
      <c r="N1926" s="262" t="s">
        <v>4249</v>
      </c>
    </row>
    <row r="1927" spans="1:14" ht="12.75" customHeight="1" x14ac:dyDescent="0.2">
      <c r="A1927" s="38" t="s">
        <v>3075</v>
      </c>
      <c r="B1927" s="17"/>
      <c r="C1927" s="17"/>
      <c r="D1927" s="17"/>
      <c r="E1927" s="17"/>
      <c r="F1927" s="17"/>
      <c r="G1927" s="38" t="s">
        <v>3076</v>
      </c>
      <c r="H1927" s="38" t="s">
        <v>624</v>
      </c>
      <c r="I1927" s="239" t="str">
        <f>IF(ISBLANK(global!I440),"",global!I440)</f>
        <v/>
      </c>
      <c r="K1927" s="262" t="s">
        <v>4249</v>
      </c>
      <c r="N1927" s="262" t="s">
        <v>4249</v>
      </c>
    </row>
    <row r="1928" spans="1:14" ht="12.75" customHeight="1" x14ac:dyDescent="0.2">
      <c r="A1928" s="17"/>
      <c r="B1928" s="17"/>
      <c r="C1928" s="146" t="s">
        <v>2713</v>
      </c>
      <c r="D1928" s="17"/>
      <c r="E1928" s="17"/>
      <c r="F1928" s="17"/>
      <c r="G1928" s="146" t="s">
        <v>3077</v>
      </c>
      <c r="H1928" s="146" t="s">
        <v>1202</v>
      </c>
      <c r="I1928" s="239" t="str">
        <f>IF(ISBLANK(global!I441),"",global!I441)</f>
        <v/>
      </c>
      <c r="K1928" s="262" t="s">
        <v>4249</v>
      </c>
      <c r="N1928" s="262" t="s">
        <v>4249</v>
      </c>
    </row>
    <row r="1929" spans="1:14" ht="12.75" customHeight="1" x14ac:dyDescent="0.2">
      <c r="A1929" s="17"/>
      <c r="B1929" s="17"/>
      <c r="C1929" s="38" t="s">
        <v>2715</v>
      </c>
      <c r="D1929" s="17"/>
      <c r="E1929" s="17"/>
      <c r="F1929" s="17"/>
      <c r="G1929" s="146" t="s">
        <v>3078</v>
      </c>
      <c r="H1929" s="38" t="s">
        <v>296</v>
      </c>
      <c r="I1929" s="239" t="str">
        <f>IF(ISBLANK(global!I442),"",global!I442)</f>
        <v/>
      </c>
      <c r="K1929" s="262" t="s">
        <v>4249</v>
      </c>
      <c r="N1929" s="262" t="s">
        <v>4249</v>
      </c>
    </row>
    <row r="1930" spans="1:14" ht="12.75" customHeight="1" x14ac:dyDescent="0.2">
      <c r="A1930" s="38"/>
      <c r="B1930" s="38"/>
      <c r="C1930" s="17" t="s">
        <v>1236</v>
      </c>
      <c r="D1930" s="17"/>
      <c r="E1930" s="146"/>
      <c r="F1930" s="146"/>
      <c r="G1930" s="38" t="s">
        <v>3079</v>
      </c>
      <c r="H1930" s="17" t="s">
        <v>296</v>
      </c>
      <c r="I1930" s="239" t="str">
        <f>IF(ISBLANK(global!I443),"",global!I443)</f>
        <v/>
      </c>
      <c r="K1930" s="262" t="s">
        <v>4249</v>
      </c>
      <c r="N1930" s="262" t="s">
        <v>4249</v>
      </c>
    </row>
    <row r="1931" spans="1:14" ht="12.75" customHeight="1" x14ac:dyDescent="0.2">
      <c r="A1931" s="17"/>
      <c r="B1931" s="17"/>
      <c r="C1931" s="17"/>
      <c r="D1931" s="146"/>
      <c r="E1931" s="17"/>
      <c r="F1931" s="17"/>
      <c r="G1931" s="17"/>
      <c r="H1931" s="17"/>
      <c r="I1931" s="239" t="str">
        <f>IF(ISBLANK(global!I444),"",global!I444)</f>
        <v/>
      </c>
      <c r="K1931" s="262" t="s">
        <v>4249</v>
      </c>
      <c r="N1931" s="262" t="s">
        <v>4249</v>
      </c>
    </row>
    <row r="1932" spans="1:14" ht="12.75" customHeight="1" x14ac:dyDescent="0.2">
      <c r="A1932" s="148" t="s">
        <v>1321</v>
      </c>
      <c r="B1932" s="147"/>
      <c r="C1932" s="147"/>
      <c r="D1932" s="147"/>
      <c r="E1932" s="147"/>
      <c r="F1932" s="147"/>
      <c r="G1932" s="148" t="s">
        <v>263</v>
      </c>
      <c r="H1932" s="148" t="s">
        <v>279</v>
      </c>
      <c r="I1932" s="239" t="str">
        <f>IF(ISBLANK(global!I445),"",global!I445)</f>
        <v>User input</v>
      </c>
      <c r="K1932" s="262" t="s">
        <v>264</v>
      </c>
      <c r="N1932" s="262" t="s">
        <v>264</v>
      </c>
    </row>
    <row r="1933" spans="1:14" ht="12.75" customHeight="1" x14ac:dyDescent="0.2">
      <c r="A1933" s="38"/>
      <c r="B1933" s="17"/>
      <c r="C1933" s="17"/>
      <c r="D1933" s="17"/>
      <c r="E1933" s="17"/>
      <c r="F1933" s="17"/>
      <c r="G1933" s="17"/>
      <c r="H1933" s="17"/>
      <c r="I1933" s="239" t="str">
        <f>IF(ISBLANK(global!I446),"",global!I446)</f>
        <v/>
      </c>
      <c r="K1933" s="262" t="s">
        <v>4249</v>
      </c>
      <c r="N1933" s="262" t="s">
        <v>4249</v>
      </c>
    </row>
    <row r="1934" spans="1:14" ht="12.75" customHeight="1" x14ac:dyDescent="0.2">
      <c r="A1934" s="38" t="s">
        <v>1322</v>
      </c>
      <c r="B1934" s="17"/>
      <c r="C1934" s="17"/>
      <c r="D1934" s="17"/>
      <c r="E1934" s="17"/>
      <c r="F1934" s="17"/>
      <c r="G1934" s="38" t="s">
        <v>3080</v>
      </c>
      <c r="H1934" s="38" t="s">
        <v>624</v>
      </c>
      <c r="I1934" s="239" t="str">
        <f>IF(ISBLANK(global!I447),"",global!I447)</f>
        <v/>
      </c>
      <c r="K1934" s="262" t="s">
        <v>4249</v>
      </c>
      <c r="N1934" s="262" t="s">
        <v>4249</v>
      </c>
    </row>
    <row r="1935" spans="1:14" ht="12.75" customHeight="1" x14ac:dyDescent="0.2">
      <c r="A1935" s="38" t="s">
        <v>2719</v>
      </c>
      <c r="B1935" s="17"/>
      <c r="C1935" s="17"/>
      <c r="D1935" s="17"/>
      <c r="E1935" s="17"/>
      <c r="F1935" s="17"/>
      <c r="G1935" s="38" t="s">
        <v>3081</v>
      </c>
      <c r="H1935" s="38" t="s">
        <v>624</v>
      </c>
      <c r="I1935" s="239" t="str">
        <f>IF(ISBLANK(global!I448),"",global!I448)</f>
        <v/>
      </c>
      <c r="K1935" s="262" t="s">
        <v>4249</v>
      </c>
      <c r="N1935" s="262" t="s">
        <v>4249</v>
      </c>
    </row>
    <row r="1936" spans="1:14" ht="12.75" customHeight="1" x14ac:dyDescent="0.2">
      <c r="A1936" s="38" t="s">
        <v>2721</v>
      </c>
      <c r="B1936" s="17"/>
      <c r="C1936" s="17"/>
      <c r="D1936" s="17"/>
      <c r="E1936" s="17"/>
      <c r="F1936" s="17"/>
      <c r="G1936" s="38" t="s">
        <v>3082</v>
      </c>
      <c r="H1936" s="38" t="s">
        <v>624</v>
      </c>
      <c r="I1936" s="239" t="str">
        <f>IF(ISBLANK(global!I449),"",global!I449)</f>
        <v/>
      </c>
      <c r="K1936" s="262" t="s">
        <v>4249</v>
      </c>
      <c r="N1936" s="262" t="s">
        <v>4249</v>
      </c>
    </row>
    <row r="1937" spans="1:14" ht="12.75" customHeight="1" x14ac:dyDescent="0.2">
      <c r="A1937" s="38" t="s">
        <v>2723</v>
      </c>
      <c r="B1937" s="17"/>
      <c r="C1937" s="17"/>
      <c r="D1937" s="17"/>
      <c r="E1937" s="17"/>
      <c r="F1937" s="17"/>
      <c r="G1937" s="38" t="s">
        <v>3083</v>
      </c>
      <c r="H1937" s="38" t="s">
        <v>624</v>
      </c>
      <c r="I1937" s="239" t="str">
        <f>IF(ISBLANK(global!I450),"",global!I450)</f>
        <v/>
      </c>
      <c r="K1937" s="262" t="s">
        <v>4249</v>
      </c>
      <c r="N1937" s="262" t="s">
        <v>4249</v>
      </c>
    </row>
    <row r="1938" spans="1:14" ht="12.75" customHeight="1" x14ac:dyDescent="0.2">
      <c r="A1938" s="38" t="s">
        <v>2725</v>
      </c>
      <c r="B1938" s="17"/>
      <c r="C1938" s="17"/>
      <c r="D1938" s="17"/>
      <c r="E1938" s="17"/>
      <c r="F1938" s="17"/>
      <c r="G1938" s="38" t="s">
        <v>3084</v>
      </c>
      <c r="H1938" s="38" t="s">
        <v>624</v>
      </c>
      <c r="I1938" s="239" t="str">
        <f>IF(ISBLANK(global!I451),"",global!I451)</f>
        <v/>
      </c>
      <c r="K1938" s="262" t="s">
        <v>4249</v>
      </c>
      <c r="N1938" s="262" t="s">
        <v>4249</v>
      </c>
    </row>
    <row r="1939" spans="1:14" ht="12.75" customHeight="1" x14ac:dyDescent="0.2">
      <c r="A1939" s="38"/>
      <c r="B1939" s="38" t="s">
        <v>1342</v>
      </c>
      <c r="C1939" s="146"/>
      <c r="D1939" s="17"/>
      <c r="E1939" s="17"/>
      <c r="F1939" s="17"/>
      <c r="G1939" s="146" t="s">
        <v>3085</v>
      </c>
      <c r="H1939" s="38" t="s">
        <v>624</v>
      </c>
      <c r="I1939" s="239" t="str">
        <f>IF(ISBLANK(global!I452),"",global!I452)</f>
        <v/>
      </c>
      <c r="K1939" s="262" t="s">
        <v>4249</v>
      </c>
      <c r="N1939" s="262" t="s">
        <v>4249</v>
      </c>
    </row>
    <row r="1940" spans="1:14" ht="12.75" customHeight="1" x14ac:dyDescent="0.2">
      <c r="A1940" s="38"/>
      <c r="B1940" s="38" t="s">
        <v>1344</v>
      </c>
      <c r="C1940" s="17"/>
      <c r="D1940" s="17"/>
      <c r="E1940" s="17"/>
      <c r="F1940" s="17"/>
      <c r="G1940" s="38" t="s">
        <v>3086</v>
      </c>
      <c r="H1940" s="38" t="s">
        <v>624</v>
      </c>
      <c r="I1940" s="239" t="str">
        <f>IF(ISBLANK(global!I453),"",global!I453)</f>
        <v/>
      </c>
      <c r="K1940" s="262" t="s">
        <v>4249</v>
      </c>
      <c r="N1940" s="262" t="s">
        <v>4249</v>
      </c>
    </row>
    <row r="1941" spans="1:14" ht="12.75" customHeight="1" x14ac:dyDescent="0.2">
      <c r="A1941" s="146"/>
      <c r="B1941" s="146"/>
      <c r="C1941" s="38" t="s">
        <v>3087</v>
      </c>
      <c r="D1941" s="17"/>
      <c r="E1941" s="17"/>
      <c r="F1941" s="17"/>
      <c r="G1941" s="38" t="s">
        <v>3088</v>
      </c>
      <c r="H1941" s="38" t="s">
        <v>627</v>
      </c>
      <c r="I1941" s="239" t="str">
        <f>IF(ISBLANK(global!I454),"",global!I454)</f>
        <v/>
      </c>
      <c r="K1941" s="262" t="s">
        <v>4249</v>
      </c>
      <c r="N1941" s="262" t="s">
        <v>4249</v>
      </c>
    </row>
    <row r="1942" spans="1:14" ht="12.75" customHeight="1" x14ac:dyDescent="0.2">
      <c r="A1942" s="146"/>
      <c r="B1942" s="146"/>
      <c r="C1942" s="38" t="s">
        <v>2190</v>
      </c>
      <c r="D1942" s="17"/>
      <c r="E1942" s="17"/>
      <c r="F1942" s="17"/>
      <c r="G1942" s="38" t="s">
        <v>3089</v>
      </c>
      <c r="H1942" s="38" t="s">
        <v>296</v>
      </c>
      <c r="I1942" s="239" t="str">
        <f>IF(ISBLANK(global!I455),"",global!I455)</f>
        <v/>
      </c>
      <c r="K1942" s="262" t="s">
        <v>4249</v>
      </c>
      <c r="N1942" s="262" t="s">
        <v>4249</v>
      </c>
    </row>
    <row r="1943" spans="1:14" ht="12.75" customHeight="1" x14ac:dyDescent="0.2">
      <c r="A1943" s="38"/>
      <c r="B1943" s="38" t="s">
        <v>2732</v>
      </c>
      <c r="C1943" s="17"/>
      <c r="D1943" s="17"/>
      <c r="E1943" s="17"/>
      <c r="F1943" s="17"/>
      <c r="G1943" s="38" t="s">
        <v>3090</v>
      </c>
      <c r="H1943" s="38" t="s">
        <v>624</v>
      </c>
      <c r="I1943" s="239" t="str">
        <f>IF(ISBLANK(global!I456),"",global!I456)</f>
        <v/>
      </c>
      <c r="K1943" s="262" t="s">
        <v>4249</v>
      </c>
      <c r="N1943" s="262" t="s">
        <v>4249</v>
      </c>
    </row>
    <row r="1944" spans="1:14" ht="12.75" customHeight="1" x14ac:dyDescent="0.2">
      <c r="A1944" s="38"/>
      <c r="B1944" s="38" t="s">
        <v>2734</v>
      </c>
      <c r="C1944" s="17"/>
      <c r="D1944" s="17"/>
      <c r="E1944" s="17"/>
      <c r="F1944" s="17"/>
      <c r="G1944" s="38" t="s">
        <v>3091</v>
      </c>
      <c r="H1944" s="38" t="s">
        <v>624</v>
      </c>
      <c r="I1944" s="239" t="str">
        <f>IF(ISBLANK(global!I457),"",global!I457)</f>
        <v/>
      </c>
      <c r="K1944" s="262" t="s">
        <v>4249</v>
      </c>
      <c r="N1944" s="262" t="s">
        <v>4249</v>
      </c>
    </row>
    <row r="1945" spans="1:14" ht="12.75" customHeight="1" x14ac:dyDescent="0.2">
      <c r="A1945" s="38"/>
      <c r="B1945" s="38"/>
      <c r="C1945" s="38" t="s">
        <v>2736</v>
      </c>
      <c r="D1945" s="17"/>
      <c r="E1945" s="17"/>
      <c r="F1945" s="17"/>
      <c r="G1945" s="146" t="s">
        <v>3092</v>
      </c>
      <c r="H1945" s="38" t="s">
        <v>1359</v>
      </c>
      <c r="I1945" s="239" t="str">
        <f>IF(ISBLANK(global!I458),"",global!I458)</f>
        <v/>
      </c>
      <c r="K1945" s="262" t="s">
        <v>4249</v>
      </c>
      <c r="N1945" s="262" t="s">
        <v>4249</v>
      </c>
    </row>
    <row r="1946" spans="1:14" ht="12.75" customHeight="1" x14ac:dyDescent="0.2">
      <c r="A1946" s="38"/>
      <c r="B1946" s="38"/>
      <c r="C1946" s="38" t="s">
        <v>3093</v>
      </c>
      <c r="D1946" s="17"/>
      <c r="E1946" s="17"/>
      <c r="F1946" s="17"/>
      <c r="G1946" s="146" t="s">
        <v>3094</v>
      </c>
      <c r="H1946" s="38" t="s">
        <v>1359</v>
      </c>
      <c r="I1946" s="239" t="str">
        <f>IF(ISBLANK(global!I459),"",global!I459)</f>
        <v/>
      </c>
      <c r="K1946" s="262" t="s">
        <v>4249</v>
      </c>
      <c r="N1946" s="262" t="s">
        <v>4249</v>
      </c>
    </row>
    <row r="1947" spans="1:14" ht="12.75" customHeight="1" x14ac:dyDescent="0.2">
      <c r="A1947" s="146"/>
      <c r="B1947" s="146"/>
      <c r="C1947" s="38" t="s">
        <v>1365</v>
      </c>
      <c r="D1947" s="17"/>
      <c r="E1947" s="17"/>
      <c r="F1947" s="17"/>
      <c r="G1947" s="38" t="s">
        <v>3095</v>
      </c>
      <c r="H1947" s="38" t="s">
        <v>296</v>
      </c>
      <c r="I1947" s="239" t="str">
        <f>IF(ISBLANK(global!I460),"",global!I460)</f>
        <v/>
      </c>
      <c r="K1947" s="262" t="s">
        <v>4249</v>
      </c>
      <c r="N1947" s="262" t="s">
        <v>4249</v>
      </c>
    </row>
    <row r="1948" spans="1:14" ht="12.75" customHeight="1" x14ac:dyDescent="0.2">
      <c r="A1948" s="38"/>
      <c r="B1948" s="38" t="s">
        <v>2741</v>
      </c>
      <c r="C1948" s="17"/>
      <c r="D1948" s="17"/>
      <c r="E1948" s="17"/>
      <c r="F1948" s="17"/>
      <c r="G1948" s="38" t="s">
        <v>3096</v>
      </c>
      <c r="H1948" s="38" t="s">
        <v>624</v>
      </c>
      <c r="I1948" s="239" t="str">
        <f>IF(ISBLANK(global!I461),"",global!I461)</f>
        <v/>
      </c>
      <c r="K1948" s="262" t="s">
        <v>4249</v>
      </c>
      <c r="N1948" s="262" t="s">
        <v>4249</v>
      </c>
    </row>
    <row r="1949" spans="1:14" ht="12.75" customHeight="1" x14ac:dyDescent="0.2">
      <c r="A1949" s="38"/>
      <c r="B1949" s="38" t="s">
        <v>2743</v>
      </c>
      <c r="C1949" s="17"/>
      <c r="D1949" s="17"/>
      <c r="E1949" s="17"/>
      <c r="F1949" s="17"/>
      <c r="G1949" s="38" t="s">
        <v>3097</v>
      </c>
      <c r="H1949" s="38" t="s">
        <v>624</v>
      </c>
      <c r="I1949" s="239" t="str">
        <f>IF(ISBLANK(global!I462),"",global!I462)</f>
        <v/>
      </c>
      <c r="K1949" s="262" t="s">
        <v>4249</v>
      </c>
      <c r="N1949" s="262" t="s">
        <v>4249</v>
      </c>
    </row>
    <row r="1950" spans="1:14" ht="12.75" customHeight="1" x14ac:dyDescent="0.2">
      <c r="A1950" s="17"/>
      <c r="B1950" s="17"/>
      <c r="C1950" s="38" t="s">
        <v>2745</v>
      </c>
      <c r="D1950" s="17"/>
      <c r="E1950" s="17"/>
      <c r="F1950" s="17"/>
      <c r="G1950" s="146" t="s">
        <v>3098</v>
      </c>
      <c r="H1950" s="38" t="s">
        <v>296</v>
      </c>
      <c r="I1950" s="239" t="str">
        <f>IF(ISBLANK(global!I463),"",global!I463)</f>
        <v/>
      </c>
      <c r="K1950" s="262" t="s">
        <v>4249</v>
      </c>
      <c r="N1950" s="262" t="s">
        <v>4249</v>
      </c>
    </row>
    <row r="1951" spans="1:14" ht="12.75" customHeight="1" x14ac:dyDescent="0.2">
      <c r="A1951" s="38"/>
      <c r="B1951" s="38"/>
      <c r="C1951" s="17" t="s">
        <v>1236</v>
      </c>
      <c r="D1951" s="17"/>
      <c r="E1951" s="146"/>
      <c r="F1951" s="146"/>
      <c r="G1951" s="38" t="s">
        <v>3099</v>
      </c>
      <c r="H1951" s="17" t="s">
        <v>296</v>
      </c>
      <c r="I1951" s="239" t="str">
        <f>IF(ISBLANK(global!I464),"",global!I464)</f>
        <v/>
      </c>
      <c r="K1951" s="262" t="s">
        <v>4249</v>
      </c>
      <c r="N1951" s="262" t="s">
        <v>4249</v>
      </c>
    </row>
    <row r="1952" spans="1:14" ht="12.75" customHeight="1" x14ac:dyDescent="0.2">
      <c r="A1952" s="168"/>
      <c r="B1952" s="168"/>
      <c r="C1952" s="168"/>
      <c r="D1952" s="168"/>
      <c r="E1952" s="168"/>
      <c r="F1952" s="168"/>
      <c r="G1952" s="168"/>
      <c r="H1952" s="168"/>
      <c r="I1952" s="239" t="str">
        <f>IF(ISBLANK(global!I465),"",global!I465)</f>
        <v/>
      </c>
      <c r="K1952" s="262" t="s">
        <v>4249</v>
      </c>
      <c r="N1952" s="262" t="s">
        <v>4249</v>
      </c>
    </row>
    <row r="1953" spans="1:14" ht="12.75" customHeight="1" x14ac:dyDescent="0.2">
      <c r="A1953" s="631" t="s">
        <v>1389</v>
      </c>
      <c r="B1953" s="413"/>
      <c r="C1953" s="413"/>
      <c r="D1953" s="413"/>
      <c r="E1953" s="413"/>
      <c r="F1953" s="413"/>
      <c r="G1953" s="631" t="s">
        <v>263</v>
      </c>
      <c r="H1953" s="631" t="s">
        <v>279</v>
      </c>
      <c r="I1953" s="239" t="str">
        <f>IF(ISBLANK(global!I466),"",global!I466)</f>
        <v>User input</v>
      </c>
      <c r="K1953" s="262" t="s">
        <v>264</v>
      </c>
      <c r="N1953" s="262" t="s">
        <v>264</v>
      </c>
    </row>
    <row r="1954" spans="1:14" ht="12.75" customHeight="1" x14ac:dyDescent="0.2">
      <c r="A1954" s="410" t="s">
        <v>3100</v>
      </c>
      <c r="B1954" s="410"/>
      <c r="C1954" s="410"/>
      <c r="D1954" s="410"/>
      <c r="E1954" s="410"/>
      <c r="F1954" s="410"/>
      <c r="G1954" s="655"/>
      <c r="H1954" s="655"/>
      <c r="I1954" s="239" t="str">
        <f>IF(ISBLANK(global!I467),"",global!I467)</f>
        <v/>
      </c>
      <c r="K1954" s="262" t="s">
        <v>4249</v>
      </c>
      <c r="N1954" s="262" t="s">
        <v>4249</v>
      </c>
    </row>
    <row r="1955" spans="1:14" ht="12.75" customHeight="1" x14ac:dyDescent="0.2">
      <c r="A1955" s="567" t="s">
        <v>1393</v>
      </c>
      <c r="B1955" s="567"/>
      <c r="C1955" s="567"/>
      <c r="D1955" s="567"/>
      <c r="E1955" s="567"/>
      <c r="F1955" s="567"/>
      <c r="G1955" s="567" t="s">
        <v>3101</v>
      </c>
      <c r="H1955" s="568" t="s">
        <v>340</v>
      </c>
      <c r="I1955" s="239" t="str">
        <f>IF(ISBLANK(global!I468),"",global!I468)</f>
        <v/>
      </c>
      <c r="K1955" s="262" t="s">
        <v>4249</v>
      </c>
      <c r="N1955" s="262" t="s">
        <v>4249</v>
      </c>
    </row>
    <row r="1956" spans="1:14" ht="12.75" customHeight="1" x14ac:dyDescent="0.2">
      <c r="A1956" s="567"/>
      <c r="B1956" s="567" t="s">
        <v>1396</v>
      </c>
      <c r="C1956" s="567"/>
      <c r="D1956" s="567"/>
      <c r="E1956" s="567"/>
      <c r="F1956" s="567"/>
      <c r="G1956" s="567" t="s">
        <v>3102</v>
      </c>
      <c r="H1956" s="567" t="s">
        <v>340</v>
      </c>
      <c r="I1956" s="239" t="str">
        <f>IF(ISBLANK(global!I469),"",global!I469)</f>
        <v/>
      </c>
      <c r="K1956" s="262" t="s">
        <v>4249</v>
      </c>
      <c r="N1956" s="262" t="s">
        <v>4249</v>
      </c>
    </row>
    <row r="1957" spans="1:14" ht="12.75" customHeight="1" x14ac:dyDescent="0.2">
      <c r="A1957" s="567"/>
      <c r="B1957" s="567"/>
      <c r="C1957" s="567" t="s">
        <v>713</v>
      </c>
      <c r="D1957" s="567"/>
      <c r="E1957" s="567"/>
      <c r="F1957" s="567"/>
      <c r="G1957" s="567" t="s">
        <v>3103</v>
      </c>
      <c r="H1957" s="568" t="s">
        <v>715</v>
      </c>
      <c r="I1957" s="239" t="str">
        <f>IF(ISBLANK(global!I470),"",global!I470)</f>
        <v/>
      </c>
      <c r="K1957" s="262" t="s">
        <v>4249</v>
      </c>
      <c r="N1957" s="262" t="s">
        <v>4249</v>
      </c>
    </row>
    <row r="1958" spans="1:14" ht="12.75" customHeight="1" x14ac:dyDescent="0.2">
      <c r="A1958" s="567"/>
      <c r="B1958" s="567"/>
      <c r="C1958" s="567" t="s">
        <v>1403</v>
      </c>
      <c r="D1958" s="567"/>
      <c r="E1958" s="567"/>
      <c r="F1958" s="567"/>
      <c r="G1958" s="568" t="s">
        <v>3104</v>
      </c>
      <c r="H1958" s="568" t="s">
        <v>873</v>
      </c>
      <c r="I1958" s="239" t="str">
        <f>IF(ISBLANK(global!I471),"",global!I471)</f>
        <v/>
      </c>
      <c r="K1958" s="262" t="s">
        <v>4249</v>
      </c>
      <c r="N1958" s="262" t="s">
        <v>4249</v>
      </c>
    </row>
    <row r="1959" spans="1:14" ht="12.75" customHeight="1" x14ac:dyDescent="0.2">
      <c r="A1959" s="567"/>
      <c r="B1959" s="567"/>
      <c r="C1959" s="567" t="s">
        <v>1401</v>
      </c>
      <c r="D1959" s="567"/>
      <c r="E1959" s="567"/>
      <c r="F1959" s="567"/>
      <c r="G1959" s="567" t="s">
        <v>3105</v>
      </c>
      <c r="H1959" s="567" t="s">
        <v>907</v>
      </c>
      <c r="I1959" s="239" t="str">
        <f>IF(ISBLANK(global!I472),"",global!I472)</f>
        <v/>
      </c>
      <c r="K1959" s="262" t="s">
        <v>4249</v>
      </c>
      <c r="N1959" s="262" t="s">
        <v>4249</v>
      </c>
    </row>
    <row r="1960" spans="1:14" ht="12.75" customHeight="1" x14ac:dyDescent="0.2">
      <c r="A1960" s="567"/>
      <c r="B1960" s="567"/>
      <c r="C1960" s="567" t="s">
        <v>1398</v>
      </c>
      <c r="D1960" s="567"/>
      <c r="E1960" s="567"/>
      <c r="F1960" s="567"/>
      <c r="G1960" s="568" t="s">
        <v>3106</v>
      </c>
      <c r="H1960" s="568" t="s">
        <v>296</v>
      </c>
      <c r="I1960" s="239" t="str">
        <f>IF(ISBLANK(global!I473),"",global!I473)</f>
        <v/>
      </c>
      <c r="K1960" s="262" t="s">
        <v>4249</v>
      </c>
      <c r="N1960" s="262" t="s">
        <v>4249</v>
      </c>
    </row>
    <row r="1961" spans="1:14" ht="12.75" customHeight="1" x14ac:dyDescent="0.2">
      <c r="A1961" s="567" t="s">
        <v>1405</v>
      </c>
      <c r="B1961" s="567"/>
      <c r="C1961" s="567"/>
      <c r="D1961" s="567"/>
      <c r="E1961" s="567"/>
      <c r="F1961" s="567"/>
      <c r="G1961" s="567" t="s">
        <v>3107</v>
      </c>
      <c r="H1961" s="567" t="s">
        <v>340</v>
      </c>
      <c r="I1961" s="239" t="str">
        <f>IF(ISBLANK(global!I474),"",global!I474)</f>
        <v/>
      </c>
      <c r="K1961" s="262" t="s">
        <v>4249</v>
      </c>
      <c r="N1961" s="262" t="s">
        <v>4249</v>
      </c>
    </row>
    <row r="1962" spans="1:14" ht="12.75" customHeight="1" x14ac:dyDescent="0.2">
      <c r="A1962" s="567"/>
      <c r="B1962" s="567"/>
      <c r="C1962" s="567" t="s">
        <v>717</v>
      </c>
      <c r="D1962" s="567"/>
      <c r="E1962" s="567"/>
      <c r="F1962" s="567"/>
      <c r="G1962" s="567" t="s">
        <v>3108</v>
      </c>
      <c r="H1962" s="568" t="s">
        <v>715</v>
      </c>
      <c r="I1962" s="239" t="str">
        <f>IF(ISBLANK(global!I475),"",global!I475)</f>
        <v/>
      </c>
      <c r="K1962" s="262" t="s">
        <v>4249</v>
      </c>
      <c r="N1962" s="262" t="s">
        <v>4249</v>
      </c>
    </row>
    <row r="1963" spans="1:14" ht="12.75" customHeight="1" x14ac:dyDescent="0.2">
      <c r="A1963" s="567"/>
      <c r="B1963" s="567"/>
      <c r="C1963" s="567" t="s">
        <v>1407</v>
      </c>
      <c r="D1963" s="567"/>
      <c r="E1963" s="567"/>
      <c r="F1963" s="567"/>
      <c r="G1963" s="568" t="s">
        <v>3109</v>
      </c>
      <c r="H1963" s="568" t="s">
        <v>873</v>
      </c>
      <c r="I1963" s="239" t="str">
        <f>IF(ISBLANK(global!I476),"",global!I476)</f>
        <v/>
      </c>
      <c r="K1963" s="262" t="s">
        <v>4249</v>
      </c>
      <c r="N1963" s="262" t="s">
        <v>4249</v>
      </c>
    </row>
    <row r="1964" spans="1:14" ht="12.75" customHeight="1" x14ac:dyDescent="0.2">
      <c r="A1964" s="567"/>
      <c r="B1964" s="567"/>
      <c r="C1964" s="567" t="s">
        <v>1409</v>
      </c>
      <c r="D1964" s="567"/>
      <c r="E1964" s="567"/>
      <c r="F1964" s="567"/>
      <c r="G1964" s="567" t="s">
        <v>3110</v>
      </c>
      <c r="H1964" s="567" t="s">
        <v>907</v>
      </c>
      <c r="I1964" s="239" t="str">
        <f>IF(ISBLANK(global!I477),"",global!I477)</f>
        <v/>
      </c>
      <c r="K1964" s="262" t="s">
        <v>4249</v>
      </c>
      <c r="N1964" s="262" t="s">
        <v>4249</v>
      </c>
    </row>
    <row r="1965" spans="1:14" ht="12.75" customHeight="1" x14ac:dyDescent="0.2">
      <c r="A1965" s="567"/>
      <c r="B1965" s="567"/>
      <c r="C1965" s="567" t="s">
        <v>1411</v>
      </c>
      <c r="D1965" s="567"/>
      <c r="E1965" s="567"/>
      <c r="F1965" s="567"/>
      <c r="G1965" s="568" t="s">
        <v>3111</v>
      </c>
      <c r="H1965" s="568" t="s">
        <v>296</v>
      </c>
      <c r="I1965" s="239" t="str">
        <f>IF(ISBLANK(global!I478),"",global!I478)</f>
        <v/>
      </c>
      <c r="K1965" s="262" t="s">
        <v>4249</v>
      </c>
      <c r="N1965" s="262" t="s">
        <v>4249</v>
      </c>
    </row>
    <row r="1966" spans="1:14" ht="12.75" customHeight="1" x14ac:dyDescent="0.2">
      <c r="A1966" s="567" t="s">
        <v>1413</v>
      </c>
      <c r="B1966" s="567"/>
      <c r="C1966" s="567"/>
      <c r="D1966" s="567"/>
      <c r="E1966" s="567"/>
      <c r="F1966" s="567"/>
      <c r="G1966" s="568" t="s">
        <v>3112</v>
      </c>
      <c r="H1966" s="568" t="s">
        <v>340</v>
      </c>
      <c r="I1966" s="239" t="str">
        <f>IF(ISBLANK(global!I479),"",global!I479)</f>
        <v/>
      </c>
      <c r="K1966" s="262" t="s">
        <v>4249</v>
      </c>
      <c r="N1966" s="262" t="s">
        <v>4249</v>
      </c>
    </row>
    <row r="1967" spans="1:14" ht="12.75" customHeight="1" x14ac:dyDescent="0.2">
      <c r="A1967" s="567"/>
      <c r="B1967" s="567" t="s">
        <v>719</v>
      </c>
      <c r="C1967" s="567"/>
      <c r="D1967" s="567"/>
      <c r="E1967" s="567"/>
      <c r="F1967" s="567"/>
      <c r="G1967" s="567" t="s">
        <v>3113</v>
      </c>
      <c r="H1967" s="568" t="s">
        <v>715</v>
      </c>
      <c r="I1967" s="239" t="str">
        <f>IF(ISBLANK(global!I480),"",global!I480)</f>
        <v/>
      </c>
      <c r="K1967" s="262" t="s">
        <v>4249</v>
      </c>
      <c r="N1967" s="262" t="s">
        <v>4249</v>
      </c>
    </row>
    <row r="1968" spans="1:14" ht="12.75" customHeight="1" x14ac:dyDescent="0.2">
      <c r="A1968" s="567"/>
      <c r="B1968" s="567" t="s">
        <v>1415</v>
      </c>
      <c r="C1968" s="567"/>
      <c r="D1968" s="567"/>
      <c r="E1968" s="567"/>
      <c r="F1968" s="567"/>
      <c r="G1968" s="568" t="s">
        <v>3114</v>
      </c>
      <c r="H1968" s="568" t="s">
        <v>873</v>
      </c>
      <c r="I1968" s="239" t="str">
        <f>IF(ISBLANK(global!I481),"",global!I481)</f>
        <v/>
      </c>
      <c r="K1968" s="262" t="s">
        <v>4249</v>
      </c>
      <c r="N1968" s="262" t="s">
        <v>4249</v>
      </c>
    </row>
    <row r="1969" spans="1:14" ht="12.75" customHeight="1" x14ac:dyDescent="0.2">
      <c r="A1969" s="567"/>
      <c r="B1969" s="567" t="s">
        <v>1417</v>
      </c>
      <c r="C1969" s="567"/>
      <c r="D1969" s="567"/>
      <c r="E1969" s="567"/>
      <c r="F1969" s="567"/>
      <c r="G1969" s="567" t="s">
        <v>3115</v>
      </c>
      <c r="H1969" s="567" t="s">
        <v>907</v>
      </c>
      <c r="I1969" s="239" t="str">
        <f>IF(ISBLANK(global!I482),"",global!I482)</f>
        <v/>
      </c>
      <c r="K1969" s="262" t="s">
        <v>4249</v>
      </c>
      <c r="N1969" s="262" t="s">
        <v>4249</v>
      </c>
    </row>
    <row r="1970" spans="1:14" ht="12.75" customHeight="1" x14ac:dyDescent="0.2">
      <c r="A1970" s="567"/>
      <c r="B1970" s="567" t="s">
        <v>1419</v>
      </c>
      <c r="C1970" s="567"/>
      <c r="D1970" s="567"/>
      <c r="E1970" s="567"/>
      <c r="F1970" s="567"/>
      <c r="G1970" s="568" t="s">
        <v>3116</v>
      </c>
      <c r="H1970" s="568" t="s">
        <v>296</v>
      </c>
      <c r="I1970" s="239" t="str">
        <f>IF(ISBLANK(global!I483),"",global!I483)</f>
        <v/>
      </c>
      <c r="K1970" s="262" t="s">
        <v>4249</v>
      </c>
      <c r="N1970" s="262" t="s">
        <v>4249</v>
      </c>
    </row>
    <row r="1971" spans="1:14" ht="12.75" customHeight="1" x14ac:dyDescent="0.2">
      <c r="A1971" s="410" t="s">
        <v>3117</v>
      </c>
      <c r="B1971" s="410"/>
      <c r="C1971" s="410"/>
      <c r="D1971" s="410"/>
      <c r="E1971" s="410"/>
      <c r="F1971" s="410"/>
      <c r="G1971" s="655"/>
      <c r="H1971" s="655"/>
      <c r="I1971" s="239" t="str">
        <f>IF(ISBLANK(global!I484),"",global!I484)</f>
        <v/>
      </c>
      <c r="K1971" s="262" t="s">
        <v>4249</v>
      </c>
      <c r="N1971" s="262" t="s">
        <v>4249</v>
      </c>
    </row>
    <row r="1972" spans="1:14" ht="12.75" customHeight="1" x14ac:dyDescent="0.2">
      <c r="A1972" s="567" t="s">
        <v>1444</v>
      </c>
      <c r="B1972" s="567"/>
      <c r="C1972" s="567"/>
      <c r="D1972" s="567"/>
      <c r="E1972" s="567"/>
      <c r="F1972" s="567"/>
      <c r="G1972" s="568" t="s">
        <v>3118</v>
      </c>
      <c r="H1972" s="568" t="s">
        <v>340</v>
      </c>
      <c r="I1972" s="239" t="str">
        <f>IF(ISBLANK(global!I485),"",global!I485)</f>
        <v/>
      </c>
      <c r="K1972" s="262" t="s">
        <v>4249</v>
      </c>
      <c r="N1972" s="262" t="s">
        <v>4249</v>
      </c>
    </row>
    <row r="1973" spans="1:14" ht="12.75" customHeight="1" x14ac:dyDescent="0.2">
      <c r="A1973" s="567"/>
      <c r="B1973" s="567" t="s">
        <v>1446</v>
      </c>
      <c r="C1973" s="567"/>
      <c r="D1973" s="567"/>
      <c r="E1973" s="567"/>
      <c r="F1973" s="567"/>
      <c r="G1973" s="568" t="s">
        <v>3119</v>
      </c>
      <c r="H1973" s="568" t="s">
        <v>715</v>
      </c>
      <c r="I1973" s="239" t="str">
        <f>IF(ISBLANK(global!I486),"",global!I486)</f>
        <v/>
      </c>
      <c r="K1973" s="262" t="s">
        <v>4249</v>
      </c>
      <c r="N1973" s="262" t="s">
        <v>4249</v>
      </c>
    </row>
    <row r="1974" spans="1:14" ht="12.75" customHeight="1" x14ac:dyDescent="0.2">
      <c r="A1974" s="567"/>
      <c r="B1974" s="567" t="s">
        <v>1449</v>
      </c>
      <c r="C1974" s="567"/>
      <c r="D1974" s="567"/>
      <c r="E1974" s="567"/>
      <c r="F1974" s="567"/>
      <c r="G1974" s="568" t="s">
        <v>3120</v>
      </c>
      <c r="H1974" s="568" t="s">
        <v>340</v>
      </c>
      <c r="I1974" s="239" t="str">
        <f>IF(ISBLANK(global!I487),"",global!I487)</f>
        <v/>
      </c>
      <c r="K1974" s="262" t="s">
        <v>4249</v>
      </c>
      <c r="N1974" s="262" t="s">
        <v>4249</v>
      </c>
    </row>
    <row r="1975" spans="1:14" ht="12.75" customHeight="1" x14ac:dyDescent="0.2">
      <c r="A1975" s="567"/>
      <c r="B1975" s="567"/>
      <c r="C1975" s="567" t="s">
        <v>1428</v>
      </c>
      <c r="D1975" s="567"/>
      <c r="E1975" s="567"/>
      <c r="F1975" s="567"/>
      <c r="G1975" s="568" t="s">
        <v>3121</v>
      </c>
      <c r="H1975" s="568" t="s">
        <v>340</v>
      </c>
      <c r="I1975" s="239" t="str">
        <f>IF(ISBLANK(global!I488),"",global!I488)</f>
        <v/>
      </c>
      <c r="K1975" s="262" t="s">
        <v>4249</v>
      </c>
      <c r="N1975" s="262" t="s">
        <v>4249</v>
      </c>
    </row>
    <row r="1976" spans="1:14" ht="12.75" customHeight="1" x14ac:dyDescent="0.2">
      <c r="A1976" s="567"/>
      <c r="B1976" s="567"/>
      <c r="C1976" s="567"/>
      <c r="D1976" s="567" t="s">
        <v>1452</v>
      </c>
      <c r="E1976" s="567"/>
      <c r="F1976" s="567"/>
      <c r="G1976" s="568" t="s">
        <v>3122</v>
      </c>
      <c r="H1976" s="568" t="s">
        <v>340</v>
      </c>
      <c r="I1976" s="239" t="str">
        <f>IF(ISBLANK(global!I489),"",global!I489)</f>
        <v/>
      </c>
      <c r="K1976" s="262" t="s">
        <v>4249</v>
      </c>
      <c r="N1976" s="262" t="s">
        <v>4249</v>
      </c>
    </row>
    <row r="1977" spans="1:14" ht="12.75" customHeight="1" x14ac:dyDescent="0.2">
      <c r="A1977" s="567" t="s">
        <v>1444</v>
      </c>
      <c r="B1977" s="567"/>
      <c r="C1977" s="567"/>
      <c r="D1977" s="567"/>
      <c r="E1977" s="567"/>
      <c r="F1977" s="567"/>
      <c r="G1977" s="568" t="s">
        <v>3123</v>
      </c>
      <c r="H1977" s="568" t="s">
        <v>340</v>
      </c>
      <c r="I1977" s="239" t="str">
        <f>IF(ISBLANK(global!I490),"",global!I490)</f>
        <v/>
      </c>
      <c r="K1977" s="262" t="s">
        <v>4249</v>
      </c>
      <c r="N1977" s="262" t="s">
        <v>4249</v>
      </c>
    </row>
    <row r="1978" spans="1:14" ht="12.75" customHeight="1" x14ac:dyDescent="0.2">
      <c r="A1978" s="567"/>
      <c r="B1978" s="567" t="s">
        <v>1446</v>
      </c>
      <c r="C1978" s="567"/>
      <c r="D1978" s="567"/>
      <c r="E1978" s="567"/>
      <c r="F1978" s="567"/>
      <c r="G1978" s="568" t="s">
        <v>3124</v>
      </c>
      <c r="H1978" s="568" t="s">
        <v>715</v>
      </c>
      <c r="I1978" s="239" t="str">
        <f>IF(ISBLANK(global!I491),"",global!I491)</f>
        <v/>
      </c>
      <c r="K1978" s="262" t="s">
        <v>4249</v>
      </c>
      <c r="N1978" s="262" t="s">
        <v>4249</v>
      </c>
    </row>
    <row r="1979" spans="1:14" ht="12.75" customHeight="1" x14ac:dyDescent="0.2">
      <c r="A1979" s="567"/>
      <c r="B1979" s="567" t="s">
        <v>1449</v>
      </c>
      <c r="C1979" s="567"/>
      <c r="D1979" s="567"/>
      <c r="E1979" s="567"/>
      <c r="F1979" s="567"/>
      <c r="G1979" s="568" t="s">
        <v>3125</v>
      </c>
      <c r="H1979" s="568" t="s">
        <v>340</v>
      </c>
      <c r="I1979" s="239" t="str">
        <f>IF(ISBLANK(global!I492),"",global!I492)</f>
        <v/>
      </c>
      <c r="K1979" s="262" t="s">
        <v>4249</v>
      </c>
      <c r="N1979" s="262" t="s">
        <v>4249</v>
      </c>
    </row>
    <row r="1980" spans="1:14" ht="12.75" customHeight="1" x14ac:dyDescent="0.2">
      <c r="A1980" s="567"/>
      <c r="B1980" s="567"/>
      <c r="C1980" s="567" t="s">
        <v>1428</v>
      </c>
      <c r="D1980" s="567"/>
      <c r="E1980" s="567"/>
      <c r="F1980" s="567"/>
      <c r="G1980" s="568" t="s">
        <v>3126</v>
      </c>
      <c r="H1980" s="568" t="s">
        <v>340</v>
      </c>
      <c r="I1980" s="239" t="str">
        <f>IF(ISBLANK(global!I493),"",global!I493)</f>
        <v/>
      </c>
      <c r="K1980" s="262" t="s">
        <v>4249</v>
      </c>
      <c r="N1980" s="262" t="s">
        <v>4249</v>
      </c>
    </row>
    <row r="1981" spans="1:14" ht="12.75" customHeight="1" x14ac:dyDescent="0.2">
      <c r="A1981" s="567"/>
      <c r="B1981" s="567"/>
      <c r="C1981" s="567"/>
      <c r="D1981" s="567" t="s">
        <v>1452</v>
      </c>
      <c r="E1981" s="567"/>
      <c r="F1981" s="567"/>
      <c r="G1981" s="568" t="s">
        <v>3127</v>
      </c>
      <c r="H1981" s="568" t="s">
        <v>340</v>
      </c>
      <c r="I1981" s="239" t="str">
        <f>IF(ISBLANK(global!I494),"",global!I494)</f>
        <v/>
      </c>
      <c r="K1981" s="262" t="s">
        <v>4249</v>
      </c>
      <c r="N1981" s="262" t="s">
        <v>4249</v>
      </c>
    </row>
    <row r="1982" spans="1:14" ht="12.75" customHeight="1" x14ac:dyDescent="0.2">
      <c r="A1982" s="567"/>
      <c r="B1982" s="567"/>
      <c r="C1982" s="567" t="s">
        <v>1454</v>
      </c>
      <c r="D1982" s="567"/>
      <c r="E1982" s="567"/>
      <c r="F1982" s="567"/>
      <c r="G1982" s="567" t="s">
        <v>3128</v>
      </c>
      <c r="H1982" s="567" t="s">
        <v>340</v>
      </c>
      <c r="I1982" s="239" t="str">
        <f>IF(ISBLANK(global!I495),"",global!I495)</f>
        <v/>
      </c>
      <c r="K1982" s="262" t="s">
        <v>4249</v>
      </c>
      <c r="N1982" s="262" t="s">
        <v>4249</v>
      </c>
    </row>
    <row r="1983" spans="1:14" ht="12.75" customHeight="1" x14ac:dyDescent="0.2">
      <c r="A1983" s="567"/>
      <c r="B1983" s="567"/>
      <c r="C1983" s="567" t="s">
        <v>1456</v>
      </c>
      <c r="D1983" s="567"/>
      <c r="E1983" s="567"/>
      <c r="F1983" s="567"/>
      <c r="G1983" s="568" t="s">
        <v>3129</v>
      </c>
      <c r="H1983" s="568" t="s">
        <v>340</v>
      </c>
      <c r="I1983" s="239" t="str">
        <f>IF(ISBLANK(global!I496),"",global!I496)</f>
        <v/>
      </c>
      <c r="K1983" s="262" t="s">
        <v>4249</v>
      </c>
      <c r="N1983" s="262" t="s">
        <v>4249</v>
      </c>
    </row>
    <row r="1984" spans="1:14" ht="12.75" customHeight="1" x14ac:dyDescent="0.2">
      <c r="A1984" s="567" t="s">
        <v>1476</v>
      </c>
      <c r="B1984" s="567"/>
      <c r="C1984" s="567"/>
      <c r="D1984" s="567"/>
      <c r="E1984" s="567"/>
      <c r="F1984" s="567"/>
      <c r="G1984" s="568" t="s">
        <v>3130</v>
      </c>
      <c r="H1984" s="568" t="s">
        <v>340</v>
      </c>
      <c r="I1984" s="239" t="str">
        <f>IF(ISBLANK(global!I497),"",global!I497)</f>
        <v/>
      </c>
      <c r="K1984" s="262" t="s">
        <v>4249</v>
      </c>
      <c r="N1984" s="262" t="s">
        <v>4249</v>
      </c>
    </row>
    <row r="1985" spans="1:14" ht="12.75" customHeight="1" x14ac:dyDescent="0.2">
      <c r="A1985" s="567"/>
      <c r="B1985" s="567" t="s">
        <v>1470</v>
      </c>
      <c r="C1985" s="567"/>
      <c r="D1985" s="567"/>
      <c r="E1985" s="567"/>
      <c r="F1985" s="567"/>
      <c r="G1985" s="568" t="s">
        <v>3131</v>
      </c>
      <c r="H1985" s="568" t="s">
        <v>715</v>
      </c>
      <c r="I1985" s="239" t="str">
        <f>IF(ISBLANK(global!I498),"",global!I498)</f>
        <v/>
      </c>
      <c r="K1985" s="262" t="s">
        <v>4249</v>
      </c>
      <c r="N1985" s="262" t="s">
        <v>4249</v>
      </c>
    </row>
    <row r="1986" spans="1:14" ht="12.75" customHeight="1" x14ac:dyDescent="0.2">
      <c r="A1986" s="567"/>
      <c r="B1986" s="567" t="s">
        <v>1481</v>
      </c>
      <c r="C1986" s="567"/>
      <c r="D1986" s="567"/>
      <c r="E1986" s="567"/>
      <c r="F1986" s="567"/>
      <c r="G1986" s="568" t="s">
        <v>3132</v>
      </c>
      <c r="H1986" s="567" t="s">
        <v>340</v>
      </c>
      <c r="I1986" s="239" t="str">
        <f>IF(ISBLANK(global!I499),"",global!I499)</f>
        <v/>
      </c>
      <c r="K1986" s="262" t="s">
        <v>4249</v>
      </c>
      <c r="N1986" s="262" t="s">
        <v>4249</v>
      </c>
    </row>
    <row r="1987" spans="1:14" ht="12.75" customHeight="1" x14ac:dyDescent="0.2">
      <c r="A1987" s="567"/>
      <c r="B1987" s="567"/>
      <c r="C1987" s="567" t="s">
        <v>1466</v>
      </c>
      <c r="D1987" s="567"/>
      <c r="E1987" s="567"/>
      <c r="F1987" s="567"/>
      <c r="G1987" s="568" t="s">
        <v>3133</v>
      </c>
      <c r="H1987" s="568" t="s">
        <v>340</v>
      </c>
      <c r="I1987" s="239" t="str">
        <f>IF(ISBLANK(global!I500),"",global!I500)</f>
        <v/>
      </c>
      <c r="K1987" s="262" t="s">
        <v>4249</v>
      </c>
      <c r="N1987" s="262" t="s">
        <v>4249</v>
      </c>
    </row>
    <row r="1988" spans="1:14" ht="12.75" customHeight="1" x14ac:dyDescent="0.2">
      <c r="A1988" s="567" t="s">
        <v>1476</v>
      </c>
      <c r="B1988" s="567"/>
      <c r="C1988" s="567"/>
      <c r="D1988" s="567"/>
      <c r="E1988" s="567"/>
      <c r="F1988" s="567"/>
      <c r="G1988" s="568" t="s">
        <v>3134</v>
      </c>
      <c r="H1988" s="568" t="s">
        <v>340</v>
      </c>
      <c r="I1988" s="239" t="str">
        <f>IF(ISBLANK(global!I501),"",global!I501)</f>
        <v/>
      </c>
      <c r="K1988" s="262" t="s">
        <v>4249</v>
      </c>
      <c r="N1988" s="262" t="s">
        <v>4249</v>
      </c>
    </row>
    <row r="1989" spans="1:14" ht="12.75" customHeight="1" x14ac:dyDescent="0.2">
      <c r="A1989" s="567"/>
      <c r="B1989" s="567" t="s">
        <v>1470</v>
      </c>
      <c r="C1989" s="567"/>
      <c r="D1989" s="567"/>
      <c r="E1989" s="567"/>
      <c r="F1989" s="567"/>
      <c r="G1989" s="568" t="s">
        <v>3135</v>
      </c>
      <c r="H1989" s="568" t="s">
        <v>715</v>
      </c>
      <c r="I1989" s="239" t="str">
        <f>IF(ISBLANK(global!I502),"",global!I502)</f>
        <v/>
      </c>
      <c r="K1989" s="262" t="s">
        <v>4249</v>
      </c>
      <c r="N1989" s="262" t="s">
        <v>4249</v>
      </c>
    </row>
    <row r="1990" spans="1:14" ht="12.75" customHeight="1" x14ac:dyDescent="0.2">
      <c r="A1990" s="567"/>
      <c r="B1990" s="567" t="s">
        <v>1481</v>
      </c>
      <c r="C1990" s="567"/>
      <c r="D1990" s="567"/>
      <c r="E1990" s="567"/>
      <c r="F1990" s="567"/>
      <c r="G1990" s="568" t="s">
        <v>3136</v>
      </c>
      <c r="H1990" s="567" t="s">
        <v>340</v>
      </c>
      <c r="I1990" s="239" t="str">
        <f>IF(ISBLANK(global!I503),"",global!I503)</f>
        <v/>
      </c>
      <c r="K1990" s="262" t="s">
        <v>4249</v>
      </c>
      <c r="N1990" s="262" t="s">
        <v>4249</v>
      </c>
    </row>
    <row r="1991" spans="1:14" ht="12.75" customHeight="1" x14ac:dyDescent="0.2">
      <c r="A1991" s="567"/>
      <c r="B1991" s="567"/>
      <c r="C1991" s="567" t="s">
        <v>1466</v>
      </c>
      <c r="D1991" s="567"/>
      <c r="E1991" s="567"/>
      <c r="F1991" s="567"/>
      <c r="G1991" s="568" t="s">
        <v>3137</v>
      </c>
      <c r="H1991" s="568" t="s">
        <v>340</v>
      </c>
      <c r="I1991" s="239" t="str">
        <f>IF(ISBLANK(global!I504),"",global!I504)</f>
        <v/>
      </c>
      <c r="K1991" s="262" t="s">
        <v>4249</v>
      </c>
      <c r="N1991" s="262" t="s">
        <v>4249</v>
      </c>
    </row>
    <row r="1992" spans="1:14" ht="12.75" customHeight="1" x14ac:dyDescent="0.2">
      <c r="A1992" s="567"/>
      <c r="B1992" s="567"/>
      <c r="C1992" s="567" t="s">
        <v>1484</v>
      </c>
      <c r="D1992" s="567"/>
      <c r="E1992" s="567"/>
      <c r="F1992" s="567"/>
      <c r="G1992" s="568" t="s">
        <v>3138</v>
      </c>
      <c r="H1992" s="568" t="s">
        <v>340</v>
      </c>
      <c r="I1992" s="239" t="str">
        <f>IF(ISBLANK(global!I505),"",global!I505)</f>
        <v/>
      </c>
      <c r="K1992" s="262" t="s">
        <v>4249</v>
      </c>
      <c r="N1992" s="262" t="s">
        <v>4249</v>
      </c>
    </row>
    <row r="1993" spans="1:14" ht="12.75" customHeight="1" x14ac:dyDescent="0.2">
      <c r="A1993" s="567"/>
      <c r="B1993" s="567"/>
      <c r="C1993" s="567" t="s">
        <v>2255</v>
      </c>
      <c r="D1993" s="567"/>
      <c r="E1993" s="567"/>
      <c r="F1993" s="567"/>
      <c r="G1993" s="568" t="s">
        <v>3139</v>
      </c>
      <c r="H1993" s="568" t="s">
        <v>340</v>
      </c>
      <c r="I1993" s="239" t="str">
        <f>IF(ISBLANK(global!I506),"",global!I506)</f>
        <v/>
      </c>
      <c r="K1993" s="262" t="s">
        <v>4249</v>
      </c>
      <c r="N1993" s="262" t="s">
        <v>4249</v>
      </c>
    </row>
    <row r="1994" spans="1:14" ht="12.75" customHeight="1" x14ac:dyDescent="0.2">
      <c r="A1994" s="410" t="s">
        <v>3140</v>
      </c>
      <c r="I1994" s="239" t="str">
        <f>IF(ISBLANK(global!I507),"",global!I507)</f>
        <v/>
      </c>
      <c r="K1994" s="262" t="s">
        <v>4249</v>
      </c>
      <c r="N1994" s="262" t="s">
        <v>4249</v>
      </c>
    </row>
    <row r="1995" spans="1:14" ht="12.75" customHeight="1" x14ac:dyDescent="0.2">
      <c r="A1995" s="567" t="s">
        <v>2789</v>
      </c>
      <c r="B1995" s="567"/>
      <c r="C1995" s="567"/>
      <c r="D1995" s="567"/>
      <c r="E1995" s="567"/>
      <c r="F1995" s="567"/>
      <c r="G1995" s="568" t="s">
        <v>3141</v>
      </c>
      <c r="H1995" s="568" t="s">
        <v>340</v>
      </c>
      <c r="I1995" s="239" t="str">
        <f>IF(ISBLANK(global!I508),"",global!I508)</f>
        <v/>
      </c>
      <c r="K1995" s="262" t="s">
        <v>4249</v>
      </c>
      <c r="N1995" s="262" t="s">
        <v>4249</v>
      </c>
    </row>
    <row r="1996" spans="1:14" ht="12.75" customHeight="1" x14ac:dyDescent="0.2">
      <c r="A1996" s="567"/>
      <c r="B1996" s="567" t="s">
        <v>1500</v>
      </c>
      <c r="C1996" s="567"/>
      <c r="D1996" s="567"/>
      <c r="E1996" s="567"/>
      <c r="F1996" s="567"/>
      <c r="G1996" s="568" t="s">
        <v>3142</v>
      </c>
      <c r="H1996" s="568" t="s">
        <v>715</v>
      </c>
      <c r="I1996" s="239" t="str">
        <f>IF(ISBLANK(global!I509),"",global!I509)</f>
        <v/>
      </c>
      <c r="K1996" s="262" t="s">
        <v>4249</v>
      </c>
      <c r="N1996" s="262" t="s">
        <v>4249</v>
      </c>
    </row>
    <row r="1997" spans="1:14" ht="12.75" customHeight="1" x14ac:dyDescent="0.2">
      <c r="A1997" s="567"/>
      <c r="B1997" s="567"/>
      <c r="C1997" s="567" t="s">
        <v>1454</v>
      </c>
      <c r="D1997" s="567"/>
      <c r="E1997" s="567"/>
      <c r="F1997" s="567"/>
      <c r="G1997" s="567" t="s">
        <v>3144</v>
      </c>
      <c r="H1997" s="567" t="s">
        <v>340</v>
      </c>
      <c r="I1997" s="239" t="str">
        <f>IF(ISBLANK(global!I510),"",global!I510)</f>
        <v/>
      </c>
      <c r="K1997" s="262" t="s">
        <v>4249</v>
      </c>
      <c r="N1997" s="262" t="s">
        <v>4249</v>
      </c>
    </row>
    <row r="1998" spans="1:14" ht="12.75" customHeight="1" x14ac:dyDescent="0.2">
      <c r="A1998" s="567"/>
      <c r="B1998" s="567"/>
      <c r="C1998" s="567" t="s">
        <v>1456</v>
      </c>
      <c r="D1998" s="567"/>
      <c r="E1998" s="567"/>
      <c r="F1998" s="567"/>
      <c r="G1998" s="568" t="s">
        <v>3145</v>
      </c>
      <c r="H1998" s="568" t="s">
        <v>340</v>
      </c>
      <c r="I1998" s="239" t="str">
        <f>IF(ISBLANK(global!I511),"",global!I511)</f>
        <v/>
      </c>
      <c r="K1998" s="262" t="s">
        <v>4249</v>
      </c>
      <c r="N1998" s="262" t="s">
        <v>4249</v>
      </c>
    </row>
    <row r="1999" spans="1:14" ht="12.75" customHeight="1" x14ac:dyDescent="0.2">
      <c r="A1999" s="567" t="s">
        <v>2795</v>
      </c>
      <c r="B1999" s="567"/>
      <c r="C1999" s="567"/>
      <c r="D1999" s="567"/>
      <c r="E1999" s="567"/>
      <c r="F1999" s="567"/>
      <c r="G1999" s="568" t="s">
        <v>3146</v>
      </c>
      <c r="H1999" s="568" t="s">
        <v>340</v>
      </c>
      <c r="I1999" s="239" t="str">
        <f>IF(ISBLANK(global!I512),"",global!I512)</f>
        <v/>
      </c>
      <c r="K1999" s="262" t="s">
        <v>4249</v>
      </c>
      <c r="N1999" s="262" t="s">
        <v>4249</v>
      </c>
    </row>
    <row r="2000" spans="1:14" ht="12.75" customHeight="1" x14ac:dyDescent="0.2">
      <c r="A2000" s="567"/>
      <c r="B2000" s="567" t="s">
        <v>1511</v>
      </c>
      <c r="C2000" s="567"/>
      <c r="D2000" s="567"/>
      <c r="E2000" s="567"/>
      <c r="F2000" s="567"/>
      <c r="G2000" s="568" t="s">
        <v>3147</v>
      </c>
      <c r="H2000" s="568" t="s">
        <v>1513</v>
      </c>
      <c r="I2000" s="239" t="str">
        <f>IF(ISBLANK(global!I513),"",global!I513)</f>
        <v/>
      </c>
      <c r="K2000" s="262" t="s">
        <v>4249</v>
      </c>
      <c r="N2000" s="262" t="s">
        <v>4249</v>
      </c>
    </row>
    <row r="2001" spans="1:14" ht="12.75" customHeight="1" x14ac:dyDescent="0.2">
      <c r="A2001" s="567"/>
      <c r="B2001" s="567" t="s">
        <v>1514</v>
      </c>
      <c r="C2001" s="567"/>
      <c r="D2001" s="567"/>
      <c r="E2001" s="567"/>
      <c r="F2001" s="567"/>
      <c r="G2001" s="567" t="s">
        <v>3148</v>
      </c>
      <c r="H2001" s="568" t="s">
        <v>873</v>
      </c>
      <c r="I2001" s="239" t="str">
        <f>IF(ISBLANK(global!I514),"",global!I514)</f>
        <v/>
      </c>
      <c r="K2001" s="262" t="s">
        <v>4249</v>
      </c>
      <c r="N2001" s="262" t="s">
        <v>4249</v>
      </c>
    </row>
    <row r="2002" spans="1:14" ht="12.75" customHeight="1" x14ac:dyDescent="0.2">
      <c r="A2002" s="567"/>
      <c r="B2002" s="567" t="s">
        <v>1517</v>
      </c>
      <c r="C2002" s="567"/>
      <c r="D2002" s="567"/>
      <c r="E2002" s="567"/>
      <c r="F2002" s="567"/>
      <c r="G2002" s="568" t="s">
        <v>3149</v>
      </c>
      <c r="H2002" s="568" t="s">
        <v>296</v>
      </c>
      <c r="I2002" s="239" t="str">
        <f>IF(ISBLANK(global!I515),"",global!I515)</f>
        <v/>
      </c>
      <c r="K2002" s="262" t="s">
        <v>4249</v>
      </c>
      <c r="N2002" s="262" t="s">
        <v>4249</v>
      </c>
    </row>
    <row r="2003" spans="1:14" ht="12.75" customHeight="1" x14ac:dyDescent="0.2">
      <c r="A2003" s="567"/>
      <c r="B2003" s="567"/>
      <c r="C2003" s="567" t="s">
        <v>1519</v>
      </c>
      <c r="D2003" s="567"/>
      <c r="E2003" s="567"/>
      <c r="F2003" s="567"/>
      <c r="G2003" s="568" t="s">
        <v>3150</v>
      </c>
      <c r="H2003" s="568" t="s">
        <v>296</v>
      </c>
      <c r="I2003" s="239" t="str">
        <f>IF(ISBLANK(global!I516),"",global!I516)</f>
        <v/>
      </c>
      <c r="K2003" s="262" t="s">
        <v>4249</v>
      </c>
      <c r="N2003" s="262" t="s">
        <v>4249</v>
      </c>
    </row>
    <row r="2004" spans="1:14" ht="12.75" customHeight="1" x14ac:dyDescent="0.2">
      <c r="A2004" s="567"/>
      <c r="B2004" s="567"/>
      <c r="C2004" s="567"/>
      <c r="D2004" s="567" t="s">
        <v>1521</v>
      </c>
      <c r="E2004" s="567"/>
      <c r="F2004" s="567"/>
      <c r="G2004" s="567" t="s">
        <v>3151</v>
      </c>
      <c r="H2004" s="568" t="s">
        <v>296</v>
      </c>
      <c r="I2004" s="239" t="str">
        <f>IF(ISBLANK(global!I517),"",global!I517)</f>
        <v/>
      </c>
      <c r="K2004" s="262" t="s">
        <v>4249</v>
      </c>
      <c r="N2004" s="262" t="s">
        <v>4249</v>
      </c>
    </row>
    <row r="2005" spans="1:14" ht="12.75" customHeight="1" x14ac:dyDescent="0.2">
      <c r="A2005" s="567"/>
      <c r="B2005" s="567"/>
      <c r="C2005" s="567"/>
      <c r="D2005" s="567"/>
      <c r="E2005" s="567" t="s">
        <v>1523</v>
      </c>
      <c r="F2005" s="567"/>
      <c r="G2005" s="567" t="s">
        <v>3152</v>
      </c>
      <c r="H2005" s="568" t="s">
        <v>296</v>
      </c>
      <c r="I2005" s="239" t="str">
        <f>IF(ISBLANK(global!I518),"",global!I518)</f>
        <v/>
      </c>
      <c r="K2005" s="262" t="s">
        <v>4249</v>
      </c>
      <c r="N2005" s="262" t="s">
        <v>4249</v>
      </c>
    </row>
    <row r="2006" spans="1:14" ht="12.75" customHeight="1" x14ac:dyDescent="0.2">
      <c r="A2006" s="567"/>
      <c r="B2006" s="567"/>
      <c r="C2006" s="567"/>
      <c r="D2006" s="567"/>
      <c r="E2006" s="567"/>
      <c r="F2006" s="567" t="s">
        <v>1525</v>
      </c>
      <c r="G2006" s="567" t="s">
        <v>3153</v>
      </c>
      <c r="H2006" s="568" t="s">
        <v>1527</v>
      </c>
      <c r="I2006" s="239" t="str">
        <f>IF(ISBLANK(global!I519),"",global!I519)</f>
        <v/>
      </c>
      <c r="K2006" s="262" t="s">
        <v>4249</v>
      </c>
      <c r="N2006" s="262" t="s">
        <v>4249</v>
      </c>
    </row>
    <row r="2007" spans="1:14" ht="12.75" customHeight="1" x14ac:dyDescent="0.2">
      <c r="A2007" s="567"/>
      <c r="B2007" s="567"/>
      <c r="C2007" s="567" t="s">
        <v>1529</v>
      </c>
      <c r="D2007" s="567"/>
      <c r="E2007" s="567"/>
      <c r="F2007" s="567"/>
      <c r="G2007" s="568" t="s">
        <v>3154</v>
      </c>
      <c r="H2007" s="568" t="s">
        <v>296</v>
      </c>
      <c r="I2007" s="239" t="str">
        <f>IF(ISBLANK(global!I520),"",global!I520)</f>
        <v/>
      </c>
      <c r="K2007" s="262" t="s">
        <v>4249</v>
      </c>
      <c r="N2007" s="262" t="s">
        <v>4249</v>
      </c>
    </row>
    <row r="2008" spans="1:14" ht="12.75" customHeight="1" x14ac:dyDescent="0.2">
      <c r="A2008" s="567"/>
      <c r="B2008" s="567"/>
      <c r="C2008" s="567" t="s">
        <v>1531</v>
      </c>
      <c r="D2008" s="567"/>
      <c r="E2008" s="567"/>
      <c r="F2008" s="567"/>
      <c r="G2008" s="568" t="s">
        <v>3155</v>
      </c>
      <c r="H2008" s="568" t="s">
        <v>296</v>
      </c>
      <c r="I2008" s="239" t="str">
        <f>IF(ISBLANK(global!I521),"",global!I521)</f>
        <v/>
      </c>
      <c r="K2008" s="262" t="s">
        <v>4249</v>
      </c>
      <c r="N2008" s="262" t="s">
        <v>4249</v>
      </c>
    </row>
    <row r="2009" spans="1:14" ht="12.75" customHeight="1" x14ac:dyDescent="0.2">
      <c r="A2009" s="567"/>
      <c r="B2009" s="567"/>
      <c r="C2009" s="567"/>
      <c r="D2009" s="567" t="s">
        <v>1533</v>
      </c>
      <c r="E2009" s="567"/>
      <c r="F2009" s="567"/>
      <c r="G2009" s="567" t="s">
        <v>3156</v>
      </c>
      <c r="H2009" s="568" t="s">
        <v>296</v>
      </c>
      <c r="I2009" s="239" t="str">
        <f>IF(ISBLANK(global!I522),"",global!I522)</f>
        <v/>
      </c>
      <c r="K2009" s="262" t="s">
        <v>4249</v>
      </c>
      <c r="N2009" s="262" t="s">
        <v>4249</v>
      </c>
    </row>
    <row r="2010" spans="1:14" ht="12.75" customHeight="1" x14ac:dyDescent="0.2">
      <c r="A2010" s="567"/>
      <c r="B2010" s="567"/>
      <c r="C2010" s="567"/>
      <c r="D2010" s="567" t="s">
        <v>1535</v>
      </c>
      <c r="E2010" s="567"/>
      <c r="F2010" s="567"/>
      <c r="G2010" s="567" t="s">
        <v>3157</v>
      </c>
      <c r="H2010" s="568" t="s">
        <v>1537</v>
      </c>
      <c r="I2010" s="239" t="str">
        <f>IF(ISBLANK(global!I523),"",global!I523)</f>
        <v/>
      </c>
      <c r="K2010" s="262" t="s">
        <v>4249</v>
      </c>
      <c r="N2010" s="262" t="s">
        <v>4249</v>
      </c>
    </row>
    <row r="2011" spans="1:14" ht="12.75" customHeight="1" x14ac:dyDescent="0.2">
      <c r="A2011" s="567"/>
      <c r="B2011" s="567"/>
      <c r="C2011" s="567"/>
      <c r="D2011" s="567" t="s">
        <v>1538</v>
      </c>
      <c r="E2011" s="567"/>
      <c r="F2011" s="567"/>
      <c r="G2011" s="567" t="s">
        <v>3158</v>
      </c>
      <c r="H2011" s="568" t="s">
        <v>296</v>
      </c>
      <c r="I2011" s="239" t="str">
        <f>IF(ISBLANK(global!I524),"",global!I524)</f>
        <v/>
      </c>
      <c r="K2011" s="262" t="s">
        <v>4249</v>
      </c>
      <c r="N2011" s="262" t="s">
        <v>4249</v>
      </c>
    </row>
    <row r="2012" spans="1:14" ht="12.75" customHeight="1" x14ac:dyDescent="0.2">
      <c r="A2012" s="567"/>
      <c r="B2012" s="567"/>
      <c r="C2012" s="567"/>
      <c r="D2012" s="567" t="s">
        <v>1540</v>
      </c>
      <c r="E2012" s="567"/>
      <c r="F2012" s="567"/>
      <c r="G2012" s="568" t="s">
        <v>3159</v>
      </c>
      <c r="H2012" s="568" t="s">
        <v>296</v>
      </c>
      <c r="I2012" s="239" t="str">
        <f>IF(ISBLANK(global!I525),"",global!I525)</f>
        <v/>
      </c>
      <c r="K2012" s="262" t="s">
        <v>4249</v>
      </c>
      <c r="N2012" s="262" t="s">
        <v>4249</v>
      </c>
    </row>
    <row r="2013" spans="1:14" ht="12.75" customHeight="1" x14ac:dyDescent="0.2">
      <c r="A2013" s="410" t="s">
        <v>3160</v>
      </c>
      <c r="I2013" s="239" t="str">
        <f>IF(ISBLANK(global!I526),"",global!I526)</f>
        <v/>
      </c>
      <c r="K2013" s="262" t="s">
        <v>4249</v>
      </c>
      <c r="N2013" s="262" t="s">
        <v>4249</v>
      </c>
    </row>
    <row r="2014" spans="1:14" ht="12.75" customHeight="1" x14ac:dyDescent="0.2">
      <c r="A2014" s="567" t="s">
        <v>2811</v>
      </c>
      <c r="B2014" s="567"/>
      <c r="C2014" s="567"/>
      <c r="D2014" s="567"/>
      <c r="E2014" s="567"/>
      <c r="F2014" s="567"/>
      <c r="G2014" s="568" t="s">
        <v>3161</v>
      </c>
      <c r="H2014" s="568" t="s">
        <v>340</v>
      </c>
      <c r="I2014" s="239" t="str">
        <f>IF(ISBLANK(global!I527),"",global!I527)</f>
        <v/>
      </c>
      <c r="K2014" s="262" t="s">
        <v>4249</v>
      </c>
      <c r="N2014" s="262" t="s">
        <v>4249</v>
      </c>
    </row>
    <row r="2015" spans="1:14" ht="12.75" customHeight="1" x14ac:dyDescent="0.2">
      <c r="A2015" s="567"/>
      <c r="B2015" s="567" t="s">
        <v>1549</v>
      </c>
      <c r="C2015" s="567"/>
      <c r="D2015" s="567"/>
      <c r="E2015" s="567"/>
      <c r="F2015" s="567"/>
      <c r="G2015" s="568" t="s">
        <v>3162</v>
      </c>
      <c r="H2015" s="568" t="s">
        <v>715</v>
      </c>
      <c r="I2015" s="239" t="str">
        <f>IF(ISBLANK(global!I528),"",global!I528)</f>
        <v/>
      </c>
      <c r="K2015" s="262" t="s">
        <v>4249</v>
      </c>
      <c r="N2015" s="262" t="s">
        <v>4249</v>
      </c>
    </row>
    <row r="2016" spans="1:14" ht="12.75" customHeight="1" x14ac:dyDescent="0.2">
      <c r="A2016" s="567"/>
      <c r="B2016" s="567" t="s">
        <v>734</v>
      </c>
      <c r="C2016" s="567"/>
      <c r="D2016" s="567"/>
      <c r="E2016" s="567"/>
      <c r="F2016" s="567"/>
      <c r="G2016" s="568" t="s">
        <v>3163</v>
      </c>
      <c r="H2016" s="568" t="s">
        <v>736</v>
      </c>
      <c r="I2016" s="239" t="str">
        <f>IF(ISBLANK(global!I529),"",global!I529)</f>
        <v/>
      </c>
      <c r="K2016" s="262" t="s">
        <v>4249</v>
      </c>
      <c r="N2016" s="262" t="s">
        <v>4249</v>
      </c>
    </row>
    <row r="2017" spans="1:14" ht="12.75" customHeight="1" x14ac:dyDescent="0.2">
      <c r="A2017" s="567"/>
      <c r="B2017" s="567" t="s">
        <v>1454</v>
      </c>
      <c r="C2017" s="567"/>
      <c r="D2017" s="567"/>
      <c r="E2017" s="567"/>
      <c r="F2017" s="567"/>
      <c r="G2017" s="568" t="s">
        <v>3164</v>
      </c>
      <c r="H2017" s="568" t="s">
        <v>340</v>
      </c>
      <c r="I2017" s="239" t="str">
        <f>IF(ISBLANK(global!I530),"",global!I530)</f>
        <v/>
      </c>
      <c r="K2017" s="262" t="s">
        <v>4249</v>
      </c>
      <c r="N2017" s="262" t="s">
        <v>4249</v>
      </c>
    </row>
    <row r="2018" spans="1:14" ht="12.75" customHeight="1" x14ac:dyDescent="0.2">
      <c r="A2018" s="567"/>
      <c r="B2018" s="567" t="s">
        <v>1456</v>
      </c>
      <c r="C2018" s="567"/>
      <c r="D2018" s="567"/>
      <c r="E2018" s="567"/>
      <c r="F2018" s="567"/>
      <c r="G2018" s="568" t="s">
        <v>3165</v>
      </c>
      <c r="H2018" s="568" t="s">
        <v>340</v>
      </c>
      <c r="I2018" s="239" t="str">
        <f>IF(ISBLANK(global!I531),"",global!I531)</f>
        <v/>
      </c>
      <c r="K2018" s="262" t="s">
        <v>4249</v>
      </c>
      <c r="N2018" s="262" t="s">
        <v>4249</v>
      </c>
    </row>
    <row r="2019" spans="1:14" ht="12.75" customHeight="1" x14ac:dyDescent="0.2">
      <c r="A2019" s="567" t="s">
        <v>2818</v>
      </c>
      <c r="B2019" s="567"/>
      <c r="C2019" s="567"/>
      <c r="D2019" s="567"/>
      <c r="E2019" s="567"/>
      <c r="F2019" s="567"/>
      <c r="G2019" s="568" t="s">
        <v>3166</v>
      </c>
      <c r="H2019" s="568" t="s">
        <v>340</v>
      </c>
      <c r="I2019" s="239" t="str">
        <f>IF(ISBLANK(global!I532),"",global!I532)</f>
        <v/>
      </c>
      <c r="K2019" s="262" t="s">
        <v>4249</v>
      </c>
      <c r="N2019" s="262" t="s">
        <v>4249</v>
      </c>
    </row>
    <row r="2020" spans="1:14" ht="12.75" customHeight="1" x14ac:dyDescent="0.2">
      <c r="A2020" s="567"/>
      <c r="B2020" s="567" t="s">
        <v>1556</v>
      </c>
      <c r="C2020" s="567"/>
      <c r="D2020" s="567"/>
      <c r="E2020" s="567"/>
      <c r="F2020" s="567"/>
      <c r="G2020" s="568" t="s">
        <v>3167</v>
      </c>
      <c r="H2020" s="568" t="s">
        <v>1513</v>
      </c>
      <c r="I2020" s="239" t="str">
        <f>IF(ISBLANK(global!I533),"",global!I533)</f>
        <v/>
      </c>
      <c r="K2020" s="262" t="s">
        <v>4249</v>
      </c>
      <c r="N2020" s="262" t="s">
        <v>4249</v>
      </c>
    </row>
    <row r="2021" spans="1:14" ht="12.75" customHeight="1" x14ac:dyDescent="0.2">
      <c r="A2021" s="567"/>
      <c r="B2021" s="567" t="s">
        <v>1558</v>
      </c>
      <c r="C2021" s="567"/>
      <c r="D2021" s="567"/>
      <c r="E2021" s="567"/>
      <c r="F2021" s="567"/>
      <c r="G2021" s="567" t="s">
        <v>3168</v>
      </c>
      <c r="H2021" s="568" t="s">
        <v>873</v>
      </c>
      <c r="I2021" s="239" t="str">
        <f>IF(ISBLANK(global!I534),"",global!I534)</f>
        <v/>
      </c>
      <c r="K2021" s="262" t="s">
        <v>4249</v>
      </c>
      <c r="N2021" s="262" t="s">
        <v>4249</v>
      </c>
    </row>
    <row r="2022" spans="1:14" ht="12.75" customHeight="1" x14ac:dyDescent="0.2">
      <c r="A2022" s="567"/>
      <c r="B2022" s="567" t="s">
        <v>1517</v>
      </c>
      <c r="C2022" s="567"/>
      <c r="D2022" s="567"/>
      <c r="E2022" s="567"/>
      <c r="F2022" s="567"/>
      <c r="G2022" s="568" t="s">
        <v>3169</v>
      </c>
      <c r="H2022" s="568" t="s">
        <v>296</v>
      </c>
      <c r="I2022" s="239" t="str">
        <f>IF(ISBLANK(global!I535),"",global!I535)</f>
        <v/>
      </c>
      <c r="K2022" s="262" t="s">
        <v>4249</v>
      </c>
      <c r="N2022" s="262" t="s">
        <v>4249</v>
      </c>
    </row>
    <row r="2023" spans="1:14" ht="12.75" customHeight="1" x14ac:dyDescent="0.2">
      <c r="A2023" s="567"/>
      <c r="B2023" s="567"/>
      <c r="C2023" s="567" t="s">
        <v>1519</v>
      </c>
      <c r="D2023" s="567"/>
      <c r="E2023" s="567"/>
      <c r="F2023" s="567"/>
      <c r="G2023" s="568" t="s">
        <v>3170</v>
      </c>
      <c r="H2023" s="568" t="s">
        <v>296</v>
      </c>
      <c r="I2023" s="239" t="str">
        <f>IF(ISBLANK(global!I536),"",global!I536)</f>
        <v/>
      </c>
      <c r="K2023" s="262" t="s">
        <v>4249</v>
      </c>
      <c r="N2023" s="262" t="s">
        <v>4249</v>
      </c>
    </row>
    <row r="2024" spans="1:14" ht="12.75" customHeight="1" x14ac:dyDescent="0.2">
      <c r="A2024" s="567"/>
      <c r="B2024" s="567"/>
      <c r="C2024" s="567"/>
      <c r="D2024" s="567" t="s">
        <v>1521</v>
      </c>
      <c r="E2024" s="567"/>
      <c r="F2024" s="567"/>
      <c r="G2024" s="567" t="s">
        <v>3171</v>
      </c>
      <c r="H2024" s="568" t="s">
        <v>296</v>
      </c>
      <c r="I2024" s="239" t="str">
        <f>IF(ISBLANK(global!I537),"",global!I537)</f>
        <v/>
      </c>
      <c r="K2024" s="262" t="s">
        <v>4249</v>
      </c>
      <c r="N2024" s="262" t="s">
        <v>4249</v>
      </c>
    </row>
    <row r="2025" spans="1:14" ht="12.75" customHeight="1" x14ac:dyDescent="0.2">
      <c r="A2025" s="567"/>
      <c r="B2025" s="567"/>
      <c r="C2025" s="567"/>
      <c r="D2025" s="567"/>
      <c r="E2025" s="567" t="s">
        <v>1563</v>
      </c>
      <c r="F2025" s="567"/>
      <c r="G2025" s="567" t="s">
        <v>3172</v>
      </c>
      <c r="H2025" s="568" t="s">
        <v>296</v>
      </c>
      <c r="I2025" s="239" t="str">
        <f>IF(ISBLANK(global!I538),"",global!I538)</f>
        <v/>
      </c>
      <c r="K2025" s="262" t="s">
        <v>4249</v>
      </c>
      <c r="N2025" s="262" t="s">
        <v>4249</v>
      </c>
    </row>
    <row r="2026" spans="1:14" ht="12.75" customHeight="1" x14ac:dyDescent="0.2">
      <c r="A2026" s="567"/>
      <c r="B2026" s="567"/>
      <c r="C2026" s="567"/>
      <c r="D2026" s="567"/>
      <c r="E2026" s="567"/>
      <c r="F2026" s="567" t="s">
        <v>1565</v>
      </c>
      <c r="G2026" s="567" t="s">
        <v>3173</v>
      </c>
      <c r="H2026" s="568" t="s">
        <v>1527</v>
      </c>
      <c r="I2026" s="239" t="str">
        <f>IF(ISBLANK(global!I539),"",global!I539)</f>
        <v/>
      </c>
      <c r="K2026" s="262" t="s">
        <v>4249</v>
      </c>
      <c r="N2026" s="262" t="s">
        <v>4249</v>
      </c>
    </row>
    <row r="2027" spans="1:14" ht="12.75" customHeight="1" x14ac:dyDescent="0.2">
      <c r="A2027" s="567"/>
      <c r="B2027" s="567"/>
      <c r="C2027" s="567" t="s">
        <v>1529</v>
      </c>
      <c r="D2027" s="567"/>
      <c r="E2027" s="567"/>
      <c r="F2027" s="567"/>
      <c r="G2027" s="568" t="s">
        <v>3174</v>
      </c>
      <c r="H2027" s="568" t="s">
        <v>296</v>
      </c>
      <c r="I2027" s="239" t="str">
        <f>IF(ISBLANK(global!I540),"",global!I540)</f>
        <v/>
      </c>
      <c r="K2027" s="262" t="s">
        <v>4249</v>
      </c>
      <c r="N2027" s="262" t="s">
        <v>4249</v>
      </c>
    </row>
    <row r="2028" spans="1:14" ht="12.75" customHeight="1" x14ac:dyDescent="0.2">
      <c r="A2028" s="567"/>
      <c r="B2028" s="567"/>
      <c r="C2028" s="567" t="s">
        <v>1531</v>
      </c>
      <c r="D2028" s="567"/>
      <c r="E2028" s="567"/>
      <c r="F2028" s="567"/>
      <c r="G2028" s="568" t="s">
        <v>3175</v>
      </c>
      <c r="H2028" s="568" t="s">
        <v>296</v>
      </c>
      <c r="I2028" s="239" t="str">
        <f>IF(ISBLANK(global!I541),"",global!I541)</f>
        <v/>
      </c>
      <c r="K2028" s="262" t="s">
        <v>4249</v>
      </c>
      <c r="N2028" s="262" t="s">
        <v>4249</v>
      </c>
    </row>
    <row r="2029" spans="1:14" ht="12.75" customHeight="1" x14ac:dyDescent="0.2">
      <c r="A2029" s="567"/>
      <c r="B2029" s="567"/>
      <c r="C2029" s="567"/>
      <c r="D2029" s="567" t="s">
        <v>1535</v>
      </c>
      <c r="E2029" s="567"/>
      <c r="F2029" s="567"/>
      <c r="G2029" s="567" t="s">
        <v>3176</v>
      </c>
      <c r="H2029" s="568" t="s">
        <v>1537</v>
      </c>
      <c r="I2029" s="239" t="str">
        <f>IF(ISBLANK(global!I542),"",global!I542)</f>
        <v/>
      </c>
      <c r="K2029" s="262" t="s">
        <v>4249</v>
      </c>
      <c r="N2029" s="262" t="s">
        <v>4249</v>
      </c>
    </row>
    <row r="2030" spans="1:14" ht="12.75" customHeight="1" x14ac:dyDescent="0.2">
      <c r="A2030" s="567"/>
      <c r="B2030" s="567"/>
      <c r="C2030" s="567"/>
      <c r="D2030" s="567" t="s">
        <v>1538</v>
      </c>
      <c r="E2030" s="567"/>
      <c r="F2030" s="567"/>
      <c r="G2030" s="567" t="s">
        <v>3177</v>
      </c>
      <c r="H2030" s="568" t="s">
        <v>296</v>
      </c>
      <c r="I2030" s="239" t="str">
        <f>IF(ISBLANK(global!I543),"",global!I543)</f>
        <v/>
      </c>
      <c r="K2030" s="262" t="s">
        <v>4249</v>
      </c>
      <c r="N2030" s="262" t="s">
        <v>4249</v>
      </c>
    </row>
    <row r="2031" spans="1:14" ht="12.75" customHeight="1" x14ac:dyDescent="0.2">
      <c r="A2031" s="567"/>
      <c r="B2031" s="567"/>
      <c r="C2031" s="567"/>
      <c r="D2031" s="567" t="s">
        <v>1533</v>
      </c>
      <c r="E2031" s="567"/>
      <c r="F2031" s="567"/>
      <c r="G2031" s="567" t="s">
        <v>3178</v>
      </c>
      <c r="H2031" s="568" t="s">
        <v>296</v>
      </c>
      <c r="I2031" s="239" t="str">
        <f>IF(ISBLANK(global!I544),"",global!I544)</f>
        <v/>
      </c>
      <c r="K2031" s="262" t="s">
        <v>4249</v>
      </c>
      <c r="N2031" s="262" t="s">
        <v>4249</v>
      </c>
    </row>
    <row r="2032" spans="1:14" ht="12.75" customHeight="1" x14ac:dyDescent="0.2">
      <c r="A2032" s="567"/>
      <c r="B2032" s="567"/>
      <c r="C2032" s="567"/>
      <c r="D2032" s="567" t="s">
        <v>1540</v>
      </c>
      <c r="E2032" s="567"/>
      <c r="F2032" s="567"/>
      <c r="G2032" s="568" t="s">
        <v>3179</v>
      </c>
      <c r="H2032" s="568" t="s">
        <v>296</v>
      </c>
      <c r="I2032" s="239" t="str">
        <f>IF(ISBLANK(global!I545),"",global!I545)</f>
        <v/>
      </c>
      <c r="K2032" s="262" t="s">
        <v>4249</v>
      </c>
      <c r="N2032" s="262" t="s">
        <v>4249</v>
      </c>
    </row>
    <row r="2033" spans="1:14" ht="12.75" customHeight="1" x14ac:dyDescent="0.2">
      <c r="I2033" s="239" t="str">
        <f>IF(ISBLANK(global!I546),"",global!I546)</f>
        <v/>
      </c>
      <c r="K2033" s="262" t="s">
        <v>4249</v>
      </c>
      <c r="N2033" s="262" t="s">
        <v>4249</v>
      </c>
    </row>
    <row r="2034" spans="1:14" ht="12.75" customHeight="1" x14ac:dyDescent="0.2">
      <c r="A2034" s="633" t="s">
        <v>1605</v>
      </c>
      <c r="B2034" s="634"/>
      <c r="C2034" s="634"/>
      <c r="D2034" s="634"/>
      <c r="E2034" s="634"/>
      <c r="F2034" s="634"/>
      <c r="G2034" s="633" t="s">
        <v>263</v>
      </c>
      <c r="H2034" s="633" t="s">
        <v>279</v>
      </c>
      <c r="I2034" s="239" t="str">
        <f>IF(ISBLANK(global!I547),"",global!I547)</f>
        <v>User input</v>
      </c>
      <c r="K2034" s="262" t="s">
        <v>264</v>
      </c>
      <c r="N2034" s="262" t="s">
        <v>264</v>
      </c>
    </row>
    <row r="2035" spans="1:14" ht="12.75" customHeight="1" x14ac:dyDescent="0.2">
      <c r="A2035" t="s">
        <v>3180</v>
      </c>
      <c r="I2035" s="239" t="str">
        <f>IF(ISBLANK(global!I548),"",global!I548)</f>
        <v/>
      </c>
      <c r="K2035" s="262" t="s">
        <v>4249</v>
      </c>
      <c r="N2035" s="262" t="s">
        <v>4249</v>
      </c>
    </row>
    <row r="2036" spans="1:14" ht="12.75" customHeight="1" x14ac:dyDescent="0.2">
      <c r="A2036" s="567"/>
      <c r="B2036" s="567" t="s">
        <v>1607</v>
      </c>
      <c r="C2036" s="567"/>
      <c r="D2036" s="567"/>
      <c r="E2036" s="567"/>
      <c r="F2036" s="567"/>
      <c r="G2036" s="568" t="s">
        <v>3181</v>
      </c>
      <c r="H2036" s="568" t="s">
        <v>820</v>
      </c>
      <c r="I2036" s="239" t="str">
        <f>IF(ISBLANK(global!I549),"",global!I549)</f>
        <v/>
      </c>
      <c r="K2036" s="262" t="s">
        <v>4249</v>
      </c>
      <c r="N2036" s="262" t="s">
        <v>4249</v>
      </c>
    </row>
    <row r="2037" spans="1:14" ht="12.75" customHeight="1" x14ac:dyDescent="0.2">
      <c r="A2037" s="567"/>
      <c r="B2037" s="567" t="s">
        <v>1610</v>
      </c>
      <c r="C2037" s="567"/>
      <c r="D2037" s="567"/>
      <c r="E2037" s="567"/>
      <c r="F2037" s="567"/>
      <c r="G2037" s="568" t="s">
        <v>3182</v>
      </c>
      <c r="H2037" s="568" t="s">
        <v>296</v>
      </c>
      <c r="I2037" s="239">
        <f>IF(ISBLANK(global!I550),"",global!I550)</f>
        <v>1</v>
      </c>
      <c r="K2037" s="262" t="s">
        <v>4249</v>
      </c>
      <c r="N2037" s="262" t="s">
        <v>4249</v>
      </c>
    </row>
    <row r="2038" spans="1:14" ht="12.75" customHeight="1" x14ac:dyDescent="0.2">
      <c r="A2038" s="567"/>
      <c r="B2038" s="567" t="s">
        <v>1613</v>
      </c>
      <c r="C2038" s="567"/>
      <c r="D2038" s="567"/>
      <c r="E2038" s="567"/>
      <c r="F2038" s="567"/>
      <c r="G2038" s="568" t="s">
        <v>3183</v>
      </c>
      <c r="H2038" s="568" t="s">
        <v>873</v>
      </c>
      <c r="I2038" s="239" t="str">
        <f>IF(ISBLANK(global!I551),"",global!I551)</f>
        <v/>
      </c>
      <c r="K2038" s="262" t="s">
        <v>4249</v>
      </c>
      <c r="N2038" s="262" t="s">
        <v>4249</v>
      </c>
    </row>
    <row r="2039" spans="1:14" ht="12.75" customHeight="1" x14ac:dyDescent="0.2">
      <c r="A2039" s="567"/>
      <c r="B2039" s="567" t="s">
        <v>1617</v>
      </c>
      <c r="C2039" s="567"/>
      <c r="D2039" s="567"/>
      <c r="E2039" s="567"/>
      <c r="F2039" s="567"/>
      <c r="G2039" s="568" t="s">
        <v>3184</v>
      </c>
      <c r="H2039" s="568" t="s">
        <v>873</v>
      </c>
      <c r="I2039" s="239" t="str">
        <f>IF(ISBLANK(global!I552),"",global!I552)</f>
        <v/>
      </c>
      <c r="K2039" s="262" t="s">
        <v>4249</v>
      </c>
      <c r="N2039" s="262" t="s">
        <v>4249</v>
      </c>
    </row>
    <row r="2040" spans="1:14" ht="12.75" customHeight="1" x14ac:dyDescent="0.2">
      <c r="A2040" s="567"/>
      <c r="B2040" s="567" t="s">
        <v>1619</v>
      </c>
      <c r="C2040" s="567"/>
      <c r="D2040" s="567"/>
      <c r="E2040" s="567"/>
      <c r="F2040" s="567"/>
      <c r="G2040" s="568" t="s">
        <v>3185</v>
      </c>
      <c r="H2040" s="568" t="s">
        <v>296</v>
      </c>
      <c r="I2040" s="239" t="str">
        <f>IF(ISBLANK(global!I553),"",global!I553)</f>
        <v/>
      </c>
      <c r="K2040" s="262" t="s">
        <v>4249</v>
      </c>
      <c r="N2040" s="262" t="s">
        <v>4249</v>
      </c>
    </row>
    <row r="2041" spans="1:14" ht="12.75" customHeight="1" x14ac:dyDescent="0.2">
      <c r="A2041" s="567"/>
      <c r="B2041" s="567" t="s">
        <v>1621</v>
      </c>
      <c r="C2041" s="567"/>
      <c r="D2041" s="567"/>
      <c r="E2041" s="567"/>
      <c r="F2041" s="567"/>
      <c r="G2041" s="568" t="s">
        <v>3186</v>
      </c>
      <c r="H2041" s="568" t="s">
        <v>296</v>
      </c>
      <c r="I2041" s="239" t="str">
        <f>IF(ISBLANK(global!I554),"",global!I554)</f>
        <v/>
      </c>
      <c r="K2041" s="262" t="s">
        <v>4249</v>
      </c>
      <c r="N2041" s="262" t="s">
        <v>4249</v>
      </c>
    </row>
    <row r="2042" spans="1:14" ht="12.75" customHeight="1" x14ac:dyDescent="0.2">
      <c r="A2042" s="567"/>
      <c r="B2042" s="567" t="s">
        <v>1623</v>
      </c>
      <c r="C2042" s="567"/>
      <c r="D2042" s="567"/>
      <c r="E2042" s="567"/>
      <c r="F2042" s="567"/>
      <c r="G2042" s="568" t="s">
        <v>3187</v>
      </c>
      <c r="H2042" s="568" t="s">
        <v>296</v>
      </c>
      <c r="I2042" s="239" t="str">
        <f>IF(ISBLANK(global!I555),"",global!I555)</f>
        <v/>
      </c>
      <c r="K2042" s="262" t="s">
        <v>4249</v>
      </c>
      <c r="N2042" s="262" t="s">
        <v>4249</v>
      </c>
    </row>
    <row r="2043" spans="1:14" ht="12.75" customHeight="1" x14ac:dyDescent="0.2">
      <c r="A2043" t="s">
        <v>3188</v>
      </c>
      <c r="G2043"/>
      <c r="H2043"/>
      <c r="I2043" s="239" t="str">
        <f>IF(ISBLANK(global!I556),"",global!I556)</f>
        <v/>
      </c>
      <c r="K2043" s="262" t="s">
        <v>4249</v>
      </c>
      <c r="N2043" s="262" t="s">
        <v>4249</v>
      </c>
    </row>
    <row r="2044" spans="1:14" ht="12.75" customHeight="1" x14ac:dyDescent="0.2">
      <c r="A2044" s="567"/>
      <c r="B2044" s="567" t="s">
        <v>1626</v>
      </c>
      <c r="C2044" s="567"/>
      <c r="D2044" s="567"/>
      <c r="E2044" s="567"/>
      <c r="F2044" s="567"/>
      <c r="G2044" s="567" t="s">
        <v>3189</v>
      </c>
      <c r="H2044" s="567" t="s">
        <v>820</v>
      </c>
      <c r="I2044" s="239" t="str">
        <f>IF(ISBLANK(global!I557),"",global!I557)</f>
        <v/>
      </c>
      <c r="K2044" s="262" t="s">
        <v>4249</v>
      </c>
      <c r="N2044" s="262" t="s">
        <v>4249</v>
      </c>
    </row>
    <row r="2045" spans="1:14" ht="12.75" customHeight="1" x14ac:dyDescent="0.2">
      <c r="A2045" s="567"/>
      <c r="B2045" s="567" t="s">
        <v>1628</v>
      </c>
      <c r="C2045" s="567"/>
      <c r="D2045" s="567"/>
      <c r="E2045" s="567"/>
      <c r="F2045" s="567"/>
      <c r="G2045" s="567" t="s">
        <v>3190</v>
      </c>
      <c r="H2045" s="567" t="s">
        <v>287</v>
      </c>
      <c r="I2045" s="239" t="str">
        <f>IF(ISBLANK(global!I558),"",global!I558)</f>
        <v/>
      </c>
      <c r="K2045" s="262" t="s">
        <v>4249</v>
      </c>
      <c r="N2045" s="262" t="s">
        <v>4249</v>
      </c>
    </row>
    <row r="2046" spans="1:14" ht="12.75" customHeight="1" x14ac:dyDescent="0.2">
      <c r="A2046" s="567"/>
      <c r="B2046" s="567"/>
      <c r="C2046" s="567" t="s">
        <v>1630</v>
      </c>
      <c r="D2046" s="567"/>
      <c r="E2046" s="567"/>
      <c r="F2046" s="567"/>
      <c r="G2046" s="567" t="s">
        <v>3191</v>
      </c>
      <c r="H2046" s="567" t="s">
        <v>864</v>
      </c>
      <c r="I2046" s="239" t="str">
        <f>IF(ISBLANK(global!I559),"",global!I559)</f>
        <v/>
      </c>
      <c r="K2046" s="262" t="s">
        <v>4249</v>
      </c>
      <c r="N2046" s="262" t="s">
        <v>4249</v>
      </c>
    </row>
    <row r="2047" spans="1:14" ht="12.75" customHeight="1" x14ac:dyDescent="0.2">
      <c r="A2047" s="567"/>
      <c r="B2047" s="567"/>
      <c r="C2047" s="567" t="s">
        <v>1632</v>
      </c>
      <c r="D2047" s="567"/>
      <c r="E2047" s="567"/>
      <c r="F2047" s="567"/>
      <c r="G2047" s="567" t="s">
        <v>3192</v>
      </c>
      <c r="H2047" s="567" t="s">
        <v>895</v>
      </c>
      <c r="I2047" s="239" t="str">
        <f>IF(ISBLANK(global!I560),"",global!I560)</f>
        <v/>
      </c>
      <c r="K2047" s="262" t="s">
        <v>4249</v>
      </c>
      <c r="N2047" s="262" t="s">
        <v>4249</v>
      </c>
    </row>
    <row r="2048" spans="1:14" ht="12.75" customHeight="1" x14ac:dyDescent="0.2">
      <c r="A2048" t="s">
        <v>3193</v>
      </c>
      <c r="G2048"/>
      <c r="H2048"/>
      <c r="I2048" s="239" t="str">
        <f>IF(ISBLANK(global!I561),"",global!I561)</f>
        <v/>
      </c>
      <c r="K2048" s="262" t="s">
        <v>4249</v>
      </c>
      <c r="N2048" s="262" t="s">
        <v>4249</v>
      </c>
    </row>
    <row r="2049" spans="1:14" ht="12.75" customHeight="1" x14ac:dyDescent="0.2">
      <c r="A2049" s="567" t="s">
        <v>1635</v>
      </c>
      <c r="B2049" s="567"/>
      <c r="C2049" s="567"/>
      <c r="D2049" s="567"/>
      <c r="E2049" s="567"/>
      <c r="F2049" s="567"/>
      <c r="G2049" s="568" t="s">
        <v>3194</v>
      </c>
      <c r="H2049" s="568" t="s">
        <v>340</v>
      </c>
      <c r="I2049" s="239" t="str">
        <f>IF(ISBLANK(global!I562),"",global!I562)</f>
        <v/>
      </c>
      <c r="K2049" s="262" t="s">
        <v>4249</v>
      </c>
      <c r="N2049" s="262" t="s">
        <v>4249</v>
      </c>
    </row>
    <row r="2050" spans="1:14" ht="12.75" customHeight="1" x14ac:dyDescent="0.2">
      <c r="A2050" s="567"/>
      <c r="B2050" s="567" t="s">
        <v>1638</v>
      </c>
      <c r="C2050" s="567"/>
      <c r="D2050" s="567"/>
      <c r="E2050" s="567"/>
      <c r="F2050" s="567"/>
      <c r="G2050" s="568" t="s">
        <v>3195</v>
      </c>
      <c r="H2050" s="568" t="s">
        <v>1640</v>
      </c>
      <c r="I2050" s="239" t="str">
        <f>IF(ISBLANK(global!I563),"",global!I563)</f>
        <v/>
      </c>
      <c r="K2050" s="262" t="s">
        <v>4249</v>
      </c>
      <c r="N2050" s="262" t="s">
        <v>4249</v>
      </c>
    </row>
    <row r="2051" spans="1:14" ht="12.75" customHeight="1" x14ac:dyDescent="0.2">
      <c r="A2051" s="567"/>
      <c r="B2051" s="567" t="s">
        <v>1641</v>
      </c>
      <c r="C2051" s="567"/>
      <c r="D2051" s="567"/>
      <c r="E2051" s="567"/>
      <c r="F2051" s="567"/>
      <c r="G2051" s="568" t="s">
        <v>3196</v>
      </c>
      <c r="H2051" s="568" t="s">
        <v>296</v>
      </c>
      <c r="I2051" s="239" t="str">
        <f>IF(ISBLANK(global!I564),"",global!I564)</f>
        <v/>
      </c>
      <c r="K2051" s="262" t="s">
        <v>4249</v>
      </c>
      <c r="N2051" s="262" t="s">
        <v>4249</v>
      </c>
    </row>
    <row r="2052" spans="1:14" ht="12.75" customHeight="1" x14ac:dyDescent="0.2">
      <c r="A2052" s="567"/>
      <c r="B2052" s="567" t="s">
        <v>1644</v>
      </c>
      <c r="C2052" s="567"/>
      <c r="D2052" s="567"/>
      <c r="E2052" s="567"/>
      <c r="F2052" s="567"/>
      <c r="G2052" s="568" t="s">
        <v>3197</v>
      </c>
      <c r="H2052" s="568" t="s">
        <v>873</v>
      </c>
      <c r="I2052" s="239" t="str">
        <f>IF(ISBLANK(global!I565),"",global!I565)</f>
        <v/>
      </c>
      <c r="K2052" s="262" t="s">
        <v>4249</v>
      </c>
      <c r="N2052" s="262" t="s">
        <v>4249</v>
      </c>
    </row>
    <row r="2053" spans="1:14" ht="12.75" customHeight="1" x14ac:dyDescent="0.2">
      <c r="A2053" s="567"/>
      <c r="B2053" s="567" t="s">
        <v>1646</v>
      </c>
      <c r="C2053" s="567"/>
      <c r="D2053" s="567"/>
      <c r="E2053" s="567"/>
      <c r="F2053" s="567"/>
      <c r="G2053" s="568" t="s">
        <v>3198</v>
      </c>
      <c r="H2053" s="568" t="s">
        <v>296</v>
      </c>
      <c r="I2053" s="239" t="str">
        <f>IF(ISBLANK(global!I566),"",global!I566)</f>
        <v/>
      </c>
      <c r="K2053" s="262" t="s">
        <v>4249</v>
      </c>
      <c r="N2053" s="262" t="s">
        <v>4249</v>
      </c>
    </row>
    <row r="2054" spans="1:14" ht="12.75" customHeight="1" x14ac:dyDescent="0.2">
      <c r="A2054" s="567"/>
      <c r="B2054" s="567"/>
      <c r="C2054" s="567" t="s">
        <v>1648</v>
      </c>
      <c r="D2054" s="567"/>
      <c r="E2054" s="567"/>
      <c r="F2054" s="567"/>
      <c r="G2054" s="568" t="s">
        <v>3199</v>
      </c>
      <c r="H2054" s="568" t="s">
        <v>296</v>
      </c>
      <c r="I2054" s="239" t="str">
        <f>IF(ISBLANK(global!I567),"",global!I567)</f>
        <v/>
      </c>
      <c r="K2054" s="262" t="s">
        <v>4249</v>
      </c>
      <c r="N2054" s="262" t="s">
        <v>4249</v>
      </c>
    </row>
    <row r="2055" spans="1:14" ht="12.75" customHeight="1" x14ac:dyDescent="0.2">
      <c r="A2055" s="567"/>
      <c r="B2055" s="567"/>
      <c r="C2055" s="567" t="s">
        <v>1650</v>
      </c>
      <c r="D2055" s="567"/>
      <c r="E2055" s="567"/>
      <c r="F2055" s="567"/>
      <c r="G2055" s="568" t="s">
        <v>3200</v>
      </c>
      <c r="H2055" s="568" t="s">
        <v>296</v>
      </c>
      <c r="I2055" s="239" t="str">
        <f>IF(ISBLANK(global!I568),"",global!I568)</f>
        <v/>
      </c>
      <c r="K2055" s="262" t="s">
        <v>4249</v>
      </c>
      <c r="N2055" s="262" t="s">
        <v>4249</v>
      </c>
    </row>
    <row r="2056" spans="1:14" ht="12.75" customHeight="1" x14ac:dyDescent="0.2">
      <c r="A2056" s="567"/>
      <c r="B2056" s="567"/>
      <c r="C2056" s="567" t="s">
        <v>1652</v>
      </c>
      <c r="D2056" s="567"/>
      <c r="E2056" s="567"/>
      <c r="F2056" s="567"/>
      <c r="G2056" s="568" t="s">
        <v>3201</v>
      </c>
      <c r="H2056" s="568" t="s">
        <v>296</v>
      </c>
      <c r="I2056" s="239" t="str">
        <f>IF(ISBLANK(global!I569),"",global!I569)</f>
        <v/>
      </c>
      <c r="K2056" s="262" t="s">
        <v>4249</v>
      </c>
      <c r="N2056" s="262" t="s">
        <v>4249</v>
      </c>
    </row>
    <row r="2057" spans="1:14" ht="12.75" customHeight="1" x14ac:dyDescent="0.2">
      <c r="A2057" s="567"/>
      <c r="B2057" s="567"/>
      <c r="C2057" s="567" t="s">
        <v>1654</v>
      </c>
      <c r="D2057" s="567"/>
      <c r="E2057" s="567"/>
      <c r="F2057" s="567"/>
      <c r="G2057" s="568" t="s">
        <v>3202</v>
      </c>
      <c r="H2057" s="568" t="s">
        <v>296</v>
      </c>
      <c r="I2057" s="239" t="str">
        <f>IF(ISBLANK(global!I570),"",global!I570)</f>
        <v/>
      </c>
      <c r="K2057" s="262" t="s">
        <v>4249</v>
      </c>
      <c r="N2057" s="262" t="s">
        <v>4249</v>
      </c>
    </row>
    <row r="2058" spans="1:14" ht="12.75" customHeight="1" x14ac:dyDescent="0.2">
      <c r="A2058" s="567" t="s">
        <v>1656</v>
      </c>
      <c r="B2058" s="567"/>
      <c r="C2058" s="567"/>
      <c r="D2058" s="567"/>
      <c r="E2058" s="567"/>
      <c r="F2058" s="567"/>
      <c r="G2058" s="568" t="s">
        <v>3203</v>
      </c>
      <c r="H2058" s="568" t="s">
        <v>340</v>
      </c>
      <c r="I2058" s="239" t="str">
        <f>IF(ISBLANK(global!I571),"",global!I571)</f>
        <v/>
      </c>
      <c r="K2058" s="262" t="s">
        <v>4249</v>
      </c>
      <c r="N2058" s="262" t="s">
        <v>4249</v>
      </c>
    </row>
    <row r="2059" spans="1:14" ht="12.75" customHeight="1" x14ac:dyDescent="0.2">
      <c r="A2059" s="567"/>
      <c r="B2059" s="567" t="s">
        <v>1658</v>
      </c>
      <c r="C2059" s="567"/>
      <c r="D2059" s="567"/>
      <c r="E2059" s="567"/>
      <c r="F2059" s="567"/>
      <c r="G2059" s="568" t="s">
        <v>3204</v>
      </c>
      <c r="H2059" s="568" t="s">
        <v>296</v>
      </c>
      <c r="I2059" s="239" t="str">
        <f>IF(ISBLANK(global!I572),"",global!I572)</f>
        <v/>
      </c>
      <c r="K2059" s="262" t="s">
        <v>4249</v>
      </c>
      <c r="N2059" s="262" t="s">
        <v>4249</v>
      </c>
    </row>
    <row r="2060" spans="1:14" ht="12.75" customHeight="1" x14ac:dyDescent="0.2">
      <c r="A2060" s="567"/>
      <c r="B2060" s="567" t="s">
        <v>1660</v>
      </c>
      <c r="C2060" s="567"/>
      <c r="D2060" s="567"/>
      <c r="E2060" s="567"/>
      <c r="F2060" s="567"/>
      <c r="G2060" s="568" t="s">
        <v>3205</v>
      </c>
      <c r="H2060" s="568"/>
      <c r="I2060" s="239" t="str">
        <f>IF(ISBLANK(global!I573),"",global!I573)</f>
        <v/>
      </c>
      <c r="K2060" s="262" t="s">
        <v>4249</v>
      </c>
      <c r="N2060" s="262" t="s">
        <v>4249</v>
      </c>
    </row>
    <row r="2061" spans="1:14" ht="12.75" customHeight="1" x14ac:dyDescent="0.2">
      <c r="A2061" s="567"/>
      <c r="B2061" s="567" t="s">
        <v>1638</v>
      </c>
      <c r="C2061" s="567"/>
      <c r="D2061" s="567"/>
      <c r="E2061" s="567"/>
      <c r="F2061" s="567"/>
      <c r="G2061" s="568" t="s">
        <v>3206</v>
      </c>
      <c r="H2061" s="568" t="s">
        <v>1640</v>
      </c>
      <c r="I2061" s="239" t="str">
        <f>IF(ISBLANK(global!I574),"",global!I574)</f>
        <v/>
      </c>
      <c r="K2061" s="262" t="s">
        <v>4249</v>
      </c>
      <c r="N2061" s="262" t="s">
        <v>4249</v>
      </c>
    </row>
    <row r="2062" spans="1:14" ht="12.75" customHeight="1" x14ac:dyDescent="0.2">
      <c r="A2062" s="567"/>
      <c r="B2062" s="567" t="s">
        <v>1663</v>
      </c>
      <c r="C2062" s="567"/>
      <c r="D2062" s="567"/>
      <c r="E2062" s="567"/>
      <c r="F2062" s="567"/>
      <c r="G2062" s="568" t="s">
        <v>3207</v>
      </c>
      <c r="H2062" s="568" t="s">
        <v>296</v>
      </c>
      <c r="I2062" s="239" t="str">
        <f>IF(ISBLANK(global!I575),"",global!I575)</f>
        <v/>
      </c>
      <c r="K2062" s="262" t="s">
        <v>4249</v>
      </c>
      <c r="N2062" s="262" t="s">
        <v>4249</v>
      </c>
    </row>
    <row r="2063" spans="1:14" ht="12.75" customHeight="1" x14ac:dyDescent="0.2">
      <c r="A2063" s="567"/>
      <c r="B2063" s="567" t="s">
        <v>1644</v>
      </c>
      <c r="C2063" s="567"/>
      <c r="D2063" s="567"/>
      <c r="E2063" s="567"/>
      <c r="F2063" s="567"/>
      <c r="G2063" s="568" t="s">
        <v>3208</v>
      </c>
      <c r="H2063" s="568" t="s">
        <v>873</v>
      </c>
      <c r="I2063" s="239" t="str">
        <f>IF(ISBLANK(global!I576),"",global!I576)</f>
        <v/>
      </c>
      <c r="K2063" s="262" t="s">
        <v>4249</v>
      </c>
      <c r="N2063" s="262" t="s">
        <v>4249</v>
      </c>
    </row>
    <row r="2064" spans="1:14" ht="12.75" customHeight="1" x14ac:dyDescent="0.2">
      <c r="A2064" s="567"/>
      <c r="B2064" s="567" t="s">
        <v>1646</v>
      </c>
      <c r="C2064" s="567"/>
      <c r="D2064" s="567"/>
      <c r="E2064" s="567"/>
      <c r="F2064" s="567"/>
      <c r="G2064" s="568" t="s">
        <v>3209</v>
      </c>
      <c r="H2064" s="568" t="s">
        <v>296</v>
      </c>
      <c r="I2064" s="239" t="str">
        <f>IF(ISBLANK(global!I577),"",global!I577)</f>
        <v/>
      </c>
      <c r="K2064" s="262" t="s">
        <v>4249</v>
      </c>
      <c r="N2064" s="262" t="s">
        <v>4249</v>
      </c>
    </row>
    <row r="2065" spans="1:14" ht="12.75" customHeight="1" x14ac:dyDescent="0.2">
      <c r="A2065" s="567"/>
      <c r="B2065" s="567"/>
      <c r="C2065" s="567" t="s">
        <v>1648</v>
      </c>
      <c r="D2065" s="567"/>
      <c r="E2065" s="567"/>
      <c r="F2065" s="567"/>
      <c r="G2065" s="568" t="s">
        <v>3210</v>
      </c>
      <c r="H2065" s="568" t="s">
        <v>296</v>
      </c>
      <c r="I2065" s="239" t="str">
        <f>IF(ISBLANK(global!I578),"",global!I578)</f>
        <v/>
      </c>
      <c r="K2065" s="262" t="s">
        <v>4249</v>
      </c>
      <c r="N2065" s="262" t="s">
        <v>4249</v>
      </c>
    </row>
    <row r="2066" spans="1:14" ht="12.75" customHeight="1" x14ac:dyDescent="0.2">
      <c r="A2066" s="567"/>
      <c r="B2066" s="567"/>
      <c r="C2066" s="567" t="s">
        <v>1650</v>
      </c>
      <c r="D2066" s="567"/>
      <c r="E2066" s="567"/>
      <c r="F2066" s="567"/>
      <c r="G2066" s="568" t="s">
        <v>3211</v>
      </c>
      <c r="H2066" s="568" t="s">
        <v>296</v>
      </c>
      <c r="I2066" s="239" t="str">
        <f>IF(ISBLANK(global!I579),"",global!I579)</f>
        <v/>
      </c>
      <c r="K2066" s="262" t="s">
        <v>4249</v>
      </c>
      <c r="N2066" s="262" t="s">
        <v>4249</v>
      </c>
    </row>
    <row r="2067" spans="1:14" ht="12.75" customHeight="1" x14ac:dyDescent="0.2">
      <c r="A2067" s="567"/>
      <c r="B2067" s="567"/>
      <c r="C2067" s="567" t="s">
        <v>1652</v>
      </c>
      <c r="D2067" s="567"/>
      <c r="E2067" s="567"/>
      <c r="F2067" s="567"/>
      <c r="G2067" s="568" t="s">
        <v>3212</v>
      </c>
      <c r="H2067" s="568" t="s">
        <v>296</v>
      </c>
      <c r="I2067" s="239" t="str">
        <f>IF(ISBLANK(global!I580),"",global!I580)</f>
        <v/>
      </c>
      <c r="K2067" s="262" t="s">
        <v>4249</v>
      </c>
      <c r="N2067" s="262" t="s">
        <v>4249</v>
      </c>
    </row>
    <row r="2068" spans="1:14" ht="12.75" customHeight="1" x14ac:dyDescent="0.2">
      <c r="A2068" s="567"/>
      <c r="B2068" s="567"/>
      <c r="C2068" s="567" t="s">
        <v>1654</v>
      </c>
      <c r="D2068" s="567"/>
      <c r="E2068" s="567"/>
      <c r="F2068" s="567"/>
      <c r="G2068" s="568" t="s">
        <v>3213</v>
      </c>
      <c r="H2068" s="568" t="s">
        <v>296</v>
      </c>
      <c r="I2068" s="239" t="str">
        <f>IF(ISBLANK(global!I581),"",global!I581)</f>
        <v/>
      </c>
      <c r="K2068" s="262" t="s">
        <v>4249</v>
      </c>
      <c r="N2068" s="262" t="s">
        <v>4249</v>
      </c>
    </row>
    <row r="2069" spans="1:14" ht="12.75" customHeight="1" x14ac:dyDescent="0.2">
      <c r="A2069" s="567" t="s">
        <v>1671</v>
      </c>
      <c r="B2069" s="567"/>
      <c r="C2069" s="567"/>
      <c r="D2069" s="567"/>
      <c r="E2069" s="567"/>
      <c r="F2069" s="567"/>
      <c r="G2069" s="568" t="s">
        <v>3214</v>
      </c>
      <c r="H2069" s="568" t="s">
        <v>340</v>
      </c>
      <c r="I2069" s="239" t="str">
        <f>IF(ISBLANK(global!I582),"",global!I582)</f>
        <v/>
      </c>
      <c r="K2069" s="262" t="s">
        <v>4249</v>
      </c>
      <c r="N2069" s="262" t="s">
        <v>4249</v>
      </c>
    </row>
    <row r="2070" spans="1:14" ht="12.75" customHeight="1" x14ac:dyDescent="0.2">
      <c r="A2070" s="567" t="s">
        <v>2869</v>
      </c>
      <c r="B2070" s="567"/>
      <c r="C2070" s="567"/>
      <c r="D2070" s="567"/>
      <c r="E2070" s="567"/>
      <c r="F2070" s="567"/>
      <c r="G2070" s="568" t="s">
        <v>3215</v>
      </c>
      <c r="H2070" s="568" t="s">
        <v>340</v>
      </c>
      <c r="I2070" s="239" t="str">
        <f>IF(ISBLANK(global!I583),"",global!I583)</f>
        <v/>
      </c>
      <c r="K2070" s="262" t="s">
        <v>4249</v>
      </c>
      <c r="N2070" s="262" t="s">
        <v>4249</v>
      </c>
    </row>
    <row r="2071" spans="1:14" ht="12.75" customHeight="1" x14ac:dyDescent="0.2">
      <c r="A2071" s="567"/>
      <c r="B2071" s="567" t="s">
        <v>1676</v>
      </c>
      <c r="C2071" s="567"/>
      <c r="D2071" s="567"/>
      <c r="E2071" s="567"/>
      <c r="F2071" s="567"/>
      <c r="G2071" s="568" t="s">
        <v>3216</v>
      </c>
      <c r="H2071" s="568" t="s">
        <v>873</v>
      </c>
      <c r="I2071" s="239" t="str">
        <f>IF(ISBLANK(global!I584),"",global!I584)</f>
        <v/>
      </c>
      <c r="K2071" s="262" t="s">
        <v>4249</v>
      </c>
      <c r="N2071" s="262" t="s">
        <v>4249</v>
      </c>
    </row>
    <row r="2072" spans="1:14" ht="12.75" customHeight="1" x14ac:dyDescent="0.2">
      <c r="A2072" s="567"/>
      <c r="B2072" s="567" t="s">
        <v>1678</v>
      </c>
      <c r="C2072" s="567"/>
      <c r="D2072" s="567"/>
      <c r="E2072" s="567"/>
      <c r="F2072" s="567"/>
      <c r="G2072" s="568" t="s">
        <v>3217</v>
      </c>
      <c r="H2072" s="568" t="s">
        <v>1680</v>
      </c>
      <c r="I2072" s="239" t="str">
        <f>IF(ISBLANK(global!I585),"",global!I585)</f>
        <v/>
      </c>
      <c r="K2072" s="262" t="s">
        <v>4249</v>
      </c>
      <c r="N2072" s="262" t="s">
        <v>4249</v>
      </c>
    </row>
    <row r="2073" spans="1:14" ht="12.75" customHeight="1" x14ac:dyDescent="0.2">
      <c r="A2073" s="567"/>
      <c r="B2073" s="567" t="s">
        <v>1683</v>
      </c>
      <c r="C2073" s="567"/>
      <c r="D2073" s="567"/>
      <c r="E2073" s="567"/>
      <c r="F2073" s="567"/>
      <c r="G2073" s="568" t="s">
        <v>3218</v>
      </c>
      <c r="H2073" s="568" t="s">
        <v>1680</v>
      </c>
      <c r="I2073" s="239" t="str">
        <f>IF(ISBLANK(global!I586),"",global!I586)</f>
        <v/>
      </c>
      <c r="K2073" s="262" t="s">
        <v>4249</v>
      </c>
      <c r="N2073" s="262" t="s">
        <v>4249</v>
      </c>
    </row>
    <row r="2074" spans="1:14" ht="12.75" customHeight="1" x14ac:dyDescent="0.2">
      <c r="A2074" s="567"/>
      <c r="B2074" s="567"/>
      <c r="C2074" s="567" t="s">
        <v>1686</v>
      </c>
      <c r="D2074" s="567"/>
      <c r="E2074" s="567"/>
      <c r="F2074" s="567"/>
      <c r="G2074" s="568" t="s">
        <v>3219</v>
      </c>
      <c r="H2074" s="568" t="s">
        <v>873</v>
      </c>
      <c r="I2074" s="239" t="str">
        <f>IF(ISBLANK(global!I587),"",global!I587)</f>
        <v/>
      </c>
      <c r="K2074" s="262" t="s">
        <v>4249</v>
      </c>
      <c r="N2074" s="262" t="s">
        <v>4249</v>
      </c>
    </row>
    <row r="2075" spans="1:14" ht="12.75" customHeight="1" x14ac:dyDescent="0.2">
      <c r="A2075" s="567"/>
      <c r="B2075" s="567"/>
      <c r="C2075" s="567" t="s">
        <v>1648</v>
      </c>
      <c r="D2075" s="567"/>
      <c r="E2075" s="567"/>
      <c r="F2075" s="567"/>
      <c r="G2075" s="568" t="s">
        <v>3220</v>
      </c>
      <c r="H2075" s="568" t="s">
        <v>296</v>
      </c>
      <c r="I2075" s="239" t="str">
        <f>IF(ISBLANK(global!I588),"",global!I588)</f>
        <v/>
      </c>
      <c r="K2075" s="262" t="s">
        <v>4249</v>
      </c>
      <c r="N2075" s="262" t="s">
        <v>4249</v>
      </c>
    </row>
    <row r="2076" spans="1:14" ht="12.75" customHeight="1" x14ac:dyDescent="0.2">
      <c r="A2076" s="567"/>
      <c r="B2076" s="567"/>
      <c r="C2076" s="567" t="s">
        <v>1650</v>
      </c>
      <c r="D2076" s="567"/>
      <c r="E2076" s="567"/>
      <c r="F2076" s="567"/>
      <c r="G2076" s="568" t="s">
        <v>3221</v>
      </c>
      <c r="H2076" s="568" t="s">
        <v>296</v>
      </c>
      <c r="I2076" s="239" t="str">
        <f>IF(ISBLANK(global!I589),"",global!I589)</f>
        <v/>
      </c>
      <c r="K2076" s="262" t="s">
        <v>4249</v>
      </c>
      <c r="N2076" s="262" t="s">
        <v>4249</v>
      </c>
    </row>
    <row r="2077" spans="1:14" ht="12.75" customHeight="1" x14ac:dyDescent="0.2">
      <c r="A2077" s="567"/>
      <c r="B2077" s="567"/>
      <c r="C2077" s="567"/>
      <c r="D2077" s="567" t="s">
        <v>1693</v>
      </c>
      <c r="E2077" s="567"/>
      <c r="F2077" s="567"/>
      <c r="G2077" s="568" t="s">
        <v>3222</v>
      </c>
      <c r="H2077" s="568" t="s">
        <v>820</v>
      </c>
      <c r="I2077" s="239" t="str">
        <f>IF(ISBLANK(global!I590),"",global!I590)</f>
        <v/>
      </c>
      <c r="K2077" s="262" t="s">
        <v>4249</v>
      </c>
      <c r="N2077" s="262" t="s">
        <v>4249</v>
      </c>
    </row>
    <row r="2078" spans="1:14" ht="12.75" customHeight="1" x14ac:dyDescent="0.2">
      <c r="A2078" s="567"/>
      <c r="B2078" s="567"/>
      <c r="C2078" s="567"/>
      <c r="D2078" s="567" t="s">
        <v>1695</v>
      </c>
      <c r="E2078" s="567"/>
      <c r="F2078" s="567"/>
      <c r="G2078" s="568" t="s">
        <v>3223</v>
      </c>
      <c r="H2078" s="568" t="s">
        <v>820</v>
      </c>
      <c r="I2078" s="239" t="str">
        <f>IF(ISBLANK(global!I591),"",global!I591)</f>
        <v/>
      </c>
      <c r="K2078" s="262" t="s">
        <v>4249</v>
      </c>
      <c r="N2078" s="262" t="s">
        <v>4249</v>
      </c>
    </row>
    <row r="2079" spans="1:14" ht="12.75" customHeight="1" x14ac:dyDescent="0.2">
      <c r="A2079" s="567"/>
      <c r="B2079" s="567"/>
      <c r="C2079" s="567"/>
      <c r="D2079" s="567" t="s">
        <v>1697</v>
      </c>
      <c r="E2079" s="567"/>
      <c r="F2079" s="567"/>
      <c r="G2079" s="568" t="s">
        <v>3224</v>
      </c>
      <c r="H2079" s="568" t="s">
        <v>296</v>
      </c>
      <c r="I2079" s="239" t="str">
        <f>IF(ISBLANK(global!I592),"",global!I592)</f>
        <v/>
      </c>
      <c r="K2079" s="262" t="s">
        <v>4249</v>
      </c>
      <c r="N2079" s="262" t="s">
        <v>4249</v>
      </c>
    </row>
    <row r="2080" spans="1:14" ht="12.75" customHeight="1" x14ac:dyDescent="0.2">
      <c r="A2080" s="567"/>
      <c r="B2080" s="567"/>
      <c r="C2080" s="567" t="s">
        <v>1652</v>
      </c>
      <c r="D2080" s="567"/>
      <c r="E2080" s="567"/>
      <c r="F2080" s="567"/>
      <c r="G2080" s="568" t="s">
        <v>3225</v>
      </c>
      <c r="H2080" s="568" t="s">
        <v>296</v>
      </c>
      <c r="I2080" s="239" t="str">
        <f>IF(ISBLANK(global!I593),"",global!I593)</f>
        <v/>
      </c>
      <c r="K2080" s="262" t="s">
        <v>4249</v>
      </c>
      <c r="N2080" s="262" t="s">
        <v>4249</v>
      </c>
    </row>
    <row r="2081" spans="1:14" ht="12.75" customHeight="1" x14ac:dyDescent="0.2">
      <c r="A2081" s="567" t="s">
        <v>2881</v>
      </c>
      <c r="B2081" s="567"/>
      <c r="C2081" s="567"/>
      <c r="D2081" s="567"/>
      <c r="E2081" s="567"/>
      <c r="F2081" s="567"/>
      <c r="G2081" s="568" t="s">
        <v>3226</v>
      </c>
      <c r="H2081" s="568" t="s">
        <v>340</v>
      </c>
      <c r="I2081" s="239" t="str">
        <f>IF(ISBLANK(global!I594),"",global!I594)</f>
        <v/>
      </c>
      <c r="K2081" s="262" t="s">
        <v>4249</v>
      </c>
      <c r="N2081" s="262" t="s">
        <v>4249</v>
      </c>
    </row>
    <row r="2082" spans="1:14" ht="12.75" customHeight="1" x14ac:dyDescent="0.2">
      <c r="A2082" s="567"/>
      <c r="B2082" s="567" t="s">
        <v>1676</v>
      </c>
      <c r="C2082" s="567"/>
      <c r="D2082" s="567"/>
      <c r="E2082" s="567"/>
      <c r="F2082" s="567"/>
      <c r="G2082" s="568" t="s">
        <v>3227</v>
      </c>
      <c r="H2082" s="568" t="s">
        <v>873</v>
      </c>
      <c r="I2082" s="239" t="str">
        <f>IF(ISBLANK(global!I595),"",global!I595)</f>
        <v/>
      </c>
      <c r="K2082" s="262" t="s">
        <v>4249</v>
      </c>
      <c r="N2082" s="262" t="s">
        <v>4249</v>
      </c>
    </row>
    <row r="2083" spans="1:14" ht="12.75" customHeight="1" x14ac:dyDescent="0.2">
      <c r="A2083" s="567"/>
      <c r="B2083" s="567" t="s">
        <v>1683</v>
      </c>
      <c r="C2083" s="567"/>
      <c r="D2083" s="567"/>
      <c r="E2083" s="567"/>
      <c r="F2083" s="567"/>
      <c r="G2083" s="568" t="s">
        <v>3228</v>
      </c>
      <c r="H2083" s="568" t="s">
        <v>1680</v>
      </c>
      <c r="I2083" s="239" t="str">
        <f>IF(ISBLANK(global!I596),"",global!I596)</f>
        <v/>
      </c>
      <c r="K2083" s="262" t="s">
        <v>4249</v>
      </c>
      <c r="N2083" s="262" t="s">
        <v>4249</v>
      </c>
    </row>
    <row r="2084" spans="1:14" ht="12.75" customHeight="1" x14ac:dyDescent="0.2">
      <c r="A2084" s="567"/>
      <c r="B2084" s="567"/>
      <c r="C2084" s="567" t="s">
        <v>1648</v>
      </c>
      <c r="D2084" s="567"/>
      <c r="E2084" s="567"/>
      <c r="F2084" s="567"/>
      <c r="G2084" s="568" t="s">
        <v>3229</v>
      </c>
      <c r="H2084" s="568" t="s">
        <v>296</v>
      </c>
      <c r="I2084" s="239" t="str">
        <f>IF(ISBLANK(global!I597),"",global!I597)</f>
        <v/>
      </c>
      <c r="K2084" s="262" t="s">
        <v>4249</v>
      </c>
      <c r="N2084" s="262" t="s">
        <v>4249</v>
      </c>
    </row>
    <row r="2085" spans="1:14" ht="12.75" customHeight="1" x14ac:dyDescent="0.2">
      <c r="A2085" s="567"/>
      <c r="B2085" s="567"/>
      <c r="C2085" s="567" t="s">
        <v>1650</v>
      </c>
      <c r="D2085" s="567"/>
      <c r="E2085" s="567"/>
      <c r="F2085" s="567"/>
      <c r="G2085" s="568" t="s">
        <v>3230</v>
      </c>
      <c r="H2085" s="568" t="s">
        <v>296</v>
      </c>
      <c r="I2085" s="239" t="str">
        <f>IF(ISBLANK(global!I598),"",global!I598)</f>
        <v/>
      </c>
      <c r="K2085" s="262" t="s">
        <v>4249</v>
      </c>
      <c r="N2085" s="262" t="s">
        <v>4249</v>
      </c>
    </row>
    <row r="2086" spans="1:14" ht="12.75" customHeight="1" x14ac:dyDescent="0.2">
      <c r="A2086" s="567"/>
      <c r="B2086" s="567"/>
      <c r="C2086" s="567" t="s">
        <v>1652</v>
      </c>
      <c r="D2086" s="567"/>
      <c r="E2086" s="567"/>
      <c r="F2086" s="567"/>
      <c r="G2086" s="568" t="s">
        <v>3231</v>
      </c>
      <c r="H2086" s="568" t="s">
        <v>296</v>
      </c>
      <c r="I2086" s="239" t="str">
        <f>IF(ISBLANK(global!I599),"",global!I599)</f>
        <v/>
      </c>
      <c r="K2086" s="262" t="s">
        <v>4249</v>
      </c>
      <c r="N2086" s="262" t="s">
        <v>4249</v>
      </c>
    </row>
    <row r="2087" spans="1:14" ht="12.75" customHeight="1" x14ac:dyDescent="0.2">
      <c r="A2087" s="567" t="s">
        <v>2888</v>
      </c>
      <c r="B2087" s="567"/>
      <c r="C2087" s="567"/>
      <c r="D2087" s="567"/>
      <c r="E2087" s="567"/>
      <c r="F2087" s="567"/>
      <c r="G2087" s="568" t="s">
        <v>3232</v>
      </c>
      <c r="H2087" s="568" t="s">
        <v>340</v>
      </c>
      <c r="I2087" s="239" t="str">
        <f>IF(ISBLANK(global!I600),"",global!I600)</f>
        <v/>
      </c>
      <c r="K2087" s="262" t="s">
        <v>4249</v>
      </c>
      <c r="N2087" s="262" t="s">
        <v>4249</v>
      </c>
    </row>
    <row r="2088" spans="1:14" ht="12.75" customHeight="1" x14ac:dyDescent="0.2">
      <c r="A2088" s="567" t="s">
        <v>2890</v>
      </c>
      <c r="B2088" s="567"/>
      <c r="C2088" s="567"/>
      <c r="D2088" s="567"/>
      <c r="E2088" s="567"/>
      <c r="F2088" s="567"/>
      <c r="G2088" s="568" t="s">
        <v>3233</v>
      </c>
      <c r="H2088" s="568" t="s">
        <v>340</v>
      </c>
      <c r="I2088" s="239" t="str">
        <f>IF(ISBLANK(global!I601),"",global!I601)</f>
        <v/>
      </c>
      <c r="K2088" s="262" t="s">
        <v>4249</v>
      </c>
      <c r="N2088" s="262" t="s">
        <v>4249</v>
      </c>
    </row>
    <row r="2089" spans="1:14" ht="12.75" customHeight="1" x14ac:dyDescent="0.2">
      <c r="A2089" s="567"/>
      <c r="B2089" s="567" t="s">
        <v>1676</v>
      </c>
      <c r="C2089" s="567"/>
      <c r="D2089" s="567"/>
      <c r="E2089" s="567"/>
      <c r="F2089" s="567"/>
      <c r="G2089" s="568" t="s">
        <v>3234</v>
      </c>
      <c r="H2089" s="568" t="s">
        <v>873</v>
      </c>
      <c r="I2089" s="239" t="str">
        <f>IF(ISBLANK(global!I602),"",global!I602)</f>
        <v/>
      </c>
      <c r="K2089" s="262" t="s">
        <v>4249</v>
      </c>
      <c r="N2089" s="262" t="s">
        <v>4249</v>
      </c>
    </row>
    <row r="2090" spans="1:14" ht="12.75" customHeight="1" x14ac:dyDescent="0.2">
      <c r="A2090" s="567"/>
      <c r="B2090" s="567"/>
      <c r="C2090" s="567" t="s">
        <v>1772</v>
      </c>
      <c r="D2090" s="567"/>
      <c r="E2090" s="567"/>
      <c r="F2090" s="567"/>
      <c r="G2090" s="567" t="s">
        <v>3235</v>
      </c>
      <c r="H2090" s="568" t="s">
        <v>1680</v>
      </c>
      <c r="I2090" s="239" t="str">
        <f>IF(ISBLANK(global!I603),"",global!I603)</f>
        <v/>
      </c>
      <c r="K2090" s="262" t="s">
        <v>4249</v>
      </c>
      <c r="N2090" s="262" t="s">
        <v>4249</v>
      </c>
    </row>
    <row r="2091" spans="1:14" ht="12.75" customHeight="1" x14ac:dyDescent="0.2">
      <c r="A2091" s="567"/>
      <c r="B2091" s="567"/>
      <c r="C2091" s="567" t="s">
        <v>2894</v>
      </c>
      <c r="D2091" s="567"/>
      <c r="E2091" s="567"/>
      <c r="F2091" s="567"/>
      <c r="G2091" s="568" t="s">
        <v>3236</v>
      </c>
      <c r="H2091" s="568" t="s">
        <v>1680</v>
      </c>
      <c r="I2091" s="239" t="str">
        <f>IF(ISBLANK(global!I604),"",global!I604)</f>
        <v/>
      </c>
      <c r="K2091" s="262" t="s">
        <v>4249</v>
      </c>
      <c r="N2091" s="262" t="s">
        <v>4249</v>
      </c>
    </row>
    <row r="2092" spans="1:14" ht="12.75" customHeight="1" x14ac:dyDescent="0.2">
      <c r="A2092" s="567"/>
      <c r="B2092" s="567"/>
      <c r="C2092" s="567" t="s">
        <v>1760</v>
      </c>
      <c r="D2092" s="567"/>
      <c r="E2092" s="567"/>
      <c r="F2092" s="567"/>
      <c r="G2092" s="568" t="s">
        <v>3237</v>
      </c>
      <c r="H2092" s="568" t="s">
        <v>873</v>
      </c>
      <c r="I2092" s="239" t="str">
        <f>IF(ISBLANK(global!I605),"",global!I605)</f>
        <v/>
      </c>
      <c r="K2092" s="262" t="s">
        <v>4249</v>
      </c>
      <c r="N2092" s="262" t="s">
        <v>4249</v>
      </c>
    </row>
    <row r="2093" spans="1:14" ht="12.75" customHeight="1" x14ac:dyDescent="0.2">
      <c r="A2093" s="567"/>
      <c r="B2093" s="567"/>
      <c r="C2093" s="567"/>
      <c r="D2093" s="567" t="s">
        <v>1648</v>
      </c>
      <c r="E2093" s="567"/>
      <c r="F2093" s="567"/>
      <c r="G2093" s="568" t="s">
        <v>3238</v>
      </c>
      <c r="H2093" s="568" t="s">
        <v>296</v>
      </c>
      <c r="I2093" s="239" t="str">
        <f>IF(ISBLANK(global!I606),"",global!I606)</f>
        <v/>
      </c>
      <c r="K2093" s="262" t="s">
        <v>4249</v>
      </c>
      <c r="N2093" s="262" t="s">
        <v>4249</v>
      </c>
    </row>
    <row r="2094" spans="1:14" ht="12.75" customHeight="1" x14ac:dyDescent="0.2">
      <c r="A2094" s="567"/>
      <c r="B2094" s="567"/>
      <c r="C2094" s="567"/>
      <c r="D2094" s="567" t="s">
        <v>1652</v>
      </c>
      <c r="E2094" s="567"/>
      <c r="F2094" s="567"/>
      <c r="G2094" s="568" t="s">
        <v>3239</v>
      </c>
      <c r="H2094" s="568" t="s">
        <v>296</v>
      </c>
      <c r="I2094" s="239" t="str">
        <f>IF(ISBLANK(global!I607),"",global!I607)</f>
        <v/>
      </c>
      <c r="K2094" s="262" t="s">
        <v>4249</v>
      </c>
      <c r="N2094" s="262" t="s">
        <v>4249</v>
      </c>
    </row>
    <row r="2095" spans="1:14" ht="12.75" customHeight="1" x14ac:dyDescent="0.2">
      <c r="A2095" s="567" t="s">
        <v>2899</v>
      </c>
      <c r="B2095" s="567"/>
      <c r="C2095" s="567"/>
      <c r="D2095" s="567"/>
      <c r="E2095" s="567"/>
      <c r="F2095" s="567"/>
      <c r="G2095" s="567" t="s">
        <v>3240</v>
      </c>
      <c r="H2095" s="568" t="s">
        <v>340</v>
      </c>
      <c r="I2095" s="239" t="str">
        <f>IF(ISBLANK(global!I608),"",global!I608)</f>
        <v/>
      </c>
      <c r="K2095" s="262" t="s">
        <v>4249</v>
      </c>
      <c r="N2095" s="262" t="s">
        <v>4249</v>
      </c>
    </row>
    <row r="2096" spans="1:14" ht="12.75" customHeight="1" x14ac:dyDescent="0.2">
      <c r="A2096" s="567"/>
      <c r="B2096" s="567" t="s">
        <v>1676</v>
      </c>
      <c r="C2096" s="567"/>
      <c r="D2096" s="567"/>
      <c r="E2096" s="567"/>
      <c r="F2096" s="567"/>
      <c r="G2096" s="568" t="s">
        <v>3241</v>
      </c>
      <c r="H2096" s="568" t="s">
        <v>873</v>
      </c>
      <c r="I2096" s="239" t="str">
        <f>IF(ISBLANK(global!I609),"",global!I609)</f>
        <v/>
      </c>
      <c r="K2096" s="262" t="s">
        <v>4249</v>
      </c>
      <c r="N2096" s="262" t="s">
        <v>4249</v>
      </c>
    </row>
    <row r="2097" spans="1:14" ht="12.75" customHeight="1" x14ac:dyDescent="0.2">
      <c r="A2097" s="567"/>
      <c r="B2097" s="567"/>
      <c r="C2097" s="567" t="s">
        <v>1758</v>
      </c>
      <c r="D2097" s="567"/>
      <c r="E2097" s="567"/>
      <c r="F2097" s="567"/>
      <c r="G2097" s="568" t="s">
        <v>3242</v>
      </c>
      <c r="H2097" s="568" t="s">
        <v>1680</v>
      </c>
      <c r="I2097" s="239" t="str">
        <f>IF(ISBLANK(global!I610),"",global!I610)</f>
        <v/>
      </c>
      <c r="K2097" s="262" t="s">
        <v>4249</v>
      </c>
      <c r="N2097" s="262" t="s">
        <v>4249</v>
      </c>
    </row>
    <row r="2098" spans="1:14" ht="12.75" customHeight="1" x14ac:dyDescent="0.2">
      <c r="A2098" s="567"/>
      <c r="B2098" s="567"/>
      <c r="C2098" s="567"/>
      <c r="D2098" s="567" t="s">
        <v>1648</v>
      </c>
      <c r="E2098" s="567"/>
      <c r="F2098" s="567"/>
      <c r="G2098" s="568" t="s">
        <v>3243</v>
      </c>
      <c r="H2098" s="568" t="s">
        <v>296</v>
      </c>
      <c r="I2098" s="239" t="str">
        <f>IF(ISBLANK(global!I611),"",global!I611)</f>
        <v/>
      </c>
      <c r="K2098" s="262" t="s">
        <v>4249</v>
      </c>
      <c r="N2098" s="262" t="s">
        <v>4249</v>
      </c>
    </row>
    <row r="2099" spans="1:14" ht="12.75" customHeight="1" x14ac:dyDescent="0.2">
      <c r="A2099" s="567"/>
      <c r="B2099" s="567"/>
      <c r="C2099" s="567"/>
      <c r="D2099" s="567" t="s">
        <v>1652</v>
      </c>
      <c r="E2099" s="567"/>
      <c r="F2099" s="567"/>
      <c r="G2099" s="568" t="s">
        <v>3244</v>
      </c>
      <c r="H2099" s="568" t="s">
        <v>296</v>
      </c>
      <c r="I2099" s="239" t="str">
        <f>IF(ISBLANK(global!I612),"",global!I612)</f>
        <v/>
      </c>
      <c r="K2099" s="262" t="s">
        <v>4249</v>
      </c>
      <c r="N2099" s="262" t="s">
        <v>4249</v>
      </c>
    </row>
    <row r="2100" spans="1:14" ht="12.75" customHeight="1" x14ac:dyDescent="0.2">
      <c r="A2100" s="567" t="s">
        <v>2905</v>
      </c>
      <c r="B2100" s="567"/>
      <c r="C2100" s="567"/>
      <c r="D2100" s="567"/>
      <c r="E2100" s="567"/>
      <c r="F2100" s="567"/>
      <c r="G2100" s="567" t="s">
        <v>3245</v>
      </c>
      <c r="H2100" s="568" t="s">
        <v>340</v>
      </c>
      <c r="I2100" s="239" t="str">
        <f>IF(ISBLANK(global!I613),"",global!I613)</f>
        <v/>
      </c>
      <c r="K2100" s="262" t="s">
        <v>4249</v>
      </c>
      <c r="N2100" s="262" t="s">
        <v>4249</v>
      </c>
    </row>
    <row r="2101" spans="1:14" ht="12.75" customHeight="1" x14ac:dyDescent="0.2">
      <c r="A2101" s="567" t="s">
        <v>2907</v>
      </c>
      <c r="B2101" s="567"/>
      <c r="C2101" s="567"/>
      <c r="D2101" s="567"/>
      <c r="E2101" s="567"/>
      <c r="F2101" s="567"/>
      <c r="G2101" s="568" t="s">
        <v>3246</v>
      </c>
      <c r="H2101" s="568" t="s">
        <v>340</v>
      </c>
      <c r="I2101" s="239" t="str">
        <f>IF(ISBLANK(global!I614),"",global!I614)</f>
        <v/>
      </c>
      <c r="K2101" s="262" t="s">
        <v>4249</v>
      </c>
      <c r="N2101" s="262" t="s">
        <v>4249</v>
      </c>
    </row>
    <row r="2102" spans="1:14" ht="12.75" customHeight="1" x14ac:dyDescent="0.2">
      <c r="A2102" s="567" t="s">
        <v>2909</v>
      </c>
      <c r="B2102" s="567"/>
      <c r="C2102" s="567"/>
      <c r="D2102" s="567"/>
      <c r="E2102" s="567"/>
      <c r="F2102" s="567"/>
      <c r="G2102" s="568" t="s">
        <v>3247</v>
      </c>
      <c r="H2102" s="568" t="s">
        <v>340</v>
      </c>
      <c r="I2102" s="239" t="str">
        <f>IF(ISBLANK(global!I615),"",global!I615)</f>
        <v/>
      </c>
      <c r="K2102" s="262" t="s">
        <v>4249</v>
      </c>
      <c r="N2102" s="262" t="s">
        <v>4249</v>
      </c>
    </row>
    <row r="2103" spans="1:14" ht="12.75" customHeight="1" x14ac:dyDescent="0.2">
      <c r="A2103" s="567" t="s">
        <v>2911</v>
      </c>
      <c r="B2103" s="567"/>
      <c r="C2103" s="567"/>
      <c r="D2103" s="567"/>
      <c r="E2103" s="567"/>
      <c r="F2103" s="567"/>
      <c r="G2103" s="568" t="s">
        <v>3248</v>
      </c>
      <c r="H2103" s="568" t="s">
        <v>340</v>
      </c>
      <c r="I2103" s="239" t="str">
        <f>IF(ISBLANK(global!I616),"",global!I616)</f>
        <v/>
      </c>
      <c r="K2103" s="262" t="s">
        <v>4249</v>
      </c>
      <c r="N2103" s="262" t="s">
        <v>4249</v>
      </c>
    </row>
    <row r="2104" spans="1:14" ht="12.75" customHeight="1" x14ac:dyDescent="0.2">
      <c r="A2104" s="567" t="s">
        <v>2913</v>
      </c>
      <c r="B2104" s="567"/>
      <c r="C2104" s="567"/>
      <c r="D2104" s="567"/>
      <c r="E2104" s="567"/>
      <c r="F2104" s="567"/>
      <c r="G2104" s="568" t="s">
        <v>3249</v>
      </c>
      <c r="H2104" s="568" t="s">
        <v>340</v>
      </c>
      <c r="I2104" s="239" t="str">
        <f>IF(ISBLANK(global!I617),"",global!I617)</f>
        <v/>
      </c>
      <c r="K2104" s="262" t="s">
        <v>4249</v>
      </c>
      <c r="N2104" s="262" t="s">
        <v>4249</v>
      </c>
    </row>
    <row r="2105" spans="1:14" ht="12.75" customHeight="1" x14ac:dyDescent="0.2">
      <c r="A2105" s="567" t="s">
        <v>2915</v>
      </c>
      <c r="B2105" s="567"/>
      <c r="C2105" s="567"/>
      <c r="D2105" s="567"/>
      <c r="E2105" s="567"/>
      <c r="F2105" s="567"/>
      <c r="G2105" s="568" t="s">
        <v>3250</v>
      </c>
      <c r="H2105" s="568" t="s">
        <v>340</v>
      </c>
      <c r="I2105" s="239" t="str">
        <f>IF(ISBLANK(global!I618),"",global!I618)</f>
        <v/>
      </c>
      <c r="K2105" s="262" t="s">
        <v>4249</v>
      </c>
      <c r="N2105" s="262" t="s">
        <v>4249</v>
      </c>
    </row>
    <row r="2106" spans="1:14" ht="12.75" customHeight="1" x14ac:dyDescent="0.2">
      <c r="A2106" s="567" t="s">
        <v>2917</v>
      </c>
      <c r="B2106" s="567"/>
      <c r="C2106" s="567"/>
      <c r="D2106" s="567"/>
      <c r="E2106" s="567"/>
      <c r="F2106" s="567"/>
      <c r="G2106" s="568" t="s">
        <v>3251</v>
      </c>
      <c r="H2106" s="568" t="s">
        <v>340</v>
      </c>
      <c r="I2106" s="239" t="str">
        <f>IF(ISBLANK(global!I619),"",global!I619)</f>
        <v/>
      </c>
      <c r="K2106" s="262" t="s">
        <v>4249</v>
      </c>
      <c r="N2106" s="262" t="s">
        <v>4249</v>
      </c>
    </row>
    <row r="2107" spans="1:14" ht="12.75" customHeight="1" x14ac:dyDescent="0.2">
      <c r="A2107" s="567" t="s">
        <v>2919</v>
      </c>
      <c r="B2107" s="567"/>
      <c r="C2107" s="567"/>
      <c r="D2107" s="567"/>
      <c r="E2107" s="567"/>
      <c r="F2107" s="567"/>
      <c r="G2107" s="568" t="s">
        <v>3252</v>
      </c>
      <c r="H2107" s="568" t="s">
        <v>340</v>
      </c>
      <c r="I2107" s="239" t="str">
        <f>IF(ISBLANK(global!I620),"",global!I620)</f>
        <v/>
      </c>
      <c r="K2107" s="262" t="s">
        <v>4249</v>
      </c>
      <c r="N2107" s="262" t="s">
        <v>4249</v>
      </c>
    </row>
    <row r="2108" spans="1:14" ht="12.75" customHeight="1" x14ac:dyDescent="0.2">
      <c r="A2108" s="567" t="s">
        <v>2922</v>
      </c>
      <c r="B2108" s="567"/>
      <c r="C2108" s="567"/>
      <c r="D2108" s="567"/>
      <c r="E2108" s="567"/>
      <c r="F2108" s="567"/>
      <c r="G2108" s="568" t="s">
        <v>3253</v>
      </c>
      <c r="H2108" s="568" t="s">
        <v>340</v>
      </c>
      <c r="I2108" s="239" t="str">
        <f>IF(ISBLANK(global!I621),"",global!I621)</f>
        <v/>
      </c>
      <c r="K2108" s="262" t="s">
        <v>4249</v>
      </c>
      <c r="N2108" s="262" t="s">
        <v>4249</v>
      </c>
    </row>
    <row r="2109" spans="1:14" ht="12.75" customHeight="1" x14ac:dyDescent="0.2">
      <c r="A2109" s="567" t="s">
        <v>2924</v>
      </c>
      <c r="B2109" s="567"/>
      <c r="C2109" s="567"/>
      <c r="D2109" s="567"/>
      <c r="E2109" s="567"/>
      <c r="F2109" s="567"/>
      <c r="G2109" s="568" t="s">
        <v>3254</v>
      </c>
      <c r="H2109" s="568" t="s">
        <v>340</v>
      </c>
      <c r="I2109" s="239" t="str">
        <f>IF(ISBLANK(global!I622),"",global!I622)</f>
        <v/>
      </c>
      <c r="K2109" s="262" t="s">
        <v>4249</v>
      </c>
      <c r="N2109" s="262" t="s">
        <v>4249</v>
      </c>
    </row>
    <row r="2110" spans="1:14" ht="12.75" customHeight="1" x14ac:dyDescent="0.2">
      <c r="A2110" s="567" t="s">
        <v>2926</v>
      </c>
      <c r="B2110" s="567"/>
      <c r="C2110" s="567"/>
      <c r="D2110" s="567"/>
      <c r="E2110" s="567"/>
      <c r="F2110" s="567"/>
      <c r="G2110" s="568" t="s">
        <v>3255</v>
      </c>
      <c r="H2110" s="568" t="s">
        <v>340</v>
      </c>
      <c r="I2110" s="239" t="str">
        <f>IF(ISBLANK(global!I623),"",global!I623)</f>
        <v/>
      </c>
      <c r="K2110" s="262" t="s">
        <v>4249</v>
      </c>
      <c r="N2110" s="262" t="s">
        <v>4249</v>
      </c>
    </row>
    <row r="2111" spans="1:14" ht="12.75" customHeight="1" x14ac:dyDescent="0.2">
      <c r="A2111" s="567" t="s">
        <v>2928</v>
      </c>
      <c r="B2111" s="567"/>
      <c r="C2111" s="567"/>
      <c r="D2111" s="567"/>
      <c r="E2111" s="567"/>
      <c r="F2111" s="567"/>
      <c r="G2111" s="568" t="s">
        <v>3256</v>
      </c>
      <c r="H2111" s="568" t="s">
        <v>340</v>
      </c>
      <c r="I2111" s="239" t="str">
        <f>IF(ISBLANK(global!I624),"",global!I624)</f>
        <v/>
      </c>
      <c r="K2111" s="262" t="s">
        <v>4249</v>
      </c>
      <c r="N2111" s="262" t="s">
        <v>4249</v>
      </c>
    </row>
    <row r="2112" spans="1:14" ht="12.75" customHeight="1" x14ac:dyDescent="0.2">
      <c r="A2112" s="567" t="s">
        <v>3257</v>
      </c>
      <c r="B2112" s="567"/>
      <c r="C2112" s="567"/>
      <c r="D2112" s="567"/>
      <c r="E2112" s="567"/>
      <c r="F2112" s="567"/>
      <c r="G2112" s="568" t="s">
        <v>3258</v>
      </c>
      <c r="H2112" s="568" t="s">
        <v>340</v>
      </c>
      <c r="I2112" s="239" t="str">
        <f>IF(ISBLANK(global!I625),"",global!I625)</f>
        <v/>
      </c>
      <c r="K2112" s="262" t="s">
        <v>4249</v>
      </c>
      <c r="N2112" s="262" t="s">
        <v>4249</v>
      </c>
    </row>
    <row r="2113" spans="1:14" ht="12.75" customHeight="1" x14ac:dyDescent="0.2">
      <c r="A2113" s="567" t="s">
        <v>2932</v>
      </c>
      <c r="B2113" s="567"/>
      <c r="C2113" s="567"/>
      <c r="D2113" s="567"/>
      <c r="E2113" s="567"/>
      <c r="F2113" s="567"/>
      <c r="G2113" s="568" t="s">
        <v>3259</v>
      </c>
      <c r="H2113" s="568" t="s">
        <v>340</v>
      </c>
      <c r="I2113" s="239" t="str">
        <f>IF(ISBLANK(global!I626),"",global!I626)</f>
        <v/>
      </c>
      <c r="K2113" s="262" t="s">
        <v>4249</v>
      </c>
      <c r="N2113" s="262" t="s">
        <v>4249</v>
      </c>
    </row>
    <row r="2114" spans="1:14" ht="12.75" customHeight="1" x14ac:dyDescent="0.2">
      <c r="A2114" s="567" t="s">
        <v>2934</v>
      </c>
      <c r="B2114" s="567"/>
      <c r="C2114" s="567"/>
      <c r="D2114" s="567"/>
      <c r="E2114" s="567"/>
      <c r="F2114" s="567"/>
      <c r="G2114" s="568" t="s">
        <v>3260</v>
      </c>
      <c r="H2114" s="568" t="s">
        <v>340</v>
      </c>
      <c r="I2114" s="239" t="str">
        <f>IF(ISBLANK(global!I627),"",global!I627)</f>
        <v/>
      </c>
      <c r="K2114" s="262" t="s">
        <v>4249</v>
      </c>
      <c r="N2114" s="262" t="s">
        <v>4249</v>
      </c>
    </row>
    <row r="2115" spans="1:14" ht="12.75" customHeight="1" x14ac:dyDescent="0.2">
      <c r="A2115" s="567" t="s">
        <v>2936</v>
      </c>
      <c r="B2115" s="567"/>
      <c r="C2115" s="567"/>
      <c r="D2115" s="567"/>
      <c r="E2115" s="567"/>
      <c r="F2115" s="567"/>
      <c r="G2115" s="568" t="s">
        <v>3261</v>
      </c>
      <c r="H2115" s="568" t="s">
        <v>340</v>
      </c>
      <c r="I2115" s="239" t="str">
        <f>IF(ISBLANK(global!I628),"",global!I628)</f>
        <v/>
      </c>
      <c r="K2115" s="262" t="s">
        <v>4249</v>
      </c>
      <c r="N2115" s="262" t="s">
        <v>4249</v>
      </c>
    </row>
    <row r="2116" spans="1:14" ht="12.75" customHeight="1" x14ac:dyDescent="0.2">
      <c r="A2116" s="567" t="s">
        <v>1867</v>
      </c>
      <c r="B2116" s="567"/>
      <c r="C2116" s="567"/>
      <c r="D2116" s="567"/>
      <c r="E2116" s="567"/>
      <c r="F2116" s="567"/>
      <c r="G2116" s="568" t="s">
        <v>3262</v>
      </c>
      <c r="H2116" s="568" t="s">
        <v>340</v>
      </c>
      <c r="I2116" s="239" t="str">
        <f>IF(ISBLANK(global!I629),"",global!I629)</f>
        <v/>
      </c>
      <c r="K2116" s="262" t="s">
        <v>4249</v>
      </c>
      <c r="N2116" s="262" t="s">
        <v>4249</v>
      </c>
    </row>
    <row r="2117" spans="1:14" ht="12.75" customHeight="1" x14ac:dyDescent="0.2">
      <c r="A2117" s="567" t="s">
        <v>1874</v>
      </c>
      <c r="B2117" s="567"/>
      <c r="C2117" s="567"/>
      <c r="D2117" s="567"/>
      <c r="E2117" s="567"/>
      <c r="F2117" s="567"/>
      <c r="G2117" s="568" t="s">
        <v>3263</v>
      </c>
      <c r="H2117" s="568" t="s">
        <v>340</v>
      </c>
      <c r="I2117" s="239" t="str">
        <f>IF(ISBLANK(global!I630),"",global!I630)</f>
        <v/>
      </c>
      <c r="K2117" s="262" t="s">
        <v>4249</v>
      </c>
      <c r="N2117" s="262" t="s">
        <v>4249</v>
      </c>
    </row>
    <row r="2118" spans="1:14" ht="12.75" customHeight="1" x14ac:dyDescent="0.2">
      <c r="A2118" s="567" t="s">
        <v>1880</v>
      </c>
      <c r="B2118" s="567"/>
      <c r="C2118" s="567"/>
      <c r="D2118" s="567"/>
      <c r="E2118" s="567"/>
      <c r="F2118" s="567"/>
      <c r="G2118" s="568" t="s">
        <v>3264</v>
      </c>
      <c r="H2118" s="568" t="s">
        <v>340</v>
      </c>
      <c r="I2118" s="239" t="str">
        <f>IF(ISBLANK(global!I631),"",global!I631)</f>
        <v/>
      </c>
      <c r="K2118" s="262" t="s">
        <v>4249</v>
      </c>
      <c r="N2118" s="262" t="s">
        <v>4249</v>
      </c>
    </row>
    <row r="2119" spans="1:14" ht="12.75" customHeight="1" x14ac:dyDescent="0.2">
      <c r="A2119" s="631" t="s">
        <v>3265</v>
      </c>
      <c r="B2119" s="413"/>
      <c r="C2119" s="413"/>
      <c r="D2119" s="413"/>
      <c r="E2119" s="413"/>
      <c r="F2119" s="413"/>
      <c r="G2119" s="631"/>
      <c r="H2119" s="631"/>
      <c r="I2119" s="239" t="str">
        <f>IF(ISBLANK(global!I632),"",global!I632)</f>
        <v/>
      </c>
      <c r="K2119" s="262" t="s">
        <v>4249</v>
      </c>
      <c r="N2119" s="262" t="s">
        <v>4249</v>
      </c>
    </row>
    <row r="2120" spans="1:14" ht="12.75" customHeight="1" x14ac:dyDescent="0.2">
      <c r="A2120" s="568" t="s">
        <v>1322</v>
      </c>
      <c r="B2120" s="567"/>
      <c r="C2120" s="567"/>
      <c r="D2120" s="567"/>
      <c r="E2120" s="567"/>
      <c r="F2120" s="567"/>
      <c r="G2120" s="568" t="s">
        <v>3266</v>
      </c>
      <c r="H2120" s="568" t="s">
        <v>624</v>
      </c>
      <c r="I2120" s="239" t="str">
        <f>IF(ISBLANK(global!I633),"",global!I633)</f>
        <v/>
      </c>
      <c r="K2120" s="262" t="s">
        <v>4249</v>
      </c>
      <c r="N2120" s="262" t="s">
        <v>4249</v>
      </c>
    </row>
    <row r="2121" spans="1:14" ht="12.75" customHeight="1" x14ac:dyDescent="0.2">
      <c r="A2121" s="568" t="s">
        <v>1322</v>
      </c>
      <c r="B2121" s="567"/>
      <c r="C2121" s="567"/>
      <c r="D2121" s="567"/>
      <c r="E2121" s="567"/>
      <c r="F2121" s="567"/>
      <c r="G2121" s="568" t="s">
        <v>3267</v>
      </c>
      <c r="H2121" s="568" t="s">
        <v>624</v>
      </c>
      <c r="I2121" s="239" t="str">
        <f>IF(ISBLANK(global!I634),"",global!I634)</f>
        <v/>
      </c>
      <c r="K2121" s="262" t="s">
        <v>4249</v>
      </c>
      <c r="N2121" s="262" t="s">
        <v>4249</v>
      </c>
    </row>
    <row r="2122" spans="1:14" ht="12.75" customHeight="1" x14ac:dyDescent="0.2">
      <c r="A2122" s="568" t="s">
        <v>1322</v>
      </c>
      <c r="B2122" s="567"/>
      <c r="C2122" s="567"/>
      <c r="D2122" s="567"/>
      <c r="E2122" s="567"/>
      <c r="F2122" s="567"/>
      <c r="G2122" s="568" t="s">
        <v>3268</v>
      </c>
      <c r="H2122" s="568" t="s">
        <v>624</v>
      </c>
      <c r="I2122" s="239" t="str">
        <f>IF(ISBLANK(global!I635),"",global!I635)</f>
        <v/>
      </c>
      <c r="K2122" s="262" t="s">
        <v>4249</v>
      </c>
      <c r="N2122" s="262" t="s">
        <v>4249</v>
      </c>
    </row>
    <row r="2123" spans="1:14" ht="12.75" customHeight="1" x14ac:dyDescent="0.2">
      <c r="A2123" s="568" t="s">
        <v>1324</v>
      </c>
      <c r="B2123" s="567"/>
      <c r="C2123" s="567"/>
      <c r="D2123" s="567"/>
      <c r="E2123" s="567"/>
      <c r="F2123" s="567"/>
      <c r="G2123" s="568" t="s">
        <v>3269</v>
      </c>
      <c r="H2123" s="568" t="s">
        <v>624</v>
      </c>
      <c r="I2123" s="239" t="str">
        <f>IF(ISBLANK(global!I636),"",global!I636)</f>
        <v/>
      </c>
      <c r="K2123" s="262" t="s">
        <v>4249</v>
      </c>
      <c r="N2123" s="262" t="s">
        <v>4249</v>
      </c>
    </row>
    <row r="2124" spans="1:14" ht="12.75" customHeight="1" x14ac:dyDescent="0.2">
      <c r="A2124" s="568" t="s">
        <v>1324</v>
      </c>
      <c r="B2124" s="567"/>
      <c r="C2124" s="567"/>
      <c r="D2124" s="567"/>
      <c r="E2124" s="567"/>
      <c r="F2124" s="567"/>
      <c r="G2124" s="568" t="s">
        <v>3270</v>
      </c>
      <c r="H2124" s="568" t="s">
        <v>624</v>
      </c>
      <c r="I2124" s="239" t="str">
        <f>IF(ISBLANK(global!I637),"",global!I637)</f>
        <v/>
      </c>
      <c r="K2124" s="262" t="s">
        <v>4249</v>
      </c>
      <c r="N2124" s="262" t="s">
        <v>4249</v>
      </c>
    </row>
    <row r="2125" spans="1:14" ht="12.75" customHeight="1" x14ac:dyDescent="0.2">
      <c r="A2125" s="568" t="s">
        <v>1324</v>
      </c>
      <c r="B2125" s="567"/>
      <c r="C2125" s="567"/>
      <c r="D2125" s="567"/>
      <c r="E2125" s="567"/>
      <c r="F2125" s="567"/>
      <c r="G2125" s="568" t="s">
        <v>3271</v>
      </c>
      <c r="H2125" s="568" t="s">
        <v>624</v>
      </c>
      <c r="I2125" s="239" t="str">
        <f>IF(ISBLANK(global!I638),"",global!I638)</f>
        <v/>
      </c>
      <c r="K2125" s="262" t="s">
        <v>4249</v>
      </c>
      <c r="N2125" s="262" t="s">
        <v>4249</v>
      </c>
    </row>
    <row r="2126" spans="1:14" ht="12.75" customHeight="1" x14ac:dyDescent="0.2">
      <c r="A2126" s="568" t="s">
        <v>1326</v>
      </c>
      <c r="B2126" s="567"/>
      <c r="C2126" s="567"/>
      <c r="D2126" s="567"/>
      <c r="E2126" s="567"/>
      <c r="F2126" s="567"/>
      <c r="G2126" s="568" t="s">
        <v>3272</v>
      </c>
      <c r="H2126" s="568" t="s">
        <v>624</v>
      </c>
      <c r="I2126" s="239" t="str">
        <f>IF(ISBLANK(global!I639),"",global!I639)</f>
        <v/>
      </c>
      <c r="K2126" s="262" t="s">
        <v>4249</v>
      </c>
      <c r="N2126" s="262" t="s">
        <v>4249</v>
      </c>
    </row>
    <row r="2127" spans="1:14" ht="12.75" customHeight="1" x14ac:dyDescent="0.2">
      <c r="A2127" s="568" t="s">
        <v>1326</v>
      </c>
      <c r="B2127" s="567"/>
      <c r="C2127" s="567"/>
      <c r="D2127" s="567"/>
      <c r="E2127" s="567"/>
      <c r="F2127" s="567"/>
      <c r="G2127" s="568" t="s">
        <v>3273</v>
      </c>
      <c r="H2127" s="568" t="s">
        <v>624</v>
      </c>
      <c r="I2127" s="239" t="str">
        <f>IF(ISBLANK(global!I640),"",global!I640)</f>
        <v/>
      </c>
      <c r="K2127" s="262" t="s">
        <v>4249</v>
      </c>
      <c r="N2127" s="262" t="s">
        <v>4249</v>
      </c>
    </row>
    <row r="2128" spans="1:14" ht="12.75" customHeight="1" x14ac:dyDescent="0.2">
      <c r="A2128" s="568" t="s">
        <v>1326</v>
      </c>
      <c r="B2128" s="567"/>
      <c r="C2128" s="567"/>
      <c r="D2128" s="567"/>
      <c r="E2128" s="567"/>
      <c r="F2128" s="567"/>
      <c r="G2128" s="568" t="s">
        <v>3274</v>
      </c>
      <c r="H2128" s="568" t="s">
        <v>624</v>
      </c>
      <c r="I2128" s="239" t="str">
        <f>IF(ISBLANK(global!I641),"",global!I641)</f>
        <v/>
      </c>
      <c r="K2128" s="262" t="s">
        <v>4249</v>
      </c>
      <c r="N2128" s="262" t="s">
        <v>4249</v>
      </c>
    </row>
    <row r="2129" spans="1:14" ht="12.75" customHeight="1" x14ac:dyDescent="0.2">
      <c r="A2129" s="568" t="s">
        <v>1330</v>
      </c>
      <c r="B2129" s="567"/>
      <c r="C2129" s="567"/>
      <c r="D2129" s="567"/>
      <c r="E2129" s="567"/>
      <c r="F2129" s="567"/>
      <c r="G2129" s="568" t="s">
        <v>3275</v>
      </c>
      <c r="H2129" s="568" t="s">
        <v>624</v>
      </c>
      <c r="I2129" s="239" t="str">
        <f>IF(ISBLANK(global!I642),"",global!I642)</f>
        <v/>
      </c>
      <c r="K2129" s="262" t="s">
        <v>4249</v>
      </c>
      <c r="N2129" s="262" t="s">
        <v>4249</v>
      </c>
    </row>
    <row r="2130" spans="1:14" ht="12.75" customHeight="1" x14ac:dyDescent="0.2">
      <c r="A2130" s="568" t="s">
        <v>1330</v>
      </c>
      <c r="B2130" s="567"/>
      <c r="C2130" s="567"/>
      <c r="D2130" s="567"/>
      <c r="E2130" s="567"/>
      <c r="F2130" s="567"/>
      <c r="G2130" s="568" t="s">
        <v>3276</v>
      </c>
      <c r="H2130" s="568" t="s">
        <v>624</v>
      </c>
      <c r="I2130" s="239" t="str">
        <f>IF(ISBLANK(global!I643),"",global!I643)</f>
        <v/>
      </c>
      <c r="K2130" s="262" t="s">
        <v>4249</v>
      </c>
      <c r="N2130" s="262" t="s">
        <v>4249</v>
      </c>
    </row>
    <row r="2131" spans="1:14" ht="12.75" customHeight="1" x14ac:dyDescent="0.2">
      <c r="A2131" s="568" t="s">
        <v>1330</v>
      </c>
      <c r="B2131" s="567"/>
      <c r="C2131" s="567"/>
      <c r="D2131" s="567"/>
      <c r="E2131" s="567"/>
      <c r="F2131" s="567"/>
      <c r="G2131" s="568" t="s">
        <v>3277</v>
      </c>
      <c r="H2131" s="568" t="s">
        <v>624</v>
      </c>
      <c r="I2131" s="239" t="str">
        <f>IF(ISBLANK(global!I644),"",global!I644)</f>
        <v/>
      </c>
      <c r="K2131" s="262" t="s">
        <v>4249</v>
      </c>
      <c r="N2131" s="262" t="s">
        <v>4249</v>
      </c>
    </row>
    <row r="2132" spans="1:14" ht="12.75" customHeight="1" x14ac:dyDescent="0.2">
      <c r="A2132" s="568" t="s">
        <v>1336</v>
      </c>
      <c r="B2132" s="567"/>
      <c r="C2132" s="567"/>
      <c r="D2132" s="567"/>
      <c r="E2132" s="567"/>
      <c r="F2132" s="567"/>
      <c r="G2132" s="568" t="s">
        <v>3278</v>
      </c>
      <c r="H2132" s="568" t="s">
        <v>624</v>
      </c>
      <c r="I2132" s="239" t="str">
        <f>IF(ISBLANK(global!I645),"",global!I645)</f>
        <v/>
      </c>
      <c r="K2132" s="262" t="s">
        <v>4249</v>
      </c>
      <c r="N2132" s="262" t="s">
        <v>4249</v>
      </c>
    </row>
    <row r="2133" spans="1:14" ht="12.75" customHeight="1" x14ac:dyDescent="0.2">
      <c r="A2133" s="568" t="s">
        <v>1336</v>
      </c>
      <c r="B2133" s="567"/>
      <c r="C2133" s="567"/>
      <c r="D2133" s="567"/>
      <c r="E2133" s="567"/>
      <c r="F2133" s="567"/>
      <c r="G2133" s="568" t="s">
        <v>3279</v>
      </c>
      <c r="H2133" s="568" t="s">
        <v>624</v>
      </c>
      <c r="I2133" s="239" t="str">
        <f>IF(ISBLANK(global!I646),"",global!I646)</f>
        <v/>
      </c>
      <c r="K2133" s="262" t="s">
        <v>4249</v>
      </c>
      <c r="N2133" s="262" t="s">
        <v>4249</v>
      </c>
    </row>
    <row r="2134" spans="1:14" ht="12.75" customHeight="1" x14ac:dyDescent="0.2">
      <c r="A2134" s="568" t="s">
        <v>1336</v>
      </c>
      <c r="B2134" s="567"/>
      <c r="C2134" s="567"/>
      <c r="D2134" s="567"/>
      <c r="E2134" s="567"/>
      <c r="F2134" s="567"/>
      <c r="G2134" s="568" t="s">
        <v>3280</v>
      </c>
      <c r="H2134" s="568" t="s">
        <v>624</v>
      </c>
      <c r="I2134" s="239" t="str">
        <f>IF(ISBLANK(global!I647),"",global!I647)</f>
        <v/>
      </c>
      <c r="K2134" s="262" t="s">
        <v>4249</v>
      </c>
      <c r="N2134" s="262" t="s">
        <v>4249</v>
      </c>
    </row>
    <row r="2135" spans="1:14" ht="12.75" customHeight="1" x14ac:dyDescent="0.2">
      <c r="A2135" s="567"/>
      <c r="B2135" s="567" t="s">
        <v>1919</v>
      </c>
      <c r="C2135" s="567"/>
      <c r="D2135" s="567"/>
      <c r="E2135" s="567"/>
      <c r="F2135" s="567"/>
      <c r="G2135" s="568" t="s">
        <v>3281</v>
      </c>
      <c r="H2135" s="568" t="s">
        <v>340</v>
      </c>
      <c r="I2135" s="239" t="str">
        <f>IF(ISBLANK(global!I648),"",global!I648)</f>
        <v/>
      </c>
      <c r="K2135" s="262" t="s">
        <v>4249</v>
      </c>
      <c r="N2135" s="262" t="s">
        <v>4249</v>
      </c>
    </row>
    <row r="2136" spans="1:14" ht="12.75" customHeight="1" x14ac:dyDescent="0.2">
      <c r="A2136" s="599"/>
      <c r="B2136" s="599" t="s">
        <v>1926</v>
      </c>
      <c r="C2136" s="599"/>
      <c r="D2136" s="599"/>
      <c r="E2136" s="599"/>
      <c r="F2136" s="599"/>
      <c r="G2136" s="602" t="s">
        <v>3282</v>
      </c>
      <c r="H2136" s="602" t="s">
        <v>340</v>
      </c>
      <c r="I2136" s="239" t="str">
        <f>IF(ISBLANK(global!I649),"",global!I649)</f>
        <v/>
      </c>
      <c r="K2136" s="262" t="s">
        <v>4249</v>
      </c>
      <c r="N2136" s="262" t="s">
        <v>4249</v>
      </c>
    </row>
    <row r="2137" spans="1:14" ht="12.75" customHeight="1" x14ac:dyDescent="0.2">
      <c r="A2137" s="73"/>
      <c r="B2137" s="5"/>
      <c r="C2137" s="17"/>
      <c r="D2137" s="17"/>
      <c r="E2137" s="17"/>
      <c r="F2137" s="17"/>
      <c r="G2137" s="17"/>
      <c r="H2137" s="38"/>
      <c r="I2137" s="239" t="str">
        <f>IF(ISBLANK(global!I650),"",global!I650)</f>
        <v/>
      </c>
      <c r="K2137" s="262" t="s">
        <v>4249</v>
      </c>
      <c r="N2137" s="262" t="s">
        <v>4249</v>
      </c>
    </row>
    <row r="2138" spans="1:14" ht="12.75" customHeight="1" x14ac:dyDescent="0.2">
      <c r="A2138" s="73"/>
      <c r="B2138" s="5"/>
      <c r="C2138" s="17"/>
      <c r="D2138" s="17"/>
      <c r="E2138" s="17"/>
      <c r="F2138" s="17"/>
      <c r="G2138" s="17"/>
      <c r="H2138" s="38"/>
      <c r="I2138" s="239" t="str">
        <f>IF(ISBLANK(global!I651),"",global!I651)</f>
        <v/>
      </c>
      <c r="K2138" s="262" t="s">
        <v>4249</v>
      </c>
      <c r="N2138" s="262" t="s">
        <v>4249</v>
      </c>
    </row>
    <row r="2139" spans="1:14" ht="12.75" customHeight="1" x14ac:dyDescent="0.2">
      <c r="A2139" s="101" t="s">
        <v>3283</v>
      </c>
      <c r="B2139" s="5"/>
      <c r="C2139" s="17"/>
      <c r="D2139" s="17"/>
      <c r="E2139" s="17"/>
      <c r="F2139" s="17"/>
      <c r="G2139" s="17"/>
      <c r="H2139" s="38"/>
      <c r="I2139" s="239" t="str">
        <f>IF(ISBLANK(global!I652),"",global!I652)</f>
        <v/>
      </c>
      <c r="K2139" s="262" t="s">
        <v>4249</v>
      </c>
      <c r="N2139" s="262" t="s">
        <v>4249</v>
      </c>
    </row>
    <row r="2140" spans="1:14" ht="12.75" customHeight="1" x14ac:dyDescent="0.2">
      <c r="A2140" s="17"/>
      <c r="B2140" s="17"/>
      <c r="C2140" s="17"/>
      <c r="D2140" s="17"/>
      <c r="E2140" s="17"/>
      <c r="F2140" s="17"/>
      <c r="G2140" s="17"/>
      <c r="H2140" s="38"/>
      <c r="I2140" s="239" t="str">
        <f>IF(ISBLANK(global!I653),"",global!I653)</f>
        <v/>
      </c>
      <c r="K2140" s="262" t="s">
        <v>4249</v>
      </c>
      <c r="N2140" s="262" t="s">
        <v>4249</v>
      </c>
    </row>
    <row r="2141" spans="1:14" ht="12.75" customHeight="1" x14ac:dyDescent="0.2">
      <c r="A2141" s="147" t="s">
        <v>954</v>
      </c>
      <c r="B2141" s="147"/>
      <c r="C2141" s="147"/>
      <c r="D2141" s="147"/>
      <c r="E2141" s="147"/>
      <c r="F2141" s="147"/>
      <c r="G2141" s="148" t="s">
        <v>263</v>
      </c>
      <c r="H2141" s="148" t="s">
        <v>279</v>
      </c>
      <c r="I2141" s="239" t="str">
        <f>IF(ISBLANK(global!I654),"",global!I654)</f>
        <v>User input</v>
      </c>
      <c r="K2141" s="262" t="s">
        <v>264</v>
      </c>
      <c r="N2141" s="262" t="s">
        <v>264</v>
      </c>
    </row>
    <row r="2142" spans="1:14" ht="12.75" customHeight="1" x14ac:dyDescent="0.2">
      <c r="A2142" s="17"/>
      <c r="B2142" s="17"/>
      <c r="C2142" s="17"/>
      <c r="D2142" s="17"/>
      <c r="E2142" s="17"/>
      <c r="F2142" s="17"/>
      <c r="G2142" s="17"/>
      <c r="H2142" s="38"/>
      <c r="I2142" s="239" t="str">
        <f>IF(ISBLANK(global!I655),"",global!I655)</f>
        <v/>
      </c>
      <c r="K2142" s="262" t="s">
        <v>4249</v>
      </c>
      <c r="N2142" s="262" t="s">
        <v>4249</v>
      </c>
    </row>
    <row r="2143" spans="1:14" ht="12.75" customHeight="1" x14ac:dyDescent="0.2">
      <c r="A2143" s="38" t="s">
        <v>955</v>
      </c>
      <c r="B2143" s="17"/>
      <c r="C2143" s="17"/>
      <c r="D2143" s="17"/>
      <c r="E2143" s="17"/>
      <c r="F2143" s="17"/>
      <c r="G2143" s="38" t="s">
        <v>3284</v>
      </c>
      <c r="H2143" s="38" t="s">
        <v>957</v>
      </c>
      <c r="I2143" s="239" t="str">
        <f>IF(ISBLANK(global!I656),"",global!I656)</f>
        <v/>
      </c>
      <c r="K2143" s="262" t="s">
        <v>4249</v>
      </c>
      <c r="N2143" s="262" t="s">
        <v>4249</v>
      </c>
    </row>
    <row r="2144" spans="1:14" ht="12.75" customHeight="1" x14ac:dyDescent="0.2">
      <c r="A2144" s="568" t="s">
        <v>1935</v>
      </c>
      <c r="B2144" s="567"/>
      <c r="C2144" s="567"/>
      <c r="D2144" s="567"/>
      <c r="E2144" s="567"/>
      <c r="F2144" s="567"/>
      <c r="G2144" s="568" t="s">
        <v>3285</v>
      </c>
      <c r="H2144" s="567" t="s">
        <v>957</v>
      </c>
      <c r="I2144" s="239" t="str">
        <f>IF(ISBLANK(global!I657),"",global!I657)</f>
        <v/>
      </c>
      <c r="K2144" s="262" t="s">
        <v>4249</v>
      </c>
      <c r="N2144" s="262" t="s">
        <v>4249</v>
      </c>
    </row>
    <row r="2145" spans="1:14" ht="12.75" customHeight="1" x14ac:dyDescent="0.2">
      <c r="A2145" s="17" t="s">
        <v>2963</v>
      </c>
      <c r="B2145" s="17"/>
      <c r="C2145" s="17"/>
      <c r="D2145" s="17"/>
      <c r="E2145" s="17"/>
      <c r="F2145" s="17"/>
      <c r="G2145" s="38" t="s">
        <v>3286</v>
      </c>
      <c r="H2145" s="17" t="s">
        <v>957</v>
      </c>
      <c r="I2145" s="239" t="str">
        <f>IF(ISBLANK(global!I658),"",global!I658)</f>
        <v/>
      </c>
      <c r="K2145" s="262" t="s">
        <v>4249</v>
      </c>
      <c r="N2145" s="262" t="s">
        <v>4249</v>
      </c>
    </row>
    <row r="2146" spans="1:14" ht="12.75" customHeight="1" x14ac:dyDescent="0.2">
      <c r="A2146" s="38" t="s">
        <v>2965</v>
      </c>
      <c r="B2146" s="17"/>
      <c r="C2146" s="17"/>
      <c r="D2146" s="17"/>
      <c r="E2146" s="17"/>
      <c r="F2146" s="17"/>
      <c r="G2146" s="38" t="s">
        <v>3287</v>
      </c>
      <c r="H2146" s="17" t="s">
        <v>957</v>
      </c>
      <c r="I2146" s="239" t="str">
        <f>IF(ISBLANK(global!I659),"",global!I659)</f>
        <v/>
      </c>
      <c r="K2146" s="262" t="s">
        <v>4249</v>
      </c>
      <c r="N2146" s="262" t="s">
        <v>4249</v>
      </c>
    </row>
    <row r="2147" spans="1:14" ht="12.75" customHeight="1" x14ac:dyDescent="0.2">
      <c r="A2147" s="38" t="s">
        <v>2538</v>
      </c>
      <c r="B2147" s="17"/>
      <c r="C2147" s="17"/>
      <c r="D2147" s="17"/>
      <c r="E2147" s="17"/>
      <c r="F2147" s="17"/>
      <c r="G2147" s="38" t="s">
        <v>3288</v>
      </c>
      <c r="H2147" s="38" t="s">
        <v>957</v>
      </c>
      <c r="I2147" s="239" t="str">
        <f>IF(ISBLANK(global!I660),"",global!I660)</f>
        <v/>
      </c>
      <c r="K2147" s="262" t="s">
        <v>4249</v>
      </c>
      <c r="N2147" s="262" t="s">
        <v>4249</v>
      </c>
    </row>
    <row r="2148" spans="1:14" ht="12.75" customHeight="1" x14ac:dyDescent="0.2">
      <c r="A2148" s="38" t="s">
        <v>2540</v>
      </c>
      <c r="B2148" s="17"/>
      <c r="C2148" s="17"/>
      <c r="D2148" s="17"/>
      <c r="E2148" s="17"/>
      <c r="F2148" s="17"/>
      <c r="G2148" s="38" t="s">
        <v>3289</v>
      </c>
      <c r="H2148" s="38" t="s">
        <v>957</v>
      </c>
      <c r="I2148" s="239" t="str">
        <f>IF(ISBLANK(global!I661),"",global!I661)</f>
        <v/>
      </c>
      <c r="K2148" s="262" t="s">
        <v>4249</v>
      </c>
      <c r="N2148" s="262" t="s">
        <v>4249</v>
      </c>
    </row>
    <row r="2149" spans="1:14" ht="12.75" customHeight="1" x14ac:dyDescent="0.2">
      <c r="A2149" s="17"/>
      <c r="B2149" s="38" t="s">
        <v>3290</v>
      </c>
      <c r="C2149" s="17"/>
      <c r="D2149" s="17"/>
      <c r="E2149" s="17"/>
      <c r="F2149" s="17"/>
      <c r="G2149" s="38" t="s">
        <v>3291</v>
      </c>
      <c r="H2149" s="38" t="s">
        <v>679</v>
      </c>
      <c r="I2149" s="239" t="str">
        <f>IF(ISBLANK(global!I662),"",global!I662)</f>
        <v/>
      </c>
      <c r="K2149" s="262" t="s">
        <v>4249</v>
      </c>
      <c r="N2149" s="262" t="s">
        <v>4249</v>
      </c>
    </row>
    <row r="2150" spans="1:14" ht="12.75" customHeight="1" x14ac:dyDescent="0.2">
      <c r="A2150" s="17"/>
      <c r="B2150" s="38" t="s">
        <v>2544</v>
      </c>
      <c r="C2150" s="17"/>
      <c r="D2150" s="17"/>
      <c r="E2150" s="17"/>
      <c r="F2150" s="17"/>
      <c r="G2150" s="146" t="s">
        <v>3292</v>
      </c>
      <c r="H2150" s="38" t="s">
        <v>296</v>
      </c>
      <c r="I2150" s="239" t="str">
        <f>IF(ISBLANK(global!I663),"",global!I663)</f>
        <v/>
      </c>
      <c r="K2150" s="262" t="s">
        <v>4249</v>
      </c>
      <c r="N2150" s="262" t="s">
        <v>4249</v>
      </c>
    </row>
    <row r="2151" spans="1:14" ht="12.75" customHeight="1" x14ac:dyDescent="0.2">
      <c r="A2151" s="17"/>
      <c r="B2151" s="38" t="s">
        <v>2546</v>
      </c>
      <c r="C2151" s="17"/>
      <c r="D2151" s="17"/>
      <c r="E2151" s="17"/>
      <c r="F2151" s="17"/>
      <c r="G2151" s="146" t="s">
        <v>3293</v>
      </c>
      <c r="H2151" s="38" t="s">
        <v>296</v>
      </c>
      <c r="I2151" s="239" t="str">
        <f>IF(ISBLANK(global!I664),"",global!I664)</f>
        <v/>
      </c>
      <c r="K2151" s="262" t="s">
        <v>4249</v>
      </c>
      <c r="N2151" s="262" t="s">
        <v>4249</v>
      </c>
    </row>
    <row r="2152" spans="1:14" ht="12.75" customHeight="1" x14ac:dyDescent="0.2">
      <c r="A2152" s="17"/>
      <c r="B2152" s="17"/>
      <c r="C2152" s="38" t="s">
        <v>994</v>
      </c>
      <c r="D2152" s="17"/>
      <c r="E2152" s="17"/>
      <c r="F2152" s="17"/>
      <c r="G2152" s="146" t="s">
        <v>3294</v>
      </c>
      <c r="H2152" s="38" t="s">
        <v>820</v>
      </c>
      <c r="I2152" s="239" t="str">
        <f>IF(ISBLANK(global!I665),"",global!I665)</f>
        <v/>
      </c>
      <c r="K2152" s="262" t="s">
        <v>4249</v>
      </c>
      <c r="N2152" s="262" t="s">
        <v>4249</v>
      </c>
    </row>
    <row r="2153" spans="1:14" ht="12.75" customHeight="1" x14ac:dyDescent="0.2">
      <c r="A2153" s="17"/>
      <c r="B2153" s="17"/>
      <c r="C2153" s="38" t="s">
        <v>2974</v>
      </c>
      <c r="D2153" s="17"/>
      <c r="E2153" s="17"/>
      <c r="F2153" s="17"/>
      <c r="G2153" s="146" t="s">
        <v>3295</v>
      </c>
      <c r="H2153" s="38" t="s">
        <v>820</v>
      </c>
      <c r="I2153" s="239" t="str">
        <f>IF(ISBLANK(global!I666),"",global!I666)</f>
        <v/>
      </c>
      <c r="K2153" s="262" t="s">
        <v>4249</v>
      </c>
      <c r="N2153" s="262" t="s">
        <v>4249</v>
      </c>
    </row>
    <row r="2154" spans="1:14" ht="12.75" customHeight="1" x14ac:dyDescent="0.2">
      <c r="A2154" s="17"/>
      <c r="B2154" s="17"/>
      <c r="C2154" s="38" t="s">
        <v>2976</v>
      </c>
      <c r="D2154" s="17"/>
      <c r="E2154" s="17"/>
      <c r="F2154" s="17"/>
      <c r="G2154" s="146" t="s">
        <v>3296</v>
      </c>
      <c r="H2154" s="38" t="s">
        <v>820</v>
      </c>
      <c r="I2154" s="239" t="str">
        <f>IF(ISBLANK(global!I667),"",global!I667)</f>
        <v/>
      </c>
      <c r="K2154" s="262" t="s">
        <v>4249</v>
      </c>
      <c r="N2154" s="262" t="s">
        <v>4249</v>
      </c>
    </row>
    <row r="2155" spans="1:14" ht="12.75" customHeight="1" x14ac:dyDescent="0.2">
      <c r="A2155" s="17"/>
      <c r="B2155" s="17"/>
      <c r="C2155" s="38" t="s">
        <v>2553</v>
      </c>
      <c r="D2155" s="17"/>
      <c r="E2155" s="17"/>
      <c r="F2155" s="17"/>
      <c r="G2155" s="146" t="s">
        <v>3297</v>
      </c>
      <c r="H2155" s="38" t="s">
        <v>1004</v>
      </c>
      <c r="I2155" s="239" t="str">
        <f>IF(ISBLANK(global!I668),"",global!I668)</f>
        <v/>
      </c>
      <c r="K2155" s="262" t="s">
        <v>4249</v>
      </c>
      <c r="N2155" s="262" t="s">
        <v>4249</v>
      </c>
    </row>
    <row r="2156" spans="1:14" ht="12.75" customHeight="1" x14ac:dyDescent="0.2">
      <c r="A2156" s="38"/>
      <c r="B2156" s="17"/>
      <c r="C2156" s="38" t="s">
        <v>2555</v>
      </c>
      <c r="D2156" s="146"/>
      <c r="E2156" s="146"/>
      <c r="F2156" s="146"/>
      <c r="G2156" s="146" t="s">
        <v>3298</v>
      </c>
      <c r="H2156" s="38" t="s">
        <v>820</v>
      </c>
      <c r="I2156" s="239" t="str">
        <f>IF(ISBLANK(global!I669),"",global!I669)</f>
        <v/>
      </c>
      <c r="K2156" s="262" t="s">
        <v>4249</v>
      </c>
      <c r="N2156" s="262" t="s">
        <v>4249</v>
      </c>
    </row>
    <row r="2157" spans="1:14" ht="12.75" customHeight="1" x14ac:dyDescent="0.2">
      <c r="A2157" s="567"/>
      <c r="B2157" s="567"/>
      <c r="C2157" s="567" t="s">
        <v>1015</v>
      </c>
      <c r="D2157" s="567"/>
      <c r="E2157" s="567"/>
      <c r="F2157" s="567"/>
      <c r="G2157" s="568" t="s">
        <v>3299</v>
      </c>
      <c r="H2157" s="568" t="s">
        <v>1017</v>
      </c>
      <c r="I2157" s="239" t="str">
        <f>IF(ISBLANK(global!I670),"",global!I670)</f>
        <v/>
      </c>
      <c r="K2157" s="262" t="s">
        <v>4249</v>
      </c>
      <c r="N2157" s="262" t="s">
        <v>4249</v>
      </c>
    </row>
    <row r="2158" spans="1:14" ht="12.75" customHeight="1" x14ac:dyDescent="0.2">
      <c r="A2158" s="17"/>
      <c r="B2158" s="17"/>
      <c r="C2158" s="17" t="s">
        <v>1019</v>
      </c>
      <c r="D2158" s="17"/>
      <c r="E2158" s="17"/>
      <c r="F2158" s="17"/>
      <c r="G2158" s="38" t="s">
        <v>3300</v>
      </c>
      <c r="H2158" s="38" t="s">
        <v>1017</v>
      </c>
      <c r="I2158" s="239" t="str">
        <f>IF(ISBLANK(global!I671),"",global!I671)</f>
        <v/>
      </c>
      <c r="K2158" s="262" t="s">
        <v>4249</v>
      </c>
      <c r="N2158" s="262" t="s">
        <v>4249</v>
      </c>
    </row>
    <row r="2159" spans="1:14" ht="12.75" customHeight="1" x14ac:dyDescent="0.2">
      <c r="A2159" s="17"/>
      <c r="B2159" s="17"/>
      <c r="C2159" s="17" t="s">
        <v>1022</v>
      </c>
      <c r="D2159" s="17"/>
      <c r="E2159" s="17"/>
      <c r="F2159" s="17"/>
      <c r="G2159" s="38" t="s">
        <v>3301</v>
      </c>
      <c r="H2159" s="38" t="s">
        <v>1017</v>
      </c>
      <c r="I2159" s="239" t="str">
        <f>IF(ISBLANK(global!I672),"",global!I672)</f>
        <v/>
      </c>
      <c r="K2159" s="262" t="s">
        <v>4249</v>
      </c>
      <c r="N2159" s="262" t="s">
        <v>4249</v>
      </c>
    </row>
    <row r="2160" spans="1:14" ht="12.75" customHeight="1" x14ac:dyDescent="0.2">
      <c r="A2160" s="17"/>
      <c r="B2160" s="17"/>
      <c r="C2160" s="38" t="s">
        <v>2560</v>
      </c>
      <c r="D2160" s="146"/>
      <c r="E2160" s="146"/>
      <c r="F2160" s="146"/>
      <c r="G2160" s="146" t="s">
        <v>3302</v>
      </c>
      <c r="H2160" s="38" t="s">
        <v>1017</v>
      </c>
      <c r="I2160" s="239" t="str">
        <f>IF(ISBLANK(global!I673),"",global!I673)</f>
        <v/>
      </c>
      <c r="K2160" s="262" t="s">
        <v>4249</v>
      </c>
      <c r="N2160" s="262" t="s">
        <v>4249</v>
      </c>
    </row>
    <row r="2161" spans="1:14" ht="12.75" customHeight="1" x14ac:dyDescent="0.2">
      <c r="A2161" s="17"/>
      <c r="B2161" s="17"/>
      <c r="C2161" s="38" t="s">
        <v>2562</v>
      </c>
      <c r="D2161" s="17"/>
      <c r="E2161" s="17"/>
      <c r="F2161" s="17"/>
      <c r="G2161" s="146" t="s">
        <v>3303</v>
      </c>
      <c r="H2161" s="38" t="s">
        <v>1017</v>
      </c>
      <c r="I2161" s="239" t="str">
        <f>IF(ISBLANK(global!I674),"",global!I674)</f>
        <v/>
      </c>
      <c r="K2161" s="262" t="s">
        <v>4249</v>
      </c>
      <c r="N2161" s="262" t="s">
        <v>4249</v>
      </c>
    </row>
    <row r="2162" spans="1:14" ht="12.75" customHeight="1" x14ac:dyDescent="0.2">
      <c r="A2162" s="17"/>
      <c r="B2162" s="17"/>
      <c r="C2162" s="38" t="s">
        <v>2564</v>
      </c>
      <c r="D2162" s="17"/>
      <c r="E2162" s="17"/>
      <c r="F2162" s="17"/>
      <c r="G2162" s="146" t="s">
        <v>3304</v>
      </c>
      <c r="H2162" s="38" t="s">
        <v>1017</v>
      </c>
      <c r="I2162" s="239" t="str">
        <f>IF(ISBLANK(global!I675),"",global!I675)</f>
        <v/>
      </c>
      <c r="K2162" s="262" t="s">
        <v>4249</v>
      </c>
      <c r="N2162" s="262" t="s">
        <v>4249</v>
      </c>
    </row>
    <row r="2163" spans="1:14" ht="12.75" customHeight="1" x14ac:dyDescent="0.2">
      <c r="A2163" s="38"/>
      <c r="B2163" s="17"/>
      <c r="C2163" s="38" t="s">
        <v>1042</v>
      </c>
      <c r="D2163" s="146"/>
      <c r="E2163" s="146"/>
      <c r="F2163" s="146"/>
      <c r="G2163" s="146" t="s">
        <v>3305</v>
      </c>
      <c r="H2163" s="38" t="s">
        <v>1017</v>
      </c>
      <c r="I2163" s="239" t="str">
        <f>IF(ISBLANK(global!I676),"",global!I676)</f>
        <v/>
      </c>
      <c r="K2163" s="262" t="s">
        <v>4249</v>
      </c>
      <c r="N2163" s="262" t="s">
        <v>4249</v>
      </c>
    </row>
    <row r="2164" spans="1:14" ht="12.75" customHeight="1" x14ac:dyDescent="0.2">
      <c r="A2164" s="38"/>
      <c r="B2164" s="17"/>
      <c r="C2164" s="38" t="s">
        <v>1044</v>
      </c>
      <c r="D2164" s="146"/>
      <c r="E2164" s="146"/>
      <c r="F2164" s="146"/>
      <c r="G2164" s="146" t="s">
        <v>3306</v>
      </c>
      <c r="H2164" s="38" t="s">
        <v>1017</v>
      </c>
      <c r="I2164" s="239" t="str">
        <f>IF(ISBLANK(global!I677),"",global!I677)</f>
        <v/>
      </c>
      <c r="K2164" s="262" t="s">
        <v>4249</v>
      </c>
      <c r="N2164" s="262" t="s">
        <v>4249</v>
      </c>
    </row>
    <row r="2165" spans="1:14" ht="12.75" customHeight="1" x14ac:dyDescent="0.2">
      <c r="A2165" s="17"/>
      <c r="B2165" s="17"/>
      <c r="C2165" s="17"/>
      <c r="D2165" s="17"/>
      <c r="E2165" s="17"/>
      <c r="F2165" s="17"/>
      <c r="G2165" s="17"/>
      <c r="H2165" s="17"/>
      <c r="I2165" s="239" t="str">
        <f>IF(ISBLANK(global!I678),"",global!I678)</f>
        <v/>
      </c>
      <c r="K2165" s="262" t="s">
        <v>4249</v>
      </c>
      <c r="N2165" s="262" t="s">
        <v>4249</v>
      </c>
    </row>
    <row r="2166" spans="1:14" ht="12.75" customHeight="1" x14ac:dyDescent="0.2">
      <c r="A2166" s="38" t="s">
        <v>3307</v>
      </c>
      <c r="B2166" s="17"/>
      <c r="C2166" s="17"/>
      <c r="D2166" s="17"/>
      <c r="E2166" s="17"/>
      <c r="F2166" s="17"/>
      <c r="G2166" s="38" t="s">
        <v>3308</v>
      </c>
      <c r="H2166" s="38" t="s">
        <v>624</v>
      </c>
      <c r="I2166" s="239" t="str">
        <f>IF(ISBLANK(global!I679),"",global!I679)</f>
        <v/>
      </c>
      <c r="K2166" s="262" t="s">
        <v>4249</v>
      </c>
      <c r="N2166" s="262" t="s">
        <v>4249</v>
      </c>
    </row>
    <row r="2167" spans="1:14" ht="12.75" customHeight="1" x14ac:dyDescent="0.2">
      <c r="A2167" s="38"/>
      <c r="B2167" s="38"/>
      <c r="C2167" s="38" t="s">
        <v>3309</v>
      </c>
      <c r="D2167" s="17"/>
      <c r="E2167" s="17"/>
      <c r="F2167" s="17"/>
      <c r="G2167" s="38" t="s">
        <v>3310</v>
      </c>
      <c r="H2167" s="17" t="s">
        <v>1051</v>
      </c>
      <c r="I2167" s="239" t="str">
        <f>IF(ISBLANK(global!I680),"",global!I680)</f>
        <v/>
      </c>
      <c r="K2167" s="262" t="s">
        <v>4249</v>
      </c>
      <c r="N2167" s="262" t="s">
        <v>4249</v>
      </c>
    </row>
    <row r="2168" spans="1:14" ht="12.75" customHeight="1" x14ac:dyDescent="0.2">
      <c r="A2168" s="17"/>
      <c r="B2168" s="17"/>
      <c r="C2168" s="17"/>
      <c r="D2168" s="17"/>
      <c r="E2168" s="17"/>
      <c r="F2168" s="17"/>
      <c r="G2168" s="17"/>
      <c r="H2168" s="17"/>
      <c r="I2168" s="239" t="str">
        <f>IF(ISBLANK(global!I681),"",global!I681)</f>
        <v/>
      </c>
      <c r="K2168" s="262" t="s">
        <v>4249</v>
      </c>
      <c r="N2168" s="262" t="s">
        <v>4249</v>
      </c>
    </row>
    <row r="2169" spans="1:14" ht="12.75" customHeight="1" x14ac:dyDescent="0.2">
      <c r="A2169" s="38" t="s">
        <v>3311</v>
      </c>
      <c r="B2169" s="17"/>
      <c r="C2169" s="17"/>
      <c r="D2169" s="17"/>
      <c r="E2169" s="17"/>
      <c r="F2169" s="17"/>
      <c r="G2169" s="38" t="s">
        <v>3312</v>
      </c>
      <c r="H2169" s="38" t="s">
        <v>624</v>
      </c>
      <c r="I2169" s="239" t="str">
        <f>IF(ISBLANK(global!I682),"",global!I682)</f>
        <v/>
      </c>
      <c r="K2169" s="262" t="s">
        <v>4249</v>
      </c>
      <c r="N2169" s="262" t="s">
        <v>4249</v>
      </c>
    </row>
    <row r="2170" spans="1:14" ht="12.75" customHeight="1" x14ac:dyDescent="0.2">
      <c r="A2170" s="38" t="s">
        <v>3313</v>
      </c>
      <c r="B2170" s="17"/>
      <c r="C2170" s="17"/>
      <c r="D2170" s="17"/>
      <c r="E2170" s="17"/>
      <c r="F2170" s="17"/>
      <c r="G2170" s="38" t="s">
        <v>3314</v>
      </c>
      <c r="H2170" s="38" t="s">
        <v>624</v>
      </c>
      <c r="I2170" s="239" t="str">
        <f>IF(ISBLANK(global!I683),"",global!I683)</f>
        <v/>
      </c>
      <c r="K2170" s="262" t="s">
        <v>4249</v>
      </c>
      <c r="N2170" s="262" t="s">
        <v>4249</v>
      </c>
    </row>
    <row r="2171" spans="1:14" ht="12.75" customHeight="1" x14ac:dyDescent="0.2">
      <c r="A2171" s="38"/>
      <c r="B2171" s="38" t="s">
        <v>3315</v>
      </c>
      <c r="C2171" s="17"/>
      <c r="D2171" s="17"/>
      <c r="E2171" s="17"/>
      <c r="F2171" s="17"/>
      <c r="G2171" s="146" t="s">
        <v>3316</v>
      </c>
      <c r="H2171" s="17" t="s">
        <v>1065</v>
      </c>
      <c r="I2171" s="239" t="str">
        <f>IF(ISBLANK(global!I684),"",global!I684)</f>
        <v/>
      </c>
      <c r="K2171" s="262" t="s">
        <v>4249</v>
      </c>
      <c r="N2171" s="262" t="s">
        <v>4249</v>
      </c>
    </row>
    <row r="2172" spans="1:14" ht="12.75" customHeight="1" x14ac:dyDescent="0.2">
      <c r="A2172" s="38" t="s">
        <v>2999</v>
      </c>
      <c r="B2172" s="17"/>
      <c r="C2172" s="17"/>
      <c r="D2172" s="17"/>
      <c r="E2172" s="17"/>
      <c r="F2172" s="17"/>
      <c r="G2172" s="38" t="s">
        <v>3317</v>
      </c>
      <c r="H2172" s="38" t="s">
        <v>624</v>
      </c>
      <c r="I2172" s="239" t="str">
        <f>IF(ISBLANK(global!I685),"",global!I685)</f>
        <v/>
      </c>
      <c r="K2172" s="262" t="s">
        <v>4249</v>
      </c>
      <c r="N2172" s="262" t="s">
        <v>4249</v>
      </c>
    </row>
    <row r="2173" spans="1:14" ht="12.75" customHeight="1" x14ac:dyDescent="0.2">
      <c r="A2173" s="38" t="s">
        <v>3001</v>
      </c>
      <c r="B2173" s="17"/>
      <c r="C2173" s="17"/>
      <c r="D2173" s="17"/>
      <c r="E2173" s="17"/>
      <c r="F2173" s="17"/>
      <c r="G2173" s="38" t="s">
        <v>3318</v>
      </c>
      <c r="H2173" s="38" t="s">
        <v>624</v>
      </c>
      <c r="I2173" s="239" t="str">
        <f>IF(ISBLANK(global!I686),"",global!I686)</f>
        <v/>
      </c>
      <c r="K2173" s="262" t="s">
        <v>4249</v>
      </c>
      <c r="N2173" s="262" t="s">
        <v>4249</v>
      </c>
    </row>
    <row r="2174" spans="1:14" ht="12.75" customHeight="1" x14ac:dyDescent="0.2">
      <c r="A2174" s="38"/>
      <c r="B2174" s="17" t="s">
        <v>2596</v>
      </c>
      <c r="C2174" s="17"/>
      <c r="D2174" s="17"/>
      <c r="E2174" s="17"/>
      <c r="F2174" s="17"/>
      <c r="G2174" s="38" t="s">
        <v>3319</v>
      </c>
      <c r="H2174" s="17" t="s">
        <v>1065</v>
      </c>
      <c r="I2174" s="239" t="str">
        <f>IF(ISBLANK(global!I687),"",global!I687)</f>
        <v/>
      </c>
      <c r="K2174" s="262" t="s">
        <v>4249</v>
      </c>
      <c r="N2174" s="262" t="s">
        <v>4249</v>
      </c>
    </row>
    <row r="2175" spans="1:14" ht="12.75" customHeight="1" x14ac:dyDescent="0.2">
      <c r="A2175" s="38"/>
      <c r="B2175" s="38"/>
      <c r="C2175" s="17" t="s">
        <v>2598</v>
      </c>
      <c r="D2175" s="17"/>
      <c r="E2175" s="17"/>
      <c r="F2175" s="17"/>
      <c r="G2175" s="38" t="s">
        <v>3320</v>
      </c>
      <c r="H2175" s="17" t="s">
        <v>1051</v>
      </c>
      <c r="I2175" s="239" t="str">
        <f>IF(ISBLANK(global!I688),"",global!I688)</f>
        <v/>
      </c>
      <c r="K2175" s="262" t="s">
        <v>4249</v>
      </c>
      <c r="N2175" s="262" t="s">
        <v>4249</v>
      </c>
    </row>
    <row r="2176" spans="1:14" ht="12.75" customHeight="1" x14ac:dyDescent="0.2">
      <c r="A2176" s="17"/>
      <c r="B2176" s="17"/>
      <c r="C2176" s="17"/>
      <c r="D2176" s="17"/>
      <c r="E2176" s="17"/>
      <c r="F2176" s="17"/>
      <c r="G2176" s="17"/>
      <c r="H2176" s="38"/>
      <c r="I2176" s="239" t="str">
        <f>IF(ISBLANK(global!I689),"",global!I689)</f>
        <v/>
      </c>
      <c r="K2176" s="262" t="s">
        <v>4249</v>
      </c>
      <c r="N2176" s="262" t="s">
        <v>4249</v>
      </c>
    </row>
    <row r="2177" spans="1:14" ht="12.75" customHeight="1" x14ac:dyDescent="0.2">
      <c r="A2177" s="148" t="s">
        <v>2017</v>
      </c>
      <c r="B2177" s="147"/>
      <c r="C2177" s="147"/>
      <c r="D2177" s="147"/>
      <c r="E2177" s="147"/>
      <c r="F2177" s="147"/>
      <c r="G2177" s="148" t="s">
        <v>263</v>
      </c>
      <c r="H2177" s="148" t="s">
        <v>279</v>
      </c>
      <c r="I2177" s="239" t="str">
        <f>IF(ISBLANK(global!I690),"",global!I690)</f>
        <v>User input</v>
      </c>
      <c r="K2177" s="262" t="s">
        <v>264</v>
      </c>
      <c r="N2177" s="262" t="s">
        <v>264</v>
      </c>
    </row>
    <row r="2178" spans="1:14" ht="12.75" customHeight="1" x14ac:dyDescent="0.2">
      <c r="A2178" s="17"/>
      <c r="B2178" s="17"/>
      <c r="C2178" s="17"/>
      <c r="D2178" s="17"/>
      <c r="E2178" s="17"/>
      <c r="F2178" s="17"/>
      <c r="G2178" s="17"/>
      <c r="H2178" s="38"/>
      <c r="I2178" s="239" t="str">
        <f>IF(ISBLANK(global!I691),"",global!I691)</f>
        <v/>
      </c>
      <c r="K2178" s="262" t="s">
        <v>4249</v>
      </c>
      <c r="N2178" s="262" t="s">
        <v>4249</v>
      </c>
    </row>
    <row r="2179" spans="1:14" ht="12.75" customHeight="1" x14ac:dyDescent="0.2">
      <c r="A2179" s="17"/>
      <c r="B2179" s="38" t="s">
        <v>2600</v>
      </c>
      <c r="C2179" s="38"/>
      <c r="D2179" s="38"/>
      <c r="E2179" s="38"/>
      <c r="F2179" s="38"/>
      <c r="G2179" s="38" t="s">
        <v>3321</v>
      </c>
      <c r="H2179" s="38" t="s">
        <v>296</v>
      </c>
      <c r="I2179" s="239" t="str">
        <f>IF(ISBLANK(global!I692),"",global!I692)</f>
        <v/>
      </c>
      <c r="K2179" s="262" t="s">
        <v>4249</v>
      </c>
      <c r="N2179" s="262" t="s">
        <v>4249</v>
      </c>
    </row>
    <row r="2180" spans="1:14" ht="12.75" customHeight="1" x14ac:dyDescent="0.2">
      <c r="A2180" s="17"/>
      <c r="B2180" s="17" t="s">
        <v>2020</v>
      </c>
      <c r="C2180" s="17"/>
      <c r="D2180" s="17"/>
      <c r="E2180" s="17"/>
      <c r="F2180" s="17"/>
      <c r="G2180" s="17" t="s">
        <v>3322</v>
      </c>
      <c r="H2180" s="17" t="s">
        <v>296</v>
      </c>
      <c r="I2180" s="239" t="str">
        <f>IF(ISBLANK(global!I693),"",global!I693)</f>
        <v/>
      </c>
      <c r="K2180" s="262" t="s">
        <v>4249</v>
      </c>
      <c r="N2180" s="262" t="s">
        <v>4249</v>
      </c>
    </row>
    <row r="2181" spans="1:14" ht="12.75" customHeight="1" x14ac:dyDescent="0.2">
      <c r="A2181" s="17"/>
      <c r="B2181" s="17" t="s">
        <v>2022</v>
      </c>
      <c r="C2181" s="17"/>
      <c r="D2181" s="17"/>
      <c r="E2181" s="17"/>
      <c r="F2181" s="17"/>
      <c r="G2181" s="17" t="s">
        <v>3323</v>
      </c>
      <c r="H2181" s="17" t="s">
        <v>296</v>
      </c>
      <c r="I2181" s="239" t="str">
        <f>IF(ISBLANK(global!I694),"",global!I694)</f>
        <v/>
      </c>
      <c r="K2181" s="262" t="s">
        <v>4249</v>
      </c>
      <c r="N2181" s="262" t="s">
        <v>4249</v>
      </c>
    </row>
    <row r="2182" spans="1:14" ht="12.75" customHeight="1" x14ac:dyDescent="0.2">
      <c r="A2182" s="17"/>
      <c r="B2182" s="17"/>
      <c r="C2182" s="38" t="s">
        <v>2024</v>
      </c>
      <c r="D2182" s="38"/>
      <c r="E2182" s="38"/>
      <c r="F2182" s="38"/>
      <c r="G2182" s="38" t="s">
        <v>3324</v>
      </c>
      <c r="H2182" s="38" t="s">
        <v>296</v>
      </c>
      <c r="I2182" s="239" t="str">
        <f>IF(ISBLANK(global!I695),"",global!I695)</f>
        <v/>
      </c>
      <c r="K2182" s="262" t="s">
        <v>4249</v>
      </c>
      <c r="N2182" s="262" t="s">
        <v>4249</v>
      </c>
    </row>
    <row r="2183" spans="1:14" ht="12.75" customHeight="1" x14ac:dyDescent="0.2">
      <c r="A2183" s="38"/>
      <c r="B2183" s="38"/>
      <c r="C2183" s="38" t="s">
        <v>3325</v>
      </c>
      <c r="D2183" s="38"/>
      <c r="E2183" s="38"/>
      <c r="F2183" s="38"/>
      <c r="G2183" s="38" t="s">
        <v>3326</v>
      </c>
      <c r="H2183" s="38" t="s">
        <v>592</v>
      </c>
      <c r="I2183" s="239" t="str">
        <f>IF(ISBLANK(global!I696),"",global!I696)</f>
        <v/>
      </c>
      <c r="K2183" s="262" t="s">
        <v>4249</v>
      </c>
      <c r="N2183" s="262" t="s">
        <v>4249</v>
      </c>
    </row>
    <row r="2184" spans="1:14" ht="12.75" customHeight="1" x14ac:dyDescent="0.25">
      <c r="A2184" s="17"/>
      <c r="B2184" s="17"/>
      <c r="C2184" s="17" t="s">
        <v>2026</v>
      </c>
      <c r="D2184" s="17"/>
      <c r="E2184" s="17"/>
      <c r="F2184" s="17"/>
      <c r="G2184" s="17" t="s">
        <v>3327</v>
      </c>
      <c r="H2184" s="17" t="s">
        <v>1088</v>
      </c>
      <c r="I2184" s="239" t="str">
        <f>IF(ISBLANK(global!I697),"",global!I697)</f>
        <v/>
      </c>
      <c r="K2184" s="262" t="s">
        <v>4249</v>
      </c>
      <c r="N2184" s="262" t="s">
        <v>4249</v>
      </c>
    </row>
    <row r="2185" spans="1:14" ht="12.75" customHeight="1" x14ac:dyDescent="0.25">
      <c r="A2185" s="17"/>
      <c r="B2185" s="17"/>
      <c r="C2185" s="17" t="s">
        <v>2028</v>
      </c>
      <c r="D2185" s="17"/>
      <c r="E2185" s="17"/>
      <c r="F2185" s="17"/>
      <c r="G2185" s="17" t="s">
        <v>3328</v>
      </c>
      <c r="H2185" s="17" t="s">
        <v>1091</v>
      </c>
      <c r="I2185" s="239" t="str">
        <f>IF(ISBLANK(global!I698),"",global!I698)</f>
        <v/>
      </c>
      <c r="K2185" s="262" t="s">
        <v>4249</v>
      </c>
      <c r="N2185" s="262" t="s">
        <v>4249</v>
      </c>
    </row>
    <row r="2186" spans="1:14" ht="12.75" customHeight="1" x14ac:dyDescent="0.2">
      <c r="A2186" s="38"/>
      <c r="B2186" s="38" t="s">
        <v>2611</v>
      </c>
      <c r="C2186" s="146"/>
      <c r="D2186" s="17"/>
      <c r="E2186" s="17"/>
      <c r="F2186" s="17"/>
      <c r="G2186" s="38" t="s">
        <v>3329</v>
      </c>
      <c r="H2186" s="38" t="s">
        <v>296</v>
      </c>
      <c r="I2186" s="239" t="str">
        <f>IF(ISBLANK(global!I699),"",global!I699)</f>
        <v/>
      </c>
      <c r="K2186" s="262" t="s">
        <v>4249</v>
      </c>
      <c r="N2186" s="262" t="s">
        <v>4249</v>
      </c>
    </row>
    <row r="2187" spans="1:14" ht="12.75" customHeight="1" x14ac:dyDescent="0.2">
      <c r="A2187" s="38"/>
      <c r="B2187" s="38" t="s">
        <v>2613</v>
      </c>
      <c r="C2187" s="146"/>
      <c r="D2187" s="17"/>
      <c r="E2187" s="17"/>
      <c r="F2187" s="17"/>
      <c r="G2187" s="38" t="s">
        <v>3330</v>
      </c>
      <c r="H2187" s="38" t="s">
        <v>296</v>
      </c>
      <c r="I2187" s="239" t="str">
        <f>IF(ISBLANK(global!I700),"",global!I700)</f>
        <v/>
      </c>
      <c r="K2187" s="262" t="s">
        <v>4249</v>
      </c>
      <c r="N2187" s="262" t="s">
        <v>4249</v>
      </c>
    </row>
    <row r="2188" spans="1:14" ht="12.75" customHeight="1" x14ac:dyDescent="0.2">
      <c r="A2188" s="38"/>
      <c r="B2188" s="17"/>
      <c r="C2188" s="38" t="s">
        <v>2615</v>
      </c>
      <c r="D2188" s="17"/>
      <c r="E2188" s="17"/>
      <c r="F2188" s="17"/>
      <c r="G2188" s="146" t="s">
        <v>3331</v>
      </c>
      <c r="H2188" s="38" t="s">
        <v>1097</v>
      </c>
      <c r="I2188" s="239" t="str">
        <f>IF(ISBLANK(global!I701),"",global!I701)</f>
        <v/>
      </c>
      <c r="K2188" s="262" t="s">
        <v>4249</v>
      </c>
      <c r="N2188" s="262" t="s">
        <v>4249</v>
      </c>
    </row>
    <row r="2189" spans="1:14" ht="12.75" customHeight="1" x14ac:dyDescent="0.2">
      <c r="A2189" s="38"/>
      <c r="B2189" s="17"/>
      <c r="C2189" s="38" t="s">
        <v>2617</v>
      </c>
      <c r="D2189" s="17"/>
      <c r="E2189" s="17"/>
      <c r="F2189" s="17"/>
      <c r="G2189" s="146" t="s">
        <v>3332</v>
      </c>
      <c r="H2189" s="38" t="s">
        <v>1097</v>
      </c>
      <c r="I2189" s="239" t="str">
        <f>IF(ISBLANK(global!I702),"",global!I702)</f>
        <v/>
      </c>
      <c r="K2189" s="262" t="s">
        <v>4249</v>
      </c>
      <c r="N2189" s="262" t="s">
        <v>4249</v>
      </c>
    </row>
    <row r="2190" spans="1:14" ht="12.75" customHeight="1" x14ac:dyDescent="0.2">
      <c r="A2190" s="38"/>
      <c r="B2190" s="17"/>
      <c r="C2190" s="38" t="s">
        <v>2619</v>
      </c>
      <c r="D2190" s="17"/>
      <c r="E2190" s="17"/>
      <c r="F2190" s="17"/>
      <c r="G2190" s="146" t="s">
        <v>3333</v>
      </c>
      <c r="H2190" s="38" t="s">
        <v>296</v>
      </c>
      <c r="I2190" s="239" t="str">
        <f>IF(ISBLANK(global!I703),"",global!I703)</f>
        <v/>
      </c>
      <c r="K2190" s="262" t="s">
        <v>4249</v>
      </c>
      <c r="N2190" s="262" t="s">
        <v>4249</v>
      </c>
    </row>
    <row r="2191" spans="1:14" ht="12.75" customHeight="1" x14ac:dyDescent="0.2">
      <c r="A2191" s="38"/>
      <c r="B2191" s="17"/>
      <c r="C2191" s="38" t="s">
        <v>2621</v>
      </c>
      <c r="D2191" s="17"/>
      <c r="E2191" s="17"/>
      <c r="F2191" s="17"/>
      <c r="G2191" s="146" t="s">
        <v>3334</v>
      </c>
      <c r="H2191" s="38" t="s">
        <v>296</v>
      </c>
      <c r="I2191" s="239" t="str">
        <f>IF(ISBLANK(global!I704),"",global!I704)</f>
        <v/>
      </c>
      <c r="K2191" s="262" t="s">
        <v>4249</v>
      </c>
      <c r="N2191" s="262" t="s">
        <v>4249</v>
      </c>
    </row>
    <row r="2192" spans="1:14" ht="12.75" customHeight="1" x14ac:dyDescent="0.2">
      <c r="A2192" s="38"/>
      <c r="B2192" s="17"/>
      <c r="C2192" s="38" t="s">
        <v>2623</v>
      </c>
      <c r="D2192" s="17"/>
      <c r="E2192" s="17"/>
      <c r="F2192" s="17"/>
      <c r="G2192" s="146" t="s">
        <v>3335</v>
      </c>
      <c r="H2192" s="38" t="s">
        <v>586</v>
      </c>
      <c r="I2192" s="239" t="str">
        <f>IF(ISBLANK(global!I705),"",global!I705)</f>
        <v/>
      </c>
      <c r="K2192" s="262" t="s">
        <v>4249</v>
      </c>
      <c r="N2192" s="262" t="s">
        <v>4249</v>
      </c>
    </row>
    <row r="2193" spans="1:14" ht="12.75" customHeight="1" x14ac:dyDescent="0.2">
      <c r="A2193" s="38"/>
      <c r="B2193" s="17"/>
      <c r="C2193" s="38" t="s">
        <v>2625</v>
      </c>
      <c r="D2193" s="17"/>
      <c r="E2193" s="17"/>
      <c r="F2193" s="17"/>
      <c r="G2193" s="146" t="s">
        <v>3336</v>
      </c>
      <c r="H2193" s="38" t="s">
        <v>586</v>
      </c>
      <c r="I2193" s="239" t="str">
        <f>IF(ISBLANK(global!I706),"",global!I706)</f>
        <v/>
      </c>
      <c r="K2193" s="262" t="s">
        <v>4249</v>
      </c>
      <c r="N2193" s="262" t="s">
        <v>4249</v>
      </c>
    </row>
    <row r="2194" spans="1:14" ht="12.75" customHeight="1" x14ac:dyDescent="0.2">
      <c r="A2194" s="38"/>
      <c r="B2194" s="17"/>
      <c r="C2194" s="38" t="s">
        <v>2627</v>
      </c>
      <c r="D2194" s="17"/>
      <c r="E2194" s="17"/>
      <c r="F2194" s="17"/>
      <c r="G2194" s="146" t="s">
        <v>3337</v>
      </c>
      <c r="H2194" s="38" t="s">
        <v>1103</v>
      </c>
      <c r="I2194" s="239" t="str">
        <f>IF(ISBLANK(global!I707),"",global!I707)</f>
        <v/>
      </c>
      <c r="K2194" s="262" t="s">
        <v>4249</v>
      </c>
      <c r="N2194" s="262" t="s">
        <v>4249</v>
      </c>
    </row>
    <row r="2195" spans="1:14" ht="12.75" customHeight="1" x14ac:dyDescent="0.2">
      <c r="A2195" s="38"/>
      <c r="B2195" s="17"/>
      <c r="C2195" s="38" t="s">
        <v>2629</v>
      </c>
      <c r="D2195" s="17"/>
      <c r="E2195" s="17"/>
      <c r="F2195" s="17"/>
      <c r="G2195" s="146" t="s">
        <v>3338</v>
      </c>
      <c r="H2195" s="38" t="s">
        <v>1103</v>
      </c>
      <c r="I2195" s="239" t="str">
        <f>IF(ISBLANK(global!I708),"",global!I708)</f>
        <v/>
      </c>
      <c r="K2195" s="262" t="s">
        <v>4249</v>
      </c>
      <c r="N2195" s="262" t="s">
        <v>4249</v>
      </c>
    </row>
    <row r="2196" spans="1:14" ht="12.75" customHeight="1" x14ac:dyDescent="0.2">
      <c r="A2196" s="38"/>
      <c r="B2196" s="17"/>
      <c r="C2196" s="38" t="s">
        <v>2631</v>
      </c>
      <c r="D2196" s="17"/>
      <c r="E2196" s="17"/>
      <c r="F2196" s="17"/>
      <c r="G2196" s="146" t="s">
        <v>3339</v>
      </c>
      <c r="H2196" s="38" t="s">
        <v>723</v>
      </c>
      <c r="I2196" s="239" t="str">
        <f>IF(ISBLANK(global!I709),"",global!I709)</f>
        <v/>
      </c>
      <c r="K2196" s="262" t="s">
        <v>4249</v>
      </c>
      <c r="N2196" s="262" t="s">
        <v>4249</v>
      </c>
    </row>
    <row r="2197" spans="1:14" ht="12.75" customHeight="1" x14ac:dyDescent="0.2">
      <c r="A2197" s="38"/>
      <c r="B2197" s="17"/>
      <c r="C2197" s="38" t="s">
        <v>2633</v>
      </c>
      <c r="D2197" s="17"/>
      <c r="E2197" s="17"/>
      <c r="F2197" s="17"/>
      <c r="G2197" s="146" t="s">
        <v>3340</v>
      </c>
      <c r="H2197" s="38" t="s">
        <v>723</v>
      </c>
      <c r="I2197" s="239" t="str">
        <f>IF(ISBLANK(global!I710),"",global!I710)</f>
        <v/>
      </c>
      <c r="K2197" s="262" t="s">
        <v>4249</v>
      </c>
      <c r="N2197" s="262" t="s">
        <v>4249</v>
      </c>
    </row>
    <row r="2198" spans="1:14" ht="12.75" customHeight="1" x14ac:dyDescent="0.2">
      <c r="A2198" s="38"/>
      <c r="B2198" s="38" t="s">
        <v>2635</v>
      </c>
      <c r="C2198" s="146"/>
      <c r="D2198" s="17"/>
      <c r="E2198" s="17"/>
      <c r="F2198" s="17"/>
      <c r="G2198" s="146" t="s">
        <v>3341</v>
      </c>
      <c r="H2198" s="38" t="s">
        <v>296</v>
      </c>
      <c r="I2198" s="239" t="str">
        <f>IF(ISBLANK(global!I711),"",global!I711)</f>
        <v/>
      </c>
      <c r="K2198" s="262" t="s">
        <v>4249</v>
      </c>
      <c r="N2198" s="262" t="s">
        <v>4249</v>
      </c>
    </row>
    <row r="2199" spans="1:14" ht="12.75" customHeight="1" x14ac:dyDescent="0.2">
      <c r="A2199" s="38"/>
      <c r="B2199" s="17"/>
      <c r="C2199" s="38" t="s">
        <v>2637</v>
      </c>
      <c r="D2199" s="17"/>
      <c r="E2199" s="17"/>
      <c r="F2199" s="17"/>
      <c r="G2199" s="146" t="s">
        <v>3342</v>
      </c>
      <c r="H2199" s="38" t="s">
        <v>1097</v>
      </c>
      <c r="I2199" s="239" t="str">
        <f>IF(ISBLANK(global!I712),"",global!I712)</f>
        <v/>
      </c>
      <c r="K2199" s="262" t="s">
        <v>4249</v>
      </c>
      <c r="N2199" s="262" t="s">
        <v>4249</v>
      </c>
    </row>
    <row r="2200" spans="1:14" ht="12.75" customHeight="1" x14ac:dyDescent="0.2">
      <c r="A2200" s="38"/>
      <c r="B2200" s="17"/>
      <c r="C2200" s="38" t="s">
        <v>2639</v>
      </c>
      <c r="D2200" s="17"/>
      <c r="E2200" s="17"/>
      <c r="F2200" s="17"/>
      <c r="G2200" s="146" t="s">
        <v>3343</v>
      </c>
      <c r="H2200" s="38" t="s">
        <v>296</v>
      </c>
      <c r="I2200" s="239" t="str">
        <f>IF(ISBLANK(global!I713),"",global!I713)</f>
        <v/>
      </c>
      <c r="K2200" s="262" t="s">
        <v>4249</v>
      </c>
      <c r="N2200" s="262" t="s">
        <v>4249</v>
      </c>
    </row>
    <row r="2201" spans="1:14" ht="12.75" customHeight="1" x14ac:dyDescent="0.2">
      <c r="A2201" s="38"/>
      <c r="B2201" s="38" t="s">
        <v>2641</v>
      </c>
      <c r="C2201" s="146"/>
      <c r="D2201" s="17"/>
      <c r="E2201" s="17"/>
      <c r="F2201" s="17"/>
      <c r="G2201" s="146" t="s">
        <v>3344</v>
      </c>
      <c r="H2201" s="38" t="s">
        <v>296</v>
      </c>
      <c r="I2201" s="239" t="str">
        <f>IF(ISBLANK(global!I714),"",global!I714)</f>
        <v/>
      </c>
      <c r="K2201" s="262" t="s">
        <v>4249</v>
      </c>
      <c r="N2201" s="262" t="s">
        <v>4249</v>
      </c>
    </row>
    <row r="2202" spans="1:14" ht="12.75" customHeight="1" x14ac:dyDescent="0.2">
      <c r="A2202" s="38"/>
      <c r="B2202" s="38" t="s">
        <v>2643</v>
      </c>
      <c r="C2202" s="146"/>
      <c r="D2202" s="17"/>
      <c r="E2202" s="17"/>
      <c r="F2202" s="17"/>
      <c r="G2202" s="146" t="s">
        <v>3345</v>
      </c>
      <c r="H2202" s="38" t="s">
        <v>296</v>
      </c>
      <c r="I2202" s="239" t="str">
        <f>IF(ISBLANK(global!I715),"",global!I715)</f>
        <v/>
      </c>
      <c r="K2202" s="262" t="s">
        <v>4249</v>
      </c>
      <c r="N2202" s="262" t="s">
        <v>4249</v>
      </c>
    </row>
    <row r="2203" spans="1:14" ht="12.75" customHeight="1" x14ac:dyDescent="0.2">
      <c r="A2203" s="38"/>
      <c r="B2203" s="38" t="s">
        <v>2645</v>
      </c>
      <c r="C2203" s="146"/>
      <c r="D2203" s="17"/>
      <c r="E2203" s="17"/>
      <c r="F2203" s="17"/>
      <c r="G2203" s="146" t="s">
        <v>3346</v>
      </c>
      <c r="H2203" s="38" t="s">
        <v>296</v>
      </c>
      <c r="I2203" s="239" t="str">
        <f>IF(ISBLANK(global!I716),"",global!I716)</f>
        <v/>
      </c>
      <c r="K2203" s="262" t="s">
        <v>4249</v>
      </c>
      <c r="N2203" s="262" t="s">
        <v>4249</v>
      </c>
    </row>
    <row r="2204" spans="1:14" ht="12.75" customHeight="1" x14ac:dyDescent="0.2">
      <c r="A2204" s="38"/>
      <c r="B2204" s="17"/>
      <c r="C2204" s="38" t="s">
        <v>2647</v>
      </c>
      <c r="D2204" s="17"/>
      <c r="E2204" s="17"/>
      <c r="F2204" s="17"/>
      <c r="G2204" s="146" t="s">
        <v>3347</v>
      </c>
      <c r="H2204" s="38" t="s">
        <v>1097</v>
      </c>
      <c r="I2204" s="239" t="str">
        <f>IF(ISBLANK(global!I717),"",global!I717)</f>
        <v/>
      </c>
      <c r="K2204" s="262" t="s">
        <v>4249</v>
      </c>
      <c r="N2204" s="262" t="s">
        <v>4249</v>
      </c>
    </row>
    <row r="2205" spans="1:14" ht="12.75" customHeight="1" x14ac:dyDescent="0.2">
      <c r="A2205" s="38"/>
      <c r="B2205" s="17"/>
      <c r="C2205" s="38" t="s">
        <v>2649</v>
      </c>
      <c r="D2205" s="17"/>
      <c r="E2205" s="17"/>
      <c r="F2205" s="17"/>
      <c r="G2205" s="146" t="s">
        <v>3348</v>
      </c>
      <c r="H2205" s="38" t="s">
        <v>296</v>
      </c>
      <c r="I2205" s="239" t="str">
        <f>IF(ISBLANK(global!I718),"",global!I718)</f>
        <v/>
      </c>
      <c r="K2205" s="262" t="s">
        <v>4249</v>
      </c>
      <c r="N2205" s="262" t="s">
        <v>4249</v>
      </c>
    </row>
    <row r="2206" spans="1:14" ht="12.75" customHeight="1" x14ac:dyDescent="0.2">
      <c r="A2206" s="17"/>
      <c r="B2206" s="17"/>
      <c r="C2206" s="17"/>
      <c r="D2206" s="17"/>
      <c r="E2206" s="17"/>
      <c r="F2206" s="17"/>
      <c r="G2206" s="17"/>
      <c r="H2206" s="38"/>
      <c r="I2206" s="239" t="str">
        <f>IF(ISBLANK(global!I719),"",global!I719)</f>
        <v/>
      </c>
      <c r="K2206" s="262" t="s">
        <v>4249</v>
      </c>
      <c r="N2206" s="262" t="s">
        <v>4249</v>
      </c>
    </row>
    <row r="2207" spans="1:14" ht="12.75" customHeight="1" x14ac:dyDescent="0.2">
      <c r="A2207" s="148" t="s">
        <v>1162</v>
      </c>
      <c r="B2207" s="147"/>
      <c r="C2207" s="147"/>
      <c r="D2207" s="147"/>
      <c r="E2207" s="147"/>
      <c r="F2207" s="147"/>
      <c r="G2207" s="148" t="s">
        <v>263</v>
      </c>
      <c r="H2207" s="148" t="s">
        <v>279</v>
      </c>
      <c r="I2207" s="239" t="str">
        <f>IF(ISBLANK(global!I720),"",global!I720)</f>
        <v>User input</v>
      </c>
      <c r="K2207" s="262" t="s">
        <v>264</v>
      </c>
      <c r="N2207" s="262" t="s">
        <v>264</v>
      </c>
    </row>
    <row r="2208" spans="1:14" ht="12.75" customHeight="1" x14ac:dyDescent="0.2">
      <c r="A2208" s="17"/>
      <c r="B2208" s="17"/>
      <c r="C2208" s="17"/>
      <c r="D2208" s="17"/>
      <c r="E2208" s="17"/>
      <c r="F2208" s="17"/>
      <c r="G2208" s="17"/>
      <c r="H2208" s="38"/>
      <c r="I2208" s="239" t="str">
        <f>IF(ISBLANK(global!I721),"",global!I721)</f>
        <v/>
      </c>
      <c r="K2208" s="262" t="s">
        <v>4249</v>
      </c>
      <c r="N2208" s="262" t="s">
        <v>4249</v>
      </c>
    </row>
    <row r="2209" spans="1:14" ht="12.75" customHeight="1" x14ac:dyDescent="0.2">
      <c r="A2209" s="38" t="s">
        <v>2651</v>
      </c>
      <c r="B2209" s="17"/>
      <c r="C2209" s="17"/>
      <c r="D2209" s="17"/>
      <c r="E2209" s="17"/>
      <c r="F2209" s="17"/>
      <c r="G2209" s="38" t="s">
        <v>3349</v>
      </c>
      <c r="H2209" s="38" t="s">
        <v>624</v>
      </c>
      <c r="I2209" s="239" t="str">
        <f>IF(ISBLANK(global!I722),"",global!I722)</f>
        <v/>
      </c>
      <c r="K2209" s="262" t="s">
        <v>4249</v>
      </c>
      <c r="N2209" s="262" t="s">
        <v>4249</v>
      </c>
    </row>
    <row r="2210" spans="1:14" ht="12.75" customHeight="1" x14ac:dyDescent="0.2">
      <c r="A2210" s="38" t="s">
        <v>2653</v>
      </c>
      <c r="B2210" s="17"/>
      <c r="C2210" s="17"/>
      <c r="D2210" s="17"/>
      <c r="E2210" s="17"/>
      <c r="F2210" s="17"/>
      <c r="G2210" s="38" t="s">
        <v>3350</v>
      </c>
      <c r="H2210" s="38" t="s">
        <v>624</v>
      </c>
      <c r="I2210" s="239" t="str">
        <f>IF(ISBLANK(global!I723),"",global!I723)</f>
        <v/>
      </c>
      <c r="K2210" s="262" t="s">
        <v>4249</v>
      </c>
      <c r="N2210" s="262" t="s">
        <v>4249</v>
      </c>
    </row>
    <row r="2211" spans="1:14" ht="12.75" customHeight="1" x14ac:dyDescent="0.2">
      <c r="A2211" s="38" t="s">
        <v>2655</v>
      </c>
      <c r="B2211" s="17"/>
      <c r="C2211" s="17"/>
      <c r="D2211" s="17"/>
      <c r="E2211" s="17"/>
      <c r="F2211" s="17"/>
      <c r="G2211" s="38" t="s">
        <v>3351</v>
      </c>
      <c r="H2211" s="38" t="s">
        <v>624</v>
      </c>
      <c r="I2211" s="239" t="str">
        <f>IF(ISBLANK(global!I724),"",global!I724)</f>
        <v/>
      </c>
      <c r="K2211" s="262" t="s">
        <v>4249</v>
      </c>
      <c r="N2211" s="262" t="s">
        <v>4249</v>
      </c>
    </row>
    <row r="2212" spans="1:14" ht="12.75" customHeight="1" x14ac:dyDescent="0.2">
      <c r="A2212" s="38" t="s">
        <v>2657</v>
      </c>
      <c r="B2212" s="17"/>
      <c r="C2212" s="17"/>
      <c r="D2212" s="17"/>
      <c r="E2212" s="17"/>
      <c r="F2212" s="17"/>
      <c r="G2212" s="38" t="s">
        <v>3352</v>
      </c>
      <c r="H2212" s="38" t="s">
        <v>624</v>
      </c>
      <c r="I2212" s="239" t="str">
        <f>IF(ISBLANK(global!I725),"",global!I725)</f>
        <v/>
      </c>
      <c r="K2212" s="262" t="s">
        <v>4249</v>
      </c>
      <c r="N2212" s="262" t="s">
        <v>4249</v>
      </c>
    </row>
    <row r="2213" spans="1:14" ht="12.75" customHeight="1" x14ac:dyDescent="0.2">
      <c r="A2213" s="17"/>
      <c r="B2213" s="38" t="s">
        <v>2098</v>
      </c>
      <c r="C2213" s="17"/>
      <c r="D2213" s="17"/>
      <c r="E2213" s="17"/>
      <c r="F2213" s="17"/>
      <c r="G2213" s="540" t="s">
        <v>3353</v>
      </c>
      <c r="H2213" s="38" t="s">
        <v>624</v>
      </c>
      <c r="I2213" s="239" t="str">
        <f>IF(ISBLANK(global!I726),"",global!I726)</f>
        <v/>
      </c>
      <c r="K2213" s="262" t="s">
        <v>4249</v>
      </c>
      <c r="N2213" s="262" t="s">
        <v>4249</v>
      </c>
    </row>
    <row r="2214" spans="1:14" ht="12.75" customHeight="1" x14ac:dyDescent="0.2">
      <c r="A2214" s="17"/>
      <c r="B2214" s="38"/>
      <c r="C2214" s="17" t="s">
        <v>2100</v>
      </c>
      <c r="D2214" s="17"/>
      <c r="E2214" s="17"/>
      <c r="F2214" s="17"/>
      <c r="G2214" s="540" t="s">
        <v>3354</v>
      </c>
      <c r="H2214" s="38" t="s">
        <v>624</v>
      </c>
      <c r="I2214" s="239" t="str">
        <f>IF(ISBLANK(global!I727),"",global!I727)</f>
        <v/>
      </c>
      <c r="K2214" s="262" t="s">
        <v>4249</v>
      </c>
      <c r="N2214" s="262" t="s">
        <v>4249</v>
      </c>
    </row>
    <row r="2215" spans="1:14" ht="12.75" customHeight="1" x14ac:dyDescent="0.2">
      <c r="A2215" s="17"/>
      <c r="B2215" s="38"/>
      <c r="C2215" s="38"/>
      <c r="D2215" s="38" t="s">
        <v>2663</v>
      </c>
      <c r="E2215" s="17"/>
      <c r="F2215" s="17"/>
      <c r="G2215" s="38" t="s">
        <v>3355</v>
      </c>
      <c r="H2215" s="38" t="s">
        <v>624</v>
      </c>
      <c r="I2215" s="239" t="str">
        <f>IF(ISBLANK(global!I728),"",global!I728)</f>
        <v/>
      </c>
      <c r="K2215" s="262" t="s">
        <v>4249</v>
      </c>
      <c r="N2215" s="262" t="s">
        <v>4249</v>
      </c>
    </row>
    <row r="2216" spans="1:14" ht="12.75" customHeight="1" x14ac:dyDescent="0.2">
      <c r="A2216" s="17"/>
      <c r="B2216" s="38"/>
      <c r="C2216" s="38"/>
      <c r="D2216" s="38" t="s">
        <v>2665</v>
      </c>
      <c r="E2216" s="17"/>
      <c r="F2216" s="17"/>
      <c r="G2216" s="38" t="s">
        <v>3356</v>
      </c>
      <c r="H2216" s="38" t="s">
        <v>624</v>
      </c>
      <c r="I2216" s="239" t="str">
        <f>IF(ISBLANK(global!I729),"",global!I729)</f>
        <v/>
      </c>
      <c r="K2216" s="262" t="s">
        <v>4249</v>
      </c>
      <c r="N2216" s="262" t="s">
        <v>4249</v>
      </c>
    </row>
    <row r="2217" spans="1:14" ht="12.75" customHeight="1" x14ac:dyDescent="0.2">
      <c r="A2217" s="17"/>
      <c r="B2217" s="38"/>
      <c r="C2217" s="17" t="s">
        <v>1195</v>
      </c>
      <c r="D2217" s="17"/>
      <c r="E2217" s="17"/>
      <c r="F2217" s="17"/>
      <c r="G2217" s="17" t="s">
        <v>3357</v>
      </c>
      <c r="H2217" s="17" t="s">
        <v>1197</v>
      </c>
      <c r="I2217" s="239" t="str">
        <f>IF(ISBLANK(global!I730),"",global!I730)</f>
        <v/>
      </c>
      <c r="K2217" s="262" t="s">
        <v>4249</v>
      </c>
      <c r="N2217" s="262" t="s">
        <v>4249</v>
      </c>
    </row>
    <row r="2218" spans="1:14" ht="12.75" customHeight="1" x14ac:dyDescent="0.2">
      <c r="A2218" s="17"/>
      <c r="B2218" s="38"/>
      <c r="C2218" s="17" t="s">
        <v>1198</v>
      </c>
      <c r="D2218" s="17"/>
      <c r="E2218" s="17"/>
      <c r="F2218" s="17"/>
      <c r="G2218" s="17" t="s">
        <v>3358</v>
      </c>
      <c r="H2218" s="17" t="s">
        <v>1197</v>
      </c>
      <c r="I2218" s="239" t="str">
        <f>IF(ISBLANK(global!I731),"",global!I731)</f>
        <v/>
      </c>
      <c r="K2218" s="262" t="s">
        <v>4249</v>
      </c>
      <c r="N2218" s="262" t="s">
        <v>4249</v>
      </c>
    </row>
    <row r="2219" spans="1:14" ht="12.75" customHeight="1" x14ac:dyDescent="0.2">
      <c r="A2219" s="17"/>
      <c r="B2219" s="38"/>
      <c r="C2219" s="38" t="s">
        <v>1200</v>
      </c>
      <c r="D2219" s="17"/>
      <c r="E2219" s="17"/>
      <c r="F2219" s="17"/>
      <c r="G2219" s="146" t="s">
        <v>3359</v>
      </c>
      <c r="H2219" s="31" t="s">
        <v>1202</v>
      </c>
      <c r="I2219" s="239" t="str">
        <f>IF(ISBLANK(global!I732),"",global!I732)</f>
        <v/>
      </c>
      <c r="K2219" s="262" t="s">
        <v>4249</v>
      </c>
      <c r="N2219" s="262" t="s">
        <v>4249</v>
      </c>
    </row>
    <row r="2220" spans="1:14" ht="12.75" customHeight="1" x14ac:dyDescent="0.2">
      <c r="A2220" s="17"/>
      <c r="B2220" s="38"/>
      <c r="C2220" s="38" t="s">
        <v>1203</v>
      </c>
      <c r="D2220" s="17"/>
      <c r="E2220" s="17"/>
      <c r="F2220" s="17"/>
      <c r="G2220" s="38" t="s">
        <v>3360</v>
      </c>
      <c r="H2220" s="146" t="s">
        <v>1202</v>
      </c>
      <c r="I2220" s="239" t="str">
        <f>IF(ISBLANK(global!I733),"",global!I733)</f>
        <v/>
      </c>
      <c r="K2220" s="262" t="s">
        <v>4249</v>
      </c>
      <c r="N2220" s="262" t="s">
        <v>4249</v>
      </c>
    </row>
    <row r="2221" spans="1:14" ht="12.75" customHeight="1" x14ac:dyDescent="0.2">
      <c r="A2221" s="17"/>
      <c r="B2221" s="38"/>
      <c r="C2221" s="38" t="s">
        <v>2110</v>
      </c>
      <c r="D2221" s="17"/>
      <c r="E2221" s="17"/>
      <c r="F2221" s="17"/>
      <c r="G2221" s="38" t="s">
        <v>3362</v>
      </c>
      <c r="H2221" s="146" t="s">
        <v>1202</v>
      </c>
      <c r="I2221" s="239" t="str">
        <f>IF(ISBLANK(global!I734),"",global!I734)</f>
        <v/>
      </c>
      <c r="K2221" s="262" t="s">
        <v>4249</v>
      </c>
      <c r="N2221" s="262" t="s">
        <v>4249</v>
      </c>
    </row>
    <row r="2222" spans="1:14" ht="12.75" customHeight="1" x14ac:dyDescent="0.2">
      <c r="A2222" s="17"/>
      <c r="B2222" s="38"/>
      <c r="C2222" s="17"/>
      <c r="D2222" s="146" t="s">
        <v>1207</v>
      </c>
      <c r="E2222" s="146"/>
      <c r="F2222" s="146"/>
      <c r="G2222" s="146" t="s">
        <v>3363</v>
      </c>
      <c r="H2222" s="31" t="s">
        <v>1202</v>
      </c>
      <c r="I2222" s="239" t="str">
        <f>IF(ISBLANK(global!I735),"",global!I735)</f>
        <v/>
      </c>
      <c r="K2222" s="262" t="s">
        <v>4249</v>
      </c>
      <c r="N2222" s="262" t="s">
        <v>4249</v>
      </c>
    </row>
    <row r="2223" spans="1:14" ht="12.75" customHeight="1" x14ac:dyDescent="0.2">
      <c r="A2223" s="17"/>
      <c r="B2223" s="38"/>
      <c r="C2223" s="17"/>
      <c r="D2223" s="38" t="s">
        <v>2673</v>
      </c>
      <c r="E2223" s="146"/>
      <c r="F2223" s="146"/>
      <c r="G2223" s="146" t="s">
        <v>3364</v>
      </c>
      <c r="H2223" s="146" t="s">
        <v>2675</v>
      </c>
      <c r="I2223" s="239" t="str">
        <f>IF(ISBLANK(global!I736),"",global!I736)</f>
        <v/>
      </c>
      <c r="K2223" s="262" t="s">
        <v>4249</v>
      </c>
      <c r="N2223" s="262" t="s">
        <v>4249</v>
      </c>
    </row>
    <row r="2224" spans="1:14" ht="12.75" customHeight="1" x14ac:dyDescent="0.2">
      <c r="A2224" s="17"/>
      <c r="B2224" s="38"/>
      <c r="C2224" s="17"/>
      <c r="D2224" s="38" t="s">
        <v>1209</v>
      </c>
      <c r="E2224" s="17"/>
      <c r="F2224" s="17"/>
      <c r="G2224" s="146" t="s">
        <v>3365</v>
      </c>
      <c r="H2224" s="38" t="s">
        <v>296</v>
      </c>
      <c r="I2224" s="239" t="str">
        <f>IF(ISBLANK(global!I737),"",global!I737)</f>
        <v/>
      </c>
      <c r="K2224" s="262" t="s">
        <v>4249</v>
      </c>
      <c r="N2224" s="262" t="s">
        <v>4249</v>
      </c>
    </row>
    <row r="2225" spans="1:14" ht="12.75" customHeight="1" x14ac:dyDescent="0.2">
      <c r="A2225" s="17"/>
      <c r="B2225" s="38" t="s">
        <v>1211</v>
      </c>
      <c r="C2225" s="17"/>
      <c r="D2225" s="17"/>
      <c r="E2225" s="146"/>
      <c r="F2225" s="146"/>
      <c r="G2225" s="540" t="s">
        <v>3366</v>
      </c>
      <c r="H2225" s="38" t="s">
        <v>1202</v>
      </c>
      <c r="I2225" s="239" t="str">
        <f>IF(ISBLANK(global!I738),"",global!I738)</f>
        <v/>
      </c>
      <c r="K2225" s="262" t="s">
        <v>4249</v>
      </c>
      <c r="N2225" s="262" t="s">
        <v>4249</v>
      </c>
    </row>
    <row r="2226" spans="1:14" ht="12.75" customHeight="1" x14ac:dyDescent="0.2">
      <c r="A2226" s="17"/>
      <c r="B2226" s="38" t="s">
        <v>1213</v>
      </c>
      <c r="C2226" s="17"/>
      <c r="D2226" s="17"/>
      <c r="E2226" s="146"/>
      <c r="F2226" s="146"/>
      <c r="G2226" s="540" t="s">
        <v>3367</v>
      </c>
      <c r="H2226" s="38" t="s">
        <v>1202</v>
      </c>
      <c r="I2226" s="239" t="str">
        <f>IF(ISBLANK(global!I739),"",global!I739)</f>
        <v/>
      </c>
      <c r="K2226" s="262" t="s">
        <v>4249</v>
      </c>
      <c r="N2226" s="262" t="s">
        <v>4249</v>
      </c>
    </row>
    <row r="2227" spans="1:14" ht="12.75" customHeight="1" x14ac:dyDescent="0.2">
      <c r="A2227" s="17"/>
      <c r="B2227" s="38" t="s">
        <v>2679</v>
      </c>
      <c r="C2227" s="17"/>
      <c r="D2227" s="17"/>
      <c r="E2227" s="17"/>
      <c r="F2227" s="17"/>
      <c r="G2227" s="540" t="s">
        <v>3368</v>
      </c>
      <c r="H2227" s="38" t="s">
        <v>1202</v>
      </c>
      <c r="I2227" s="239" t="str">
        <f>IF(ISBLANK(global!I740),"",global!I740)</f>
        <v/>
      </c>
      <c r="K2227" s="262" t="s">
        <v>4249</v>
      </c>
      <c r="N2227" s="262" t="s">
        <v>4249</v>
      </c>
    </row>
    <row r="2228" spans="1:14" ht="12.75" customHeight="1" x14ac:dyDescent="0.2">
      <c r="A2228" s="17"/>
      <c r="B2228" s="38" t="s">
        <v>2681</v>
      </c>
      <c r="C2228" s="17"/>
      <c r="D2228" s="17"/>
      <c r="E2228" s="146"/>
      <c r="F2228" s="146"/>
      <c r="G2228" s="540" t="s">
        <v>3369</v>
      </c>
      <c r="H2228" s="38" t="s">
        <v>1202</v>
      </c>
      <c r="I2228" s="239" t="str">
        <f>IF(ISBLANK(global!I741),"",global!I741)</f>
        <v/>
      </c>
      <c r="K2228" s="262" t="s">
        <v>4249</v>
      </c>
      <c r="N2228" s="262" t="s">
        <v>4249</v>
      </c>
    </row>
    <row r="2229" spans="1:14" ht="12.75" customHeight="1" x14ac:dyDescent="0.2">
      <c r="A2229" s="17"/>
      <c r="B2229" s="38"/>
      <c r="C2229" s="17" t="s">
        <v>1222</v>
      </c>
      <c r="D2229" s="17"/>
      <c r="E2229" s="17"/>
      <c r="F2229" s="17"/>
      <c r="G2229" s="17" t="s">
        <v>3370</v>
      </c>
      <c r="H2229" s="31" t="s">
        <v>1202</v>
      </c>
      <c r="I2229" s="239" t="str">
        <f>IF(ISBLANK(global!I742),"",global!I742)</f>
        <v/>
      </c>
      <c r="K2229" s="262" t="s">
        <v>4249</v>
      </c>
      <c r="N2229" s="262" t="s">
        <v>4249</v>
      </c>
    </row>
    <row r="2230" spans="1:14" ht="12.75" customHeight="1" x14ac:dyDescent="0.2">
      <c r="A2230" s="17"/>
      <c r="B2230" s="38"/>
      <c r="C2230" s="17" t="s">
        <v>1224</v>
      </c>
      <c r="D2230" s="17"/>
      <c r="E2230" s="17"/>
      <c r="F2230" s="17"/>
      <c r="G2230" s="17" t="s">
        <v>3371</v>
      </c>
      <c r="H2230" s="31" t="s">
        <v>1202</v>
      </c>
      <c r="I2230" s="239" t="str">
        <f>IF(ISBLANK(global!I743),"",global!I743)</f>
        <v/>
      </c>
      <c r="K2230" s="262" t="s">
        <v>4249</v>
      </c>
      <c r="N2230" s="262" t="s">
        <v>4249</v>
      </c>
    </row>
    <row r="2231" spans="1:14" ht="12.75" customHeight="1" x14ac:dyDescent="0.2">
      <c r="A2231" s="38"/>
      <c r="B2231" s="17"/>
      <c r="C2231" s="17"/>
      <c r="D2231" s="146" t="s">
        <v>2685</v>
      </c>
      <c r="E2231" s="17"/>
      <c r="F2231" s="17"/>
      <c r="G2231" s="38" t="s">
        <v>3372</v>
      </c>
      <c r="H2231" s="31" t="s">
        <v>1202</v>
      </c>
      <c r="I2231" s="239" t="str">
        <f>IF(ISBLANK(global!I744),"",global!I744)</f>
        <v/>
      </c>
      <c r="K2231" s="262" t="s">
        <v>4249</v>
      </c>
      <c r="N2231" s="262" t="s">
        <v>4249</v>
      </c>
    </row>
    <row r="2232" spans="1:14" ht="12.75" customHeight="1" x14ac:dyDescent="0.2">
      <c r="A2232" s="17"/>
      <c r="B2232" s="38"/>
      <c r="C2232" s="17" t="s">
        <v>1232</v>
      </c>
      <c r="D2232" s="17"/>
      <c r="E2232" s="146"/>
      <c r="F2232" s="146"/>
      <c r="G2232" s="17" t="s">
        <v>3373</v>
      </c>
      <c r="H2232" s="31" t="s">
        <v>1202</v>
      </c>
      <c r="I2232" s="239" t="str">
        <f>IF(ISBLANK(global!I745),"",global!I745)</f>
        <v/>
      </c>
      <c r="K2232" s="262" t="s">
        <v>4249</v>
      </c>
      <c r="N2232" s="262" t="s">
        <v>4249</v>
      </c>
    </row>
    <row r="2233" spans="1:14" ht="12.75" customHeight="1" x14ac:dyDescent="0.2">
      <c r="A2233" s="17"/>
      <c r="B2233" s="38"/>
      <c r="C2233" s="17" t="s">
        <v>1234</v>
      </c>
      <c r="D2233" s="17"/>
      <c r="E2233" s="17"/>
      <c r="F2233" s="17"/>
      <c r="G2233" s="17" t="s">
        <v>3374</v>
      </c>
      <c r="H2233" s="146" t="s">
        <v>1202</v>
      </c>
      <c r="I2233" s="239" t="str">
        <f>IF(ISBLANK(global!I746),"",global!I746)</f>
        <v/>
      </c>
      <c r="K2233" s="262" t="s">
        <v>4249</v>
      </c>
      <c r="N2233" s="262" t="s">
        <v>4249</v>
      </c>
    </row>
    <row r="2234" spans="1:14" ht="12.75" customHeight="1" x14ac:dyDescent="0.2">
      <c r="A2234" s="17"/>
      <c r="B2234" s="38"/>
      <c r="C2234" s="17" t="s">
        <v>1236</v>
      </c>
      <c r="D2234" s="17"/>
      <c r="E2234" s="146"/>
      <c r="F2234" s="17"/>
      <c r="G2234" s="38" t="s">
        <v>3375</v>
      </c>
      <c r="H2234" s="17" t="s">
        <v>296</v>
      </c>
      <c r="I2234" s="239" t="str">
        <f>IF(ISBLANK(global!I747),"",global!I747)</f>
        <v/>
      </c>
      <c r="K2234" s="262" t="s">
        <v>4249</v>
      </c>
      <c r="N2234" s="262" t="s">
        <v>4249</v>
      </c>
    </row>
    <row r="2235" spans="1:14" ht="12.75" customHeight="1" x14ac:dyDescent="0.2">
      <c r="A2235" s="17"/>
      <c r="B2235" s="17"/>
      <c r="C2235" s="17"/>
      <c r="D2235" s="17"/>
      <c r="E2235" s="17"/>
      <c r="F2235" s="17"/>
      <c r="G2235" s="17"/>
      <c r="H2235" s="17"/>
      <c r="I2235" s="239" t="str">
        <f>IF(ISBLANK(global!I748),"",global!I748)</f>
        <v/>
      </c>
      <c r="K2235" s="262" t="s">
        <v>4249</v>
      </c>
      <c r="N2235" s="262" t="s">
        <v>4249</v>
      </c>
    </row>
    <row r="2236" spans="1:14" ht="12.75" customHeight="1" x14ac:dyDescent="0.2">
      <c r="A2236" s="38" t="s">
        <v>2690</v>
      </c>
      <c r="B2236" s="17"/>
      <c r="C2236" s="17"/>
      <c r="D2236" s="17"/>
      <c r="E2236" s="17"/>
      <c r="F2236" s="17"/>
      <c r="G2236" s="38" t="s">
        <v>3376</v>
      </c>
      <c r="H2236" s="38" t="s">
        <v>624</v>
      </c>
      <c r="I2236" s="239" t="str">
        <f>IF(ISBLANK(global!I749),"",global!I749)</f>
        <v/>
      </c>
      <c r="K2236" s="262" t="s">
        <v>4249</v>
      </c>
      <c r="N2236" s="262" t="s">
        <v>4249</v>
      </c>
    </row>
    <row r="2237" spans="1:14" ht="12.75" customHeight="1" x14ac:dyDescent="0.2">
      <c r="A2237" s="38" t="s">
        <v>2692</v>
      </c>
      <c r="B2237" s="17"/>
      <c r="C2237" s="17"/>
      <c r="D2237" s="17"/>
      <c r="E2237" s="17"/>
      <c r="F2237" s="17"/>
      <c r="G2237" s="38" t="s">
        <v>3377</v>
      </c>
      <c r="H2237" s="38" t="s">
        <v>624</v>
      </c>
      <c r="I2237" s="239" t="str">
        <f>IF(ISBLANK(global!I750),"",global!I750)</f>
        <v/>
      </c>
      <c r="K2237" s="262" t="s">
        <v>4249</v>
      </c>
      <c r="N2237" s="262" t="s">
        <v>4249</v>
      </c>
    </row>
    <row r="2238" spans="1:14" ht="12.75" customHeight="1" x14ac:dyDescent="0.2">
      <c r="A2238" s="38"/>
      <c r="B2238" s="38" t="s">
        <v>2694</v>
      </c>
      <c r="C2238" s="17"/>
      <c r="D2238" s="17"/>
      <c r="E2238" s="17"/>
      <c r="F2238" s="17"/>
      <c r="G2238" s="540" t="s">
        <v>3378</v>
      </c>
      <c r="H2238" s="38" t="s">
        <v>1202</v>
      </c>
      <c r="I2238" s="239" t="str">
        <f>IF(ISBLANK(global!I751),"",global!I751)</f>
        <v/>
      </c>
      <c r="K2238" s="262" t="s">
        <v>4249</v>
      </c>
      <c r="N2238" s="262" t="s">
        <v>4249</v>
      </c>
    </row>
    <row r="2239" spans="1:14" ht="12.75" customHeight="1" x14ac:dyDescent="0.2">
      <c r="A2239" s="38"/>
      <c r="B2239" s="38" t="s">
        <v>2696</v>
      </c>
      <c r="C2239" s="17"/>
      <c r="D2239" s="17"/>
      <c r="E2239" s="17"/>
      <c r="F2239" s="17"/>
      <c r="G2239" s="540" t="s">
        <v>3379</v>
      </c>
      <c r="H2239" s="38" t="s">
        <v>1202</v>
      </c>
      <c r="I2239" s="239" t="str">
        <f>IF(ISBLANK(global!I752),"",global!I752)</f>
        <v/>
      </c>
      <c r="K2239" s="262" t="s">
        <v>4249</v>
      </c>
      <c r="N2239" s="262" t="s">
        <v>4249</v>
      </c>
    </row>
    <row r="2240" spans="1:14" ht="12.75" customHeight="1" x14ac:dyDescent="0.2">
      <c r="A2240" s="17"/>
      <c r="B2240" s="38"/>
      <c r="C2240" s="38" t="s">
        <v>1268</v>
      </c>
      <c r="D2240" s="17"/>
      <c r="E2240" s="17"/>
      <c r="F2240" s="17"/>
      <c r="G2240" s="146" t="s">
        <v>3380</v>
      </c>
      <c r="H2240" s="31" t="s">
        <v>1202</v>
      </c>
      <c r="I2240" s="239" t="str">
        <f>IF(ISBLANK(global!I753),"",global!I753)</f>
        <v/>
      </c>
      <c r="K2240" s="262" t="s">
        <v>4249</v>
      </c>
      <c r="N2240" s="262" t="s">
        <v>4249</v>
      </c>
    </row>
    <row r="2241" spans="1:14" ht="12.75" customHeight="1" x14ac:dyDescent="0.2">
      <c r="A2241" s="38"/>
      <c r="B2241" s="17"/>
      <c r="C2241" s="38"/>
      <c r="D2241" s="38" t="s">
        <v>1272</v>
      </c>
      <c r="E2241" s="146"/>
      <c r="F2241" s="146"/>
      <c r="G2241" s="146" t="s">
        <v>3381</v>
      </c>
      <c r="H2241" s="31" t="s">
        <v>1202</v>
      </c>
      <c r="I2241" s="239" t="str">
        <f>IF(ISBLANK(global!I754),"",global!I754)</f>
        <v/>
      </c>
      <c r="K2241" s="262" t="s">
        <v>4249</v>
      </c>
      <c r="N2241" s="262" t="s">
        <v>4249</v>
      </c>
    </row>
    <row r="2242" spans="1:14" ht="12.75" customHeight="1" x14ac:dyDescent="0.2">
      <c r="A2242" s="38"/>
      <c r="B2242" s="17"/>
      <c r="C2242" s="38"/>
      <c r="D2242" s="38" t="s">
        <v>2700</v>
      </c>
      <c r="E2242" s="146"/>
      <c r="F2242" s="146"/>
      <c r="G2242" s="146" t="s">
        <v>3382</v>
      </c>
      <c r="H2242" s="31" t="s">
        <v>1202</v>
      </c>
      <c r="I2242" s="239" t="str">
        <f>IF(ISBLANK(global!I755),"",global!I755)</f>
        <v/>
      </c>
      <c r="K2242" s="262" t="s">
        <v>4249</v>
      </c>
      <c r="N2242" s="262" t="s">
        <v>4249</v>
      </c>
    </row>
    <row r="2243" spans="1:14" ht="12.75" customHeight="1" x14ac:dyDescent="0.2">
      <c r="A2243" s="17"/>
      <c r="B2243" s="38"/>
      <c r="C2243" s="38"/>
      <c r="D2243" s="38"/>
      <c r="E2243" s="38" t="s">
        <v>2702</v>
      </c>
      <c r="F2243" s="38"/>
      <c r="G2243" s="146" t="s">
        <v>3383</v>
      </c>
      <c r="H2243" s="38" t="s">
        <v>1284</v>
      </c>
      <c r="I2243" s="239" t="str">
        <f>IF(ISBLANK(global!I756),"",global!I756)</f>
        <v/>
      </c>
      <c r="K2243" s="262" t="s">
        <v>4249</v>
      </c>
      <c r="N2243" s="262" t="s">
        <v>4249</v>
      </c>
    </row>
    <row r="2244" spans="1:14" ht="12.75" customHeight="1" x14ac:dyDescent="0.2">
      <c r="A2244" s="17"/>
      <c r="B2244" s="17" t="s">
        <v>2705</v>
      </c>
      <c r="C2244" s="146"/>
      <c r="D2244" s="146"/>
      <c r="E2244" s="17"/>
      <c r="F2244" s="17"/>
      <c r="G2244" s="540" t="s">
        <v>3384</v>
      </c>
      <c r="H2244" s="38" t="s">
        <v>1217</v>
      </c>
      <c r="I2244" s="239" t="str">
        <f>IF(ISBLANK(global!I757),"",global!I757)</f>
        <v/>
      </c>
      <c r="K2244" s="262" t="s">
        <v>4249</v>
      </c>
      <c r="N2244" s="262" t="s">
        <v>4249</v>
      </c>
    </row>
    <row r="2245" spans="1:14" ht="12.75" customHeight="1" x14ac:dyDescent="0.2">
      <c r="A2245" s="17"/>
      <c r="B2245" s="17" t="s">
        <v>2707</v>
      </c>
      <c r="C2245" s="146"/>
      <c r="D2245" s="146"/>
      <c r="E2245" s="17"/>
      <c r="F2245" s="17"/>
      <c r="G2245" s="540" t="s">
        <v>3385</v>
      </c>
      <c r="H2245" s="38" t="s">
        <v>1217</v>
      </c>
      <c r="I2245" s="239" t="str">
        <f>IF(ISBLANK(global!I758),"",global!I758)</f>
        <v/>
      </c>
      <c r="K2245" s="262" t="s">
        <v>4249</v>
      </c>
      <c r="N2245" s="262" t="s">
        <v>4249</v>
      </c>
    </row>
    <row r="2246" spans="1:14" ht="12.75" customHeight="1" x14ac:dyDescent="0.2">
      <c r="A2246" s="17"/>
      <c r="B2246" s="38"/>
      <c r="C2246" s="17" t="s">
        <v>1296</v>
      </c>
      <c r="D2246" s="17"/>
      <c r="E2246" s="17"/>
      <c r="F2246" s="17"/>
      <c r="G2246" s="17" t="s">
        <v>3386</v>
      </c>
      <c r="H2246" s="31" t="s">
        <v>1202</v>
      </c>
      <c r="I2246" s="239" t="str">
        <f>IF(ISBLANK(global!I759),"",global!I759)</f>
        <v/>
      </c>
      <c r="K2246" s="262" t="s">
        <v>4249</v>
      </c>
      <c r="N2246" s="262" t="s">
        <v>4249</v>
      </c>
    </row>
    <row r="2247" spans="1:14" ht="12.75" customHeight="1" x14ac:dyDescent="0.2">
      <c r="A2247" s="17"/>
      <c r="B2247" s="38"/>
      <c r="C2247" s="17" t="s">
        <v>1298</v>
      </c>
      <c r="D2247" s="17"/>
      <c r="E2247" s="17"/>
      <c r="F2247" s="17"/>
      <c r="G2247" s="17" t="s">
        <v>3387</v>
      </c>
      <c r="H2247" s="31" t="s">
        <v>1202</v>
      </c>
      <c r="I2247" s="239" t="str">
        <f>IF(ISBLANK(global!I760),"",global!I760)</f>
        <v/>
      </c>
      <c r="K2247" s="262" t="s">
        <v>4249</v>
      </c>
      <c r="N2247" s="262" t="s">
        <v>4249</v>
      </c>
    </row>
    <row r="2248" spans="1:14" ht="12.75" customHeight="1" x14ac:dyDescent="0.2">
      <c r="A2248" s="17"/>
      <c r="B2248" s="17"/>
      <c r="C2248" s="17"/>
      <c r="D2248" s="17"/>
      <c r="E2248" s="17"/>
      <c r="F2248" s="17"/>
      <c r="G2248" s="17"/>
      <c r="H2248" s="17"/>
      <c r="I2248" s="239" t="str">
        <f>IF(ISBLANK(global!I761),"",global!I761)</f>
        <v/>
      </c>
      <c r="K2248" s="262" t="s">
        <v>4249</v>
      </c>
      <c r="N2248" s="262" t="s">
        <v>4249</v>
      </c>
    </row>
    <row r="2249" spans="1:14" ht="12.75" customHeight="1" x14ac:dyDescent="0.2">
      <c r="A2249" s="38" t="s">
        <v>2711</v>
      </c>
      <c r="B2249" s="17"/>
      <c r="C2249" s="17"/>
      <c r="D2249" s="17"/>
      <c r="E2249" s="17"/>
      <c r="F2249" s="17"/>
      <c r="G2249" s="38" t="s">
        <v>3388</v>
      </c>
      <c r="H2249" s="38" t="s">
        <v>624</v>
      </c>
      <c r="I2249" s="239" t="str">
        <f>IF(ISBLANK(global!I762),"",global!I762)</f>
        <v/>
      </c>
      <c r="K2249" s="262" t="s">
        <v>4249</v>
      </c>
      <c r="N2249" s="262" t="s">
        <v>4249</v>
      </c>
    </row>
    <row r="2250" spans="1:14" ht="12.75" customHeight="1" x14ac:dyDescent="0.2">
      <c r="A2250" s="17"/>
      <c r="B2250" s="17"/>
      <c r="C2250" s="146" t="s">
        <v>2713</v>
      </c>
      <c r="D2250" s="17"/>
      <c r="E2250" s="17"/>
      <c r="F2250" s="17"/>
      <c r="G2250" s="146" t="s">
        <v>3389</v>
      </c>
      <c r="H2250" s="31" t="s">
        <v>1202</v>
      </c>
      <c r="I2250" s="239" t="str">
        <f>IF(ISBLANK(global!I763),"",global!I763)</f>
        <v/>
      </c>
      <c r="K2250" s="262" t="s">
        <v>4249</v>
      </c>
      <c r="N2250" s="262" t="s">
        <v>4249</v>
      </c>
    </row>
    <row r="2251" spans="1:14" ht="12.75" customHeight="1" x14ac:dyDescent="0.2">
      <c r="A2251" s="17"/>
      <c r="B2251" s="17"/>
      <c r="C2251" s="38" t="s">
        <v>2715</v>
      </c>
      <c r="D2251" s="17"/>
      <c r="E2251" s="17"/>
      <c r="F2251" s="17"/>
      <c r="G2251" s="146" t="s">
        <v>3390</v>
      </c>
      <c r="H2251" s="38" t="s">
        <v>296</v>
      </c>
      <c r="I2251" s="239" t="str">
        <f>IF(ISBLANK(global!I764),"",global!I764)</f>
        <v/>
      </c>
      <c r="K2251" s="262" t="s">
        <v>4249</v>
      </c>
      <c r="N2251" s="262" t="s">
        <v>4249</v>
      </c>
    </row>
    <row r="2252" spans="1:14" ht="12.75" customHeight="1" x14ac:dyDescent="0.2">
      <c r="A2252" s="38"/>
      <c r="B2252" s="38"/>
      <c r="C2252" s="17" t="s">
        <v>1236</v>
      </c>
      <c r="D2252" s="17"/>
      <c r="E2252" s="146"/>
      <c r="F2252" s="146"/>
      <c r="G2252" s="38" t="s">
        <v>3391</v>
      </c>
      <c r="H2252" s="17" t="s">
        <v>296</v>
      </c>
      <c r="I2252" s="239" t="str">
        <f>IF(ISBLANK(global!I765),"",global!I765)</f>
        <v/>
      </c>
      <c r="K2252" s="262" t="s">
        <v>4249</v>
      </c>
      <c r="N2252" s="262" t="s">
        <v>4249</v>
      </c>
    </row>
    <row r="2253" spans="1:14" ht="12.75" customHeight="1" x14ac:dyDescent="0.2">
      <c r="A2253" s="17"/>
      <c r="B2253" s="17"/>
      <c r="C2253" s="17"/>
      <c r="D2253" s="17"/>
      <c r="E2253" s="17"/>
      <c r="F2253" s="17"/>
      <c r="G2253" s="17"/>
      <c r="H2253" s="38"/>
      <c r="I2253" s="239" t="str">
        <f>IF(ISBLANK(global!I766),"",global!I766)</f>
        <v/>
      </c>
      <c r="K2253" s="262" t="s">
        <v>4249</v>
      </c>
      <c r="N2253" s="262" t="s">
        <v>4249</v>
      </c>
    </row>
    <row r="2254" spans="1:14" ht="12.75" customHeight="1" x14ac:dyDescent="0.2">
      <c r="A2254" s="148" t="s">
        <v>1321</v>
      </c>
      <c r="B2254" s="147"/>
      <c r="C2254" s="147"/>
      <c r="D2254" s="147"/>
      <c r="E2254" s="147"/>
      <c r="F2254" s="147"/>
      <c r="G2254" s="148" t="s">
        <v>263</v>
      </c>
      <c r="H2254" s="148" t="s">
        <v>279</v>
      </c>
      <c r="I2254" s="239" t="str">
        <f>IF(ISBLANK(global!I767),"",global!I767)</f>
        <v>User input</v>
      </c>
      <c r="K2254" s="262" t="s">
        <v>264</v>
      </c>
      <c r="N2254" s="262" t="s">
        <v>264</v>
      </c>
    </row>
    <row r="2255" spans="1:14" ht="12.75" customHeight="1" x14ac:dyDescent="0.2">
      <c r="A2255" s="38"/>
      <c r="B2255" s="17"/>
      <c r="C2255" s="17"/>
      <c r="D2255" s="17"/>
      <c r="E2255" s="17"/>
      <c r="F2255" s="17"/>
      <c r="G2255" s="17"/>
      <c r="H2255" s="38"/>
      <c r="I2255" s="239" t="str">
        <f>IF(ISBLANK(global!I768),"",global!I768)</f>
        <v/>
      </c>
      <c r="K2255" s="262" t="s">
        <v>4249</v>
      </c>
      <c r="N2255" s="262" t="s">
        <v>4249</v>
      </c>
    </row>
    <row r="2256" spans="1:14" ht="12.75" customHeight="1" x14ac:dyDescent="0.2">
      <c r="A2256" s="38" t="s">
        <v>1322</v>
      </c>
      <c r="B2256" s="17"/>
      <c r="C2256" s="17"/>
      <c r="D2256" s="17"/>
      <c r="E2256" s="17"/>
      <c r="F2256" s="17"/>
      <c r="G2256" s="38" t="s">
        <v>3392</v>
      </c>
      <c r="H2256" s="38" t="s">
        <v>624</v>
      </c>
      <c r="I2256" s="239" t="str">
        <f>IF(ISBLANK(global!I769),"",global!I769)</f>
        <v/>
      </c>
      <c r="K2256" s="262" t="s">
        <v>4249</v>
      </c>
      <c r="N2256" s="262" t="s">
        <v>4249</v>
      </c>
    </row>
    <row r="2257" spans="1:14" ht="12.75" customHeight="1" x14ac:dyDescent="0.2">
      <c r="A2257" s="38" t="s">
        <v>2719</v>
      </c>
      <c r="B2257" s="17"/>
      <c r="C2257" s="17"/>
      <c r="D2257" s="17"/>
      <c r="E2257" s="17"/>
      <c r="F2257" s="17"/>
      <c r="G2257" s="38" t="s">
        <v>3393</v>
      </c>
      <c r="H2257" s="38" t="s">
        <v>624</v>
      </c>
      <c r="I2257" s="239" t="str">
        <f>IF(ISBLANK(global!I770),"",global!I770)</f>
        <v/>
      </c>
      <c r="K2257" s="262" t="s">
        <v>4249</v>
      </c>
      <c r="N2257" s="262" t="s">
        <v>4249</v>
      </c>
    </row>
    <row r="2258" spans="1:14" ht="12.75" customHeight="1" x14ac:dyDescent="0.2">
      <c r="A2258" s="38" t="s">
        <v>2721</v>
      </c>
      <c r="B2258" s="17"/>
      <c r="C2258" s="17"/>
      <c r="D2258" s="17"/>
      <c r="E2258" s="17"/>
      <c r="F2258" s="17"/>
      <c r="G2258" s="38" t="s">
        <v>3394</v>
      </c>
      <c r="H2258" s="38" t="s">
        <v>624</v>
      </c>
      <c r="I2258" s="239" t="str">
        <f>IF(ISBLANK(global!I771),"",global!I771)</f>
        <v/>
      </c>
      <c r="K2258" s="262" t="s">
        <v>4249</v>
      </c>
      <c r="N2258" s="262" t="s">
        <v>4249</v>
      </c>
    </row>
    <row r="2259" spans="1:14" ht="12.75" customHeight="1" x14ac:dyDescent="0.2">
      <c r="A2259" s="38" t="s">
        <v>2723</v>
      </c>
      <c r="B2259" s="17"/>
      <c r="C2259" s="17"/>
      <c r="D2259" s="17"/>
      <c r="E2259" s="17"/>
      <c r="F2259" s="17"/>
      <c r="G2259" s="38" t="s">
        <v>3395</v>
      </c>
      <c r="H2259" s="38" t="s">
        <v>624</v>
      </c>
      <c r="I2259" s="239" t="str">
        <f>IF(ISBLANK(global!I772),"",global!I772)</f>
        <v/>
      </c>
      <c r="K2259" s="262" t="s">
        <v>4249</v>
      </c>
      <c r="N2259" s="262" t="s">
        <v>4249</v>
      </c>
    </row>
    <row r="2260" spans="1:14" ht="12.75" customHeight="1" x14ac:dyDescent="0.2">
      <c r="A2260" s="38" t="s">
        <v>2725</v>
      </c>
      <c r="B2260" s="17"/>
      <c r="C2260" s="17"/>
      <c r="D2260" s="17"/>
      <c r="E2260" s="17"/>
      <c r="F2260" s="17"/>
      <c r="G2260" s="38" t="s">
        <v>3396</v>
      </c>
      <c r="H2260" s="38" t="s">
        <v>624</v>
      </c>
      <c r="I2260" s="239" t="str">
        <f>IF(ISBLANK(global!I773),"",global!I773)</f>
        <v/>
      </c>
      <c r="K2260" s="262" t="s">
        <v>4249</v>
      </c>
      <c r="N2260" s="262" t="s">
        <v>4249</v>
      </c>
    </row>
    <row r="2261" spans="1:14" ht="12.75" customHeight="1" x14ac:dyDescent="0.2">
      <c r="A2261" s="38"/>
      <c r="B2261" s="38" t="s">
        <v>1342</v>
      </c>
      <c r="C2261" s="146"/>
      <c r="D2261" s="17"/>
      <c r="E2261" s="17"/>
      <c r="F2261" s="17"/>
      <c r="G2261" s="146" t="s">
        <v>3397</v>
      </c>
      <c r="H2261" s="38" t="s">
        <v>624</v>
      </c>
      <c r="I2261" s="239" t="str">
        <f>IF(ISBLANK(global!I774),"",global!I774)</f>
        <v/>
      </c>
      <c r="K2261" s="262" t="s">
        <v>4249</v>
      </c>
      <c r="N2261" s="262" t="s">
        <v>4249</v>
      </c>
    </row>
    <row r="2262" spans="1:14" ht="12.75" customHeight="1" x14ac:dyDescent="0.2">
      <c r="A2262" s="38"/>
      <c r="B2262" s="38" t="s">
        <v>1344</v>
      </c>
      <c r="C2262" s="17"/>
      <c r="D2262" s="17"/>
      <c r="E2262" s="17"/>
      <c r="F2262" s="17"/>
      <c r="G2262" s="38" t="s">
        <v>3398</v>
      </c>
      <c r="H2262" s="38" t="s">
        <v>624</v>
      </c>
      <c r="I2262" s="239" t="str">
        <f>IF(ISBLANK(global!I775),"",global!I775)</f>
        <v/>
      </c>
      <c r="K2262" s="262" t="s">
        <v>4249</v>
      </c>
      <c r="N2262" s="262" t="s">
        <v>4249</v>
      </c>
    </row>
    <row r="2263" spans="1:14" ht="12.75" customHeight="1" x14ac:dyDescent="0.2">
      <c r="A2263" s="146"/>
      <c r="B2263" s="146"/>
      <c r="C2263" s="38" t="s">
        <v>3399</v>
      </c>
      <c r="D2263" s="17"/>
      <c r="E2263" s="17"/>
      <c r="F2263" s="17"/>
      <c r="G2263" s="38" t="s">
        <v>3400</v>
      </c>
      <c r="H2263" s="38" t="s">
        <v>627</v>
      </c>
      <c r="I2263" s="239" t="str">
        <f>IF(ISBLANK(global!I776),"",global!I776)</f>
        <v/>
      </c>
      <c r="K2263" s="262" t="s">
        <v>4249</v>
      </c>
      <c r="N2263" s="262" t="s">
        <v>4249</v>
      </c>
    </row>
    <row r="2264" spans="1:14" ht="12.75" customHeight="1" x14ac:dyDescent="0.2">
      <c r="A2264" s="146"/>
      <c r="B2264" s="146"/>
      <c r="C2264" s="38" t="s">
        <v>2190</v>
      </c>
      <c r="D2264" s="17"/>
      <c r="E2264" s="17"/>
      <c r="F2264" s="17"/>
      <c r="G2264" s="38" t="s">
        <v>3401</v>
      </c>
      <c r="H2264" s="38" t="s">
        <v>296</v>
      </c>
      <c r="I2264" s="239" t="str">
        <f>IF(ISBLANK(global!I777),"",global!I777)</f>
        <v/>
      </c>
      <c r="K2264" s="262" t="s">
        <v>4249</v>
      </c>
      <c r="N2264" s="262" t="s">
        <v>4249</v>
      </c>
    </row>
    <row r="2265" spans="1:14" ht="12.75" customHeight="1" x14ac:dyDescent="0.2">
      <c r="A2265" s="38"/>
      <c r="B2265" s="38" t="s">
        <v>2732</v>
      </c>
      <c r="C2265" s="17"/>
      <c r="D2265" s="17"/>
      <c r="E2265" s="17"/>
      <c r="F2265" s="17"/>
      <c r="G2265" s="38" t="s">
        <v>3402</v>
      </c>
      <c r="H2265" s="38" t="s">
        <v>624</v>
      </c>
      <c r="I2265" s="239" t="str">
        <f>IF(ISBLANK(global!I778),"",global!I778)</f>
        <v/>
      </c>
      <c r="K2265" s="262" t="s">
        <v>4249</v>
      </c>
      <c r="N2265" s="262" t="s">
        <v>4249</v>
      </c>
    </row>
    <row r="2266" spans="1:14" ht="12.75" customHeight="1" x14ac:dyDescent="0.2">
      <c r="A2266" s="38"/>
      <c r="B2266" s="38" t="s">
        <v>2734</v>
      </c>
      <c r="C2266" s="17"/>
      <c r="D2266" s="17"/>
      <c r="E2266" s="17"/>
      <c r="F2266" s="17"/>
      <c r="G2266" s="38" t="s">
        <v>3403</v>
      </c>
      <c r="H2266" s="38" t="s">
        <v>624</v>
      </c>
      <c r="I2266" s="239" t="str">
        <f>IF(ISBLANK(global!I779),"",global!I779)</f>
        <v/>
      </c>
      <c r="K2266" s="262" t="s">
        <v>4249</v>
      </c>
      <c r="N2266" s="262" t="s">
        <v>4249</v>
      </c>
    </row>
    <row r="2267" spans="1:14" ht="12.75" customHeight="1" x14ac:dyDescent="0.2">
      <c r="A2267" s="38"/>
      <c r="B2267" s="38"/>
      <c r="C2267" s="38" t="s">
        <v>2736</v>
      </c>
      <c r="D2267" s="17"/>
      <c r="E2267" s="17"/>
      <c r="F2267" s="17"/>
      <c r="G2267" s="146" t="s">
        <v>3404</v>
      </c>
      <c r="H2267" s="38" t="s">
        <v>1359</v>
      </c>
      <c r="I2267" s="239" t="str">
        <f>IF(ISBLANK(global!I780),"",global!I780)</f>
        <v/>
      </c>
      <c r="K2267" s="262" t="s">
        <v>4249</v>
      </c>
      <c r="N2267" s="262" t="s">
        <v>4249</v>
      </c>
    </row>
    <row r="2268" spans="1:14" ht="12.75" customHeight="1" x14ac:dyDescent="0.2">
      <c r="A2268" s="38"/>
      <c r="B2268" s="38"/>
      <c r="C2268" s="38" t="s">
        <v>3093</v>
      </c>
      <c r="D2268" s="17"/>
      <c r="E2268" s="17"/>
      <c r="F2268" s="17"/>
      <c r="G2268" s="146" t="s">
        <v>3405</v>
      </c>
      <c r="H2268" s="38" t="s">
        <v>1359</v>
      </c>
      <c r="I2268" s="239" t="str">
        <f>IF(ISBLANK(global!I781),"",global!I781)</f>
        <v/>
      </c>
      <c r="K2268" s="262" t="s">
        <v>4249</v>
      </c>
      <c r="N2268" s="262" t="s">
        <v>4249</v>
      </c>
    </row>
    <row r="2269" spans="1:14" ht="12.75" customHeight="1" x14ac:dyDescent="0.2">
      <c r="A2269" s="146"/>
      <c r="B2269" s="146"/>
      <c r="C2269" s="38" t="s">
        <v>1365</v>
      </c>
      <c r="D2269" s="17"/>
      <c r="E2269" s="17"/>
      <c r="F2269" s="17"/>
      <c r="G2269" s="38" t="s">
        <v>3406</v>
      </c>
      <c r="H2269" s="38" t="s">
        <v>296</v>
      </c>
      <c r="I2269" s="239" t="str">
        <f>IF(ISBLANK(global!I782),"",global!I782)</f>
        <v/>
      </c>
      <c r="K2269" s="262" t="s">
        <v>4249</v>
      </c>
      <c r="N2269" s="262" t="s">
        <v>4249</v>
      </c>
    </row>
    <row r="2270" spans="1:14" ht="12.75" customHeight="1" x14ac:dyDescent="0.2">
      <c r="A2270" s="38"/>
      <c r="B2270" s="38" t="s">
        <v>2741</v>
      </c>
      <c r="C2270" s="17"/>
      <c r="D2270" s="17"/>
      <c r="E2270" s="17"/>
      <c r="F2270" s="17"/>
      <c r="G2270" s="38" t="s">
        <v>3407</v>
      </c>
      <c r="H2270" s="38" t="s">
        <v>624</v>
      </c>
      <c r="I2270" s="239" t="str">
        <f>IF(ISBLANK(global!I783),"",global!I783)</f>
        <v/>
      </c>
      <c r="K2270" s="262" t="s">
        <v>4249</v>
      </c>
      <c r="N2270" s="262" t="s">
        <v>4249</v>
      </c>
    </row>
    <row r="2271" spans="1:14" ht="12.75" customHeight="1" x14ac:dyDescent="0.2">
      <c r="A2271" s="38"/>
      <c r="B2271" s="38" t="s">
        <v>2743</v>
      </c>
      <c r="C2271" s="17"/>
      <c r="D2271" s="17"/>
      <c r="E2271" s="17"/>
      <c r="F2271" s="17"/>
      <c r="G2271" s="38" t="s">
        <v>3408</v>
      </c>
      <c r="H2271" s="38" t="s">
        <v>624</v>
      </c>
      <c r="I2271" s="239" t="str">
        <f>IF(ISBLANK(global!I784),"",global!I784)</f>
        <v/>
      </c>
      <c r="K2271" s="262" t="s">
        <v>4249</v>
      </c>
      <c r="N2271" s="262" t="s">
        <v>4249</v>
      </c>
    </row>
    <row r="2272" spans="1:14" ht="12.75" customHeight="1" x14ac:dyDescent="0.2">
      <c r="A2272" s="17"/>
      <c r="B2272" s="17"/>
      <c r="C2272" s="38" t="s">
        <v>2745</v>
      </c>
      <c r="D2272" s="17"/>
      <c r="E2272" s="17"/>
      <c r="F2272" s="17"/>
      <c r="G2272" s="146" t="s">
        <v>3409</v>
      </c>
      <c r="H2272" s="38" t="s">
        <v>296</v>
      </c>
      <c r="I2272" s="239" t="str">
        <f>IF(ISBLANK(global!I785),"",global!I785)</f>
        <v/>
      </c>
      <c r="K2272" s="262" t="s">
        <v>4249</v>
      </c>
      <c r="N2272" s="262" t="s">
        <v>4249</v>
      </c>
    </row>
    <row r="2273" spans="1:14" ht="12.75" customHeight="1" x14ac:dyDescent="0.2">
      <c r="A2273" s="38"/>
      <c r="B2273" s="38"/>
      <c r="C2273" s="17" t="s">
        <v>1236</v>
      </c>
      <c r="D2273" s="17"/>
      <c r="E2273" s="146"/>
      <c r="F2273" s="146"/>
      <c r="G2273" s="38" t="s">
        <v>3410</v>
      </c>
      <c r="H2273" s="17" t="s">
        <v>296</v>
      </c>
      <c r="I2273" s="239" t="str">
        <f>IF(ISBLANK(global!I786),"",global!I786)</f>
        <v/>
      </c>
      <c r="K2273" s="262" t="s">
        <v>4249</v>
      </c>
      <c r="N2273" s="262" t="s">
        <v>4249</v>
      </c>
    </row>
    <row r="2274" spans="1:14" ht="12.75" customHeight="1" x14ac:dyDescent="0.2">
      <c r="A2274" s="168"/>
      <c r="B2274" s="168"/>
      <c r="C2274" s="168"/>
      <c r="D2274" s="168"/>
      <c r="E2274" s="168"/>
      <c r="F2274" s="168"/>
      <c r="G2274" s="168"/>
      <c r="H2274" s="357"/>
      <c r="I2274" s="239" t="str">
        <f>IF(ISBLANK(global!I787),"",global!I787)</f>
        <v/>
      </c>
      <c r="K2274" s="262" t="s">
        <v>4249</v>
      </c>
      <c r="N2274" s="262" t="s">
        <v>4249</v>
      </c>
    </row>
    <row r="2275" spans="1:14" ht="12.75" customHeight="1" x14ac:dyDescent="0.2">
      <c r="A2275" s="631" t="s">
        <v>1389</v>
      </c>
      <c r="B2275" s="413"/>
      <c r="C2275" s="413"/>
      <c r="D2275" s="413"/>
      <c r="E2275" s="413"/>
      <c r="F2275" s="413"/>
      <c r="G2275" s="631" t="s">
        <v>263</v>
      </c>
      <c r="H2275" s="631" t="s">
        <v>279</v>
      </c>
      <c r="I2275" s="239" t="str">
        <f>IF(ISBLANK(global!I788),"",global!I788)</f>
        <v>User input</v>
      </c>
      <c r="K2275" s="262" t="s">
        <v>264</v>
      </c>
      <c r="N2275" s="262" t="s">
        <v>264</v>
      </c>
    </row>
    <row r="2276" spans="1:14" ht="12.75" customHeight="1" x14ac:dyDescent="0.2">
      <c r="A2276" s="410" t="s">
        <v>3411</v>
      </c>
      <c r="B2276" s="410"/>
      <c r="C2276" s="410"/>
      <c r="D2276" s="410"/>
      <c r="E2276" s="410"/>
      <c r="F2276" s="410"/>
      <c r="G2276" s="655"/>
      <c r="H2276" s="655"/>
      <c r="I2276" s="239" t="str">
        <f>IF(ISBLANK(global!I789),"",global!I789)</f>
        <v/>
      </c>
      <c r="K2276" s="262" t="s">
        <v>4249</v>
      </c>
      <c r="N2276" s="262" t="s">
        <v>4249</v>
      </c>
    </row>
    <row r="2277" spans="1:14" ht="12.75" customHeight="1" x14ac:dyDescent="0.2">
      <c r="A2277" s="567" t="s">
        <v>1393</v>
      </c>
      <c r="B2277" s="567"/>
      <c r="C2277" s="567"/>
      <c r="D2277" s="567"/>
      <c r="E2277" s="567"/>
      <c r="F2277" s="567"/>
      <c r="G2277" s="567" t="s">
        <v>3412</v>
      </c>
      <c r="H2277" s="568" t="s">
        <v>340</v>
      </c>
      <c r="I2277" s="239" t="str">
        <f>IF(ISBLANK(global!I790),"",global!I790)</f>
        <v/>
      </c>
      <c r="K2277" s="262" t="s">
        <v>4249</v>
      </c>
      <c r="N2277" s="262" t="s">
        <v>4249</v>
      </c>
    </row>
    <row r="2278" spans="1:14" ht="12.75" customHeight="1" x14ac:dyDescent="0.2">
      <c r="A2278" s="567"/>
      <c r="B2278" s="567" t="s">
        <v>1396</v>
      </c>
      <c r="C2278" s="567"/>
      <c r="D2278" s="567"/>
      <c r="E2278" s="567"/>
      <c r="F2278" s="567"/>
      <c r="G2278" s="567" t="s">
        <v>3413</v>
      </c>
      <c r="H2278" s="567" t="s">
        <v>340</v>
      </c>
      <c r="I2278" s="239" t="str">
        <f>IF(ISBLANK(global!I791),"",global!I791)</f>
        <v/>
      </c>
      <c r="K2278" s="262" t="s">
        <v>4249</v>
      </c>
      <c r="N2278" s="262" t="s">
        <v>4249</v>
      </c>
    </row>
    <row r="2279" spans="1:14" ht="12.75" customHeight="1" x14ac:dyDescent="0.2">
      <c r="A2279" s="567"/>
      <c r="B2279" s="567"/>
      <c r="C2279" s="567" t="s">
        <v>713</v>
      </c>
      <c r="D2279" s="567"/>
      <c r="E2279" s="567"/>
      <c r="F2279" s="567"/>
      <c r="G2279" s="567" t="s">
        <v>3414</v>
      </c>
      <c r="H2279" s="568" t="s">
        <v>715</v>
      </c>
      <c r="I2279" s="239" t="str">
        <f>IF(ISBLANK(global!I792),"",global!I792)</f>
        <v/>
      </c>
      <c r="K2279" s="262" t="s">
        <v>4249</v>
      </c>
      <c r="N2279" s="262" t="s">
        <v>4249</v>
      </c>
    </row>
    <row r="2280" spans="1:14" ht="12.75" customHeight="1" x14ac:dyDescent="0.2">
      <c r="A2280" s="567"/>
      <c r="B2280" s="567"/>
      <c r="C2280" s="567" t="s">
        <v>1403</v>
      </c>
      <c r="D2280" s="567"/>
      <c r="E2280" s="567"/>
      <c r="F2280" s="567"/>
      <c r="G2280" s="568" t="s">
        <v>3415</v>
      </c>
      <c r="H2280" s="568" t="s">
        <v>873</v>
      </c>
      <c r="I2280" s="239" t="str">
        <f>IF(ISBLANK(global!I793),"",global!I793)</f>
        <v/>
      </c>
      <c r="K2280" s="262" t="s">
        <v>4249</v>
      </c>
      <c r="N2280" s="262" t="s">
        <v>4249</v>
      </c>
    </row>
    <row r="2281" spans="1:14" ht="12.75" customHeight="1" x14ac:dyDescent="0.2">
      <c r="A2281" s="567"/>
      <c r="B2281" s="567"/>
      <c r="C2281" s="567" t="s">
        <v>1401</v>
      </c>
      <c r="D2281" s="567"/>
      <c r="E2281" s="567"/>
      <c r="F2281" s="567"/>
      <c r="G2281" s="567" t="s">
        <v>3416</v>
      </c>
      <c r="H2281" s="567" t="s">
        <v>907</v>
      </c>
      <c r="I2281" s="239" t="str">
        <f>IF(ISBLANK(global!I794),"",global!I794)</f>
        <v/>
      </c>
      <c r="K2281" s="262" t="s">
        <v>4249</v>
      </c>
      <c r="N2281" s="262" t="s">
        <v>4249</v>
      </c>
    </row>
    <row r="2282" spans="1:14" ht="12.75" customHeight="1" x14ac:dyDescent="0.2">
      <c r="A2282" s="567"/>
      <c r="B2282" s="567"/>
      <c r="C2282" s="567" t="s">
        <v>1398</v>
      </c>
      <c r="D2282" s="567"/>
      <c r="E2282" s="567"/>
      <c r="F2282" s="567"/>
      <c r="G2282" s="568" t="s">
        <v>3417</v>
      </c>
      <c r="H2282" s="568" t="s">
        <v>296</v>
      </c>
      <c r="I2282" s="239" t="str">
        <f>IF(ISBLANK(global!I795),"",global!I795)</f>
        <v/>
      </c>
      <c r="K2282" s="262" t="s">
        <v>4249</v>
      </c>
      <c r="N2282" s="262" t="s">
        <v>4249</v>
      </c>
    </row>
    <row r="2283" spans="1:14" ht="12.75" customHeight="1" x14ac:dyDescent="0.2">
      <c r="A2283" s="567" t="s">
        <v>1405</v>
      </c>
      <c r="B2283" s="567"/>
      <c r="C2283" s="567"/>
      <c r="D2283" s="567"/>
      <c r="E2283" s="567"/>
      <c r="F2283" s="567"/>
      <c r="G2283" s="567" t="s">
        <v>3418</v>
      </c>
      <c r="H2283" s="567" t="s">
        <v>340</v>
      </c>
      <c r="I2283" s="239" t="str">
        <f>IF(ISBLANK(global!I796),"",global!I796)</f>
        <v/>
      </c>
      <c r="K2283" s="262" t="s">
        <v>4249</v>
      </c>
      <c r="N2283" s="262" t="s">
        <v>4249</v>
      </c>
    </row>
    <row r="2284" spans="1:14" ht="12.75" customHeight="1" x14ac:dyDescent="0.2">
      <c r="A2284" s="567"/>
      <c r="B2284" s="567"/>
      <c r="C2284" s="567" t="s">
        <v>717</v>
      </c>
      <c r="D2284" s="567"/>
      <c r="E2284" s="567"/>
      <c r="F2284" s="567"/>
      <c r="G2284" s="567" t="s">
        <v>3419</v>
      </c>
      <c r="H2284" s="568" t="s">
        <v>715</v>
      </c>
      <c r="I2284" s="239" t="str">
        <f>IF(ISBLANK(global!I797),"",global!I797)</f>
        <v/>
      </c>
      <c r="K2284" s="262" t="s">
        <v>4249</v>
      </c>
      <c r="N2284" s="262" t="s">
        <v>4249</v>
      </c>
    </row>
    <row r="2285" spans="1:14" ht="12.75" customHeight="1" x14ac:dyDescent="0.2">
      <c r="A2285" s="567"/>
      <c r="B2285" s="567"/>
      <c r="C2285" s="567" t="s">
        <v>1407</v>
      </c>
      <c r="D2285" s="567"/>
      <c r="E2285" s="567"/>
      <c r="F2285" s="567"/>
      <c r="G2285" s="568" t="s">
        <v>3420</v>
      </c>
      <c r="H2285" s="568" t="s">
        <v>873</v>
      </c>
      <c r="I2285" s="239" t="str">
        <f>IF(ISBLANK(global!I798),"",global!I798)</f>
        <v/>
      </c>
      <c r="K2285" s="262" t="s">
        <v>4249</v>
      </c>
      <c r="N2285" s="262" t="s">
        <v>4249</v>
      </c>
    </row>
    <row r="2286" spans="1:14" ht="12.75" customHeight="1" x14ac:dyDescent="0.2">
      <c r="A2286" s="567"/>
      <c r="B2286" s="567"/>
      <c r="C2286" s="567" t="s">
        <v>1409</v>
      </c>
      <c r="D2286" s="567"/>
      <c r="E2286" s="567"/>
      <c r="F2286" s="567"/>
      <c r="G2286" s="567" t="s">
        <v>3421</v>
      </c>
      <c r="H2286" s="567" t="s">
        <v>907</v>
      </c>
      <c r="I2286" s="239" t="str">
        <f>IF(ISBLANK(global!I799),"",global!I799)</f>
        <v/>
      </c>
      <c r="K2286" s="262" t="s">
        <v>4249</v>
      </c>
      <c r="N2286" s="262" t="s">
        <v>4249</v>
      </c>
    </row>
    <row r="2287" spans="1:14" ht="12.75" customHeight="1" x14ac:dyDescent="0.2">
      <c r="A2287" s="567"/>
      <c r="B2287" s="567"/>
      <c r="C2287" s="567" t="s">
        <v>1411</v>
      </c>
      <c r="D2287" s="567"/>
      <c r="E2287" s="567"/>
      <c r="F2287" s="567"/>
      <c r="G2287" s="568" t="s">
        <v>3422</v>
      </c>
      <c r="H2287" s="568" t="s">
        <v>296</v>
      </c>
      <c r="I2287" s="239" t="str">
        <f>IF(ISBLANK(global!I800),"",global!I800)</f>
        <v/>
      </c>
      <c r="K2287" s="262" t="s">
        <v>4249</v>
      </c>
      <c r="N2287" s="262" t="s">
        <v>4249</v>
      </c>
    </row>
    <row r="2288" spans="1:14" ht="12.75" customHeight="1" x14ac:dyDescent="0.2">
      <c r="A2288" s="567" t="s">
        <v>1413</v>
      </c>
      <c r="B2288" s="567"/>
      <c r="C2288" s="567"/>
      <c r="D2288" s="567"/>
      <c r="E2288" s="567"/>
      <c r="F2288" s="567"/>
      <c r="G2288" s="568" t="s">
        <v>3423</v>
      </c>
      <c r="H2288" s="568" t="s">
        <v>340</v>
      </c>
      <c r="I2288" s="239" t="str">
        <f>IF(ISBLANK(global!I801),"",global!I801)</f>
        <v/>
      </c>
      <c r="K2288" s="262" t="s">
        <v>4249</v>
      </c>
      <c r="N2288" s="262" t="s">
        <v>4249</v>
      </c>
    </row>
    <row r="2289" spans="1:14" ht="12.75" customHeight="1" x14ac:dyDescent="0.2">
      <c r="A2289" s="567"/>
      <c r="B2289" s="567" t="s">
        <v>719</v>
      </c>
      <c r="C2289" s="567"/>
      <c r="D2289" s="567"/>
      <c r="E2289" s="567"/>
      <c r="F2289" s="567"/>
      <c r="G2289" s="567" t="s">
        <v>3424</v>
      </c>
      <c r="H2289" s="568" t="s">
        <v>715</v>
      </c>
      <c r="I2289" s="239" t="str">
        <f>IF(ISBLANK(global!I802),"",global!I802)</f>
        <v/>
      </c>
      <c r="K2289" s="262" t="s">
        <v>4249</v>
      </c>
      <c r="N2289" s="262" t="s">
        <v>4249</v>
      </c>
    </row>
    <row r="2290" spans="1:14" ht="12.75" customHeight="1" x14ac:dyDescent="0.2">
      <c r="A2290" s="567"/>
      <c r="B2290" s="567" t="s">
        <v>1415</v>
      </c>
      <c r="C2290" s="567"/>
      <c r="D2290" s="567"/>
      <c r="E2290" s="567"/>
      <c r="F2290" s="567"/>
      <c r="G2290" s="568" t="s">
        <v>3425</v>
      </c>
      <c r="H2290" s="568" t="s">
        <v>873</v>
      </c>
      <c r="I2290" s="239" t="str">
        <f>IF(ISBLANK(global!I803),"",global!I803)</f>
        <v/>
      </c>
      <c r="K2290" s="262" t="s">
        <v>4249</v>
      </c>
      <c r="N2290" s="262" t="s">
        <v>4249</v>
      </c>
    </row>
    <row r="2291" spans="1:14" ht="12.75" customHeight="1" x14ac:dyDescent="0.2">
      <c r="A2291" s="567"/>
      <c r="B2291" s="567" t="s">
        <v>1417</v>
      </c>
      <c r="C2291" s="567"/>
      <c r="D2291" s="567"/>
      <c r="E2291" s="567"/>
      <c r="F2291" s="567"/>
      <c r="G2291" s="567" t="s">
        <v>3426</v>
      </c>
      <c r="H2291" s="567" t="s">
        <v>907</v>
      </c>
      <c r="I2291" s="239" t="str">
        <f>IF(ISBLANK(global!I804),"",global!I804)</f>
        <v/>
      </c>
      <c r="K2291" s="262" t="s">
        <v>4249</v>
      </c>
      <c r="N2291" s="262" t="s">
        <v>4249</v>
      </c>
    </row>
    <row r="2292" spans="1:14" ht="12.75" customHeight="1" x14ac:dyDescent="0.2">
      <c r="A2292" s="567"/>
      <c r="B2292" s="567" t="s">
        <v>1419</v>
      </c>
      <c r="C2292" s="567"/>
      <c r="D2292" s="567"/>
      <c r="E2292" s="567"/>
      <c r="F2292" s="567"/>
      <c r="G2292" s="568" t="s">
        <v>3427</v>
      </c>
      <c r="H2292" s="568" t="s">
        <v>296</v>
      </c>
      <c r="I2292" s="239" t="str">
        <f>IF(ISBLANK(global!I805),"",global!I805)</f>
        <v/>
      </c>
      <c r="K2292" s="262" t="s">
        <v>4249</v>
      </c>
      <c r="N2292" s="262" t="s">
        <v>4249</v>
      </c>
    </row>
    <row r="2293" spans="1:14" ht="12.75" customHeight="1" x14ac:dyDescent="0.2">
      <c r="A2293" s="410" t="s">
        <v>3428</v>
      </c>
      <c r="B2293" s="410"/>
      <c r="C2293" s="410"/>
      <c r="D2293" s="410"/>
      <c r="E2293" s="410"/>
      <c r="F2293" s="410"/>
      <c r="G2293" s="655"/>
      <c r="H2293" s="655"/>
      <c r="I2293" s="239" t="str">
        <f>IF(ISBLANK(global!I806),"",global!I806)</f>
        <v/>
      </c>
      <c r="K2293" s="262" t="s">
        <v>4249</v>
      </c>
      <c r="N2293" s="262" t="s">
        <v>4249</v>
      </c>
    </row>
    <row r="2294" spans="1:14" ht="12.75" customHeight="1" x14ac:dyDescent="0.2">
      <c r="A2294" s="567" t="s">
        <v>1444</v>
      </c>
      <c r="B2294" s="567"/>
      <c r="C2294" s="567"/>
      <c r="D2294" s="567"/>
      <c r="E2294" s="567"/>
      <c r="F2294" s="567"/>
      <c r="G2294" s="568" t="s">
        <v>3429</v>
      </c>
      <c r="H2294" s="568" t="s">
        <v>340</v>
      </c>
      <c r="I2294" s="239" t="str">
        <f>IF(ISBLANK(global!I807),"",global!I807)</f>
        <v/>
      </c>
      <c r="K2294" s="262" t="s">
        <v>4249</v>
      </c>
      <c r="N2294" s="262" t="s">
        <v>4249</v>
      </c>
    </row>
    <row r="2295" spans="1:14" ht="12.75" customHeight="1" x14ac:dyDescent="0.2">
      <c r="A2295" s="567"/>
      <c r="B2295" s="567" t="s">
        <v>1446</v>
      </c>
      <c r="C2295" s="567"/>
      <c r="D2295" s="567"/>
      <c r="E2295" s="567"/>
      <c r="F2295" s="567"/>
      <c r="G2295" s="568" t="s">
        <v>3430</v>
      </c>
      <c r="H2295" s="568" t="s">
        <v>715</v>
      </c>
      <c r="I2295" s="239" t="str">
        <f>IF(ISBLANK(global!I808),"",global!I808)</f>
        <v/>
      </c>
      <c r="K2295" s="262" t="s">
        <v>4249</v>
      </c>
      <c r="N2295" s="262" t="s">
        <v>4249</v>
      </c>
    </row>
    <row r="2296" spans="1:14" ht="12.75" customHeight="1" x14ac:dyDescent="0.2">
      <c r="A2296" s="567"/>
      <c r="B2296" s="567" t="s">
        <v>1449</v>
      </c>
      <c r="C2296" s="567"/>
      <c r="D2296" s="567"/>
      <c r="E2296" s="567"/>
      <c r="F2296" s="567"/>
      <c r="G2296" s="568" t="s">
        <v>3431</v>
      </c>
      <c r="H2296" s="568" t="s">
        <v>340</v>
      </c>
      <c r="I2296" s="239" t="str">
        <f>IF(ISBLANK(global!I809),"",global!I809)</f>
        <v/>
      </c>
      <c r="K2296" s="262" t="s">
        <v>4249</v>
      </c>
      <c r="N2296" s="262" t="s">
        <v>4249</v>
      </c>
    </row>
    <row r="2297" spans="1:14" ht="12.75" customHeight="1" x14ac:dyDescent="0.2">
      <c r="A2297" s="567"/>
      <c r="B2297" s="567"/>
      <c r="C2297" s="567" t="s">
        <v>1428</v>
      </c>
      <c r="D2297" s="567"/>
      <c r="E2297" s="567"/>
      <c r="F2297" s="567"/>
      <c r="G2297" s="568" t="s">
        <v>3432</v>
      </c>
      <c r="H2297" s="568" t="s">
        <v>340</v>
      </c>
      <c r="I2297" s="239" t="str">
        <f>IF(ISBLANK(global!I810),"",global!I810)</f>
        <v/>
      </c>
      <c r="K2297" s="262" t="s">
        <v>4249</v>
      </c>
      <c r="N2297" s="262" t="s">
        <v>4249</v>
      </c>
    </row>
    <row r="2298" spans="1:14" ht="12.75" customHeight="1" x14ac:dyDescent="0.2">
      <c r="A2298" s="567"/>
      <c r="B2298" s="567"/>
      <c r="C2298" s="567"/>
      <c r="D2298" s="567" t="s">
        <v>1452</v>
      </c>
      <c r="E2298" s="567"/>
      <c r="F2298" s="567"/>
      <c r="G2298" s="568" t="s">
        <v>3433</v>
      </c>
      <c r="H2298" s="568" t="s">
        <v>340</v>
      </c>
      <c r="I2298" s="239" t="str">
        <f>IF(ISBLANK(global!I811),"",global!I811)</f>
        <v/>
      </c>
      <c r="K2298" s="262" t="s">
        <v>4249</v>
      </c>
      <c r="N2298" s="262" t="s">
        <v>4249</v>
      </c>
    </row>
    <row r="2299" spans="1:14" ht="12.75" customHeight="1" x14ac:dyDescent="0.2">
      <c r="A2299" s="567" t="s">
        <v>1444</v>
      </c>
      <c r="B2299" s="567"/>
      <c r="C2299" s="567"/>
      <c r="D2299" s="567"/>
      <c r="E2299" s="567"/>
      <c r="F2299" s="567"/>
      <c r="G2299" s="568" t="s">
        <v>3434</v>
      </c>
      <c r="H2299" s="568" t="s">
        <v>340</v>
      </c>
      <c r="I2299" s="239" t="str">
        <f>IF(ISBLANK(global!I812),"",global!I812)</f>
        <v/>
      </c>
      <c r="K2299" s="262" t="s">
        <v>4249</v>
      </c>
      <c r="N2299" s="262" t="s">
        <v>4249</v>
      </c>
    </row>
    <row r="2300" spans="1:14" ht="12.75" customHeight="1" x14ac:dyDescent="0.2">
      <c r="A2300" s="567"/>
      <c r="B2300" s="567" t="s">
        <v>1446</v>
      </c>
      <c r="C2300" s="567"/>
      <c r="D2300" s="567"/>
      <c r="E2300" s="567"/>
      <c r="F2300" s="567"/>
      <c r="G2300" s="568" t="s">
        <v>3435</v>
      </c>
      <c r="H2300" s="568" t="s">
        <v>715</v>
      </c>
      <c r="I2300" s="239" t="str">
        <f>IF(ISBLANK(global!I813),"",global!I813)</f>
        <v/>
      </c>
      <c r="K2300" s="262" t="s">
        <v>4249</v>
      </c>
      <c r="N2300" s="262" t="s">
        <v>4249</v>
      </c>
    </row>
    <row r="2301" spans="1:14" ht="12.75" customHeight="1" x14ac:dyDescent="0.2">
      <c r="A2301" s="567"/>
      <c r="B2301" s="567" t="s">
        <v>1449</v>
      </c>
      <c r="C2301" s="567"/>
      <c r="D2301" s="567"/>
      <c r="E2301" s="567"/>
      <c r="F2301" s="567"/>
      <c r="G2301" s="568" t="s">
        <v>3436</v>
      </c>
      <c r="H2301" s="568" t="s">
        <v>340</v>
      </c>
      <c r="I2301" s="239" t="str">
        <f>IF(ISBLANK(global!I814),"",global!I814)</f>
        <v/>
      </c>
      <c r="K2301" s="262" t="s">
        <v>4249</v>
      </c>
      <c r="N2301" s="262" t="s">
        <v>4249</v>
      </c>
    </row>
    <row r="2302" spans="1:14" ht="12.75" customHeight="1" x14ac:dyDescent="0.2">
      <c r="A2302" s="567"/>
      <c r="B2302" s="567"/>
      <c r="C2302" s="567" t="s">
        <v>1428</v>
      </c>
      <c r="D2302" s="567"/>
      <c r="E2302" s="567"/>
      <c r="F2302" s="567"/>
      <c r="G2302" s="568" t="s">
        <v>3437</v>
      </c>
      <c r="H2302" s="568" t="s">
        <v>340</v>
      </c>
      <c r="I2302" s="239" t="str">
        <f>IF(ISBLANK(global!I815),"",global!I815)</f>
        <v/>
      </c>
      <c r="K2302" s="262" t="s">
        <v>4249</v>
      </c>
      <c r="N2302" s="262" t="s">
        <v>4249</v>
      </c>
    </row>
    <row r="2303" spans="1:14" ht="12.75" customHeight="1" x14ac:dyDescent="0.2">
      <c r="A2303" s="567"/>
      <c r="B2303" s="567"/>
      <c r="C2303" s="567"/>
      <c r="D2303" s="567" t="s">
        <v>1452</v>
      </c>
      <c r="E2303" s="567"/>
      <c r="F2303" s="567"/>
      <c r="G2303" s="568" t="s">
        <v>3438</v>
      </c>
      <c r="H2303" s="568" t="s">
        <v>340</v>
      </c>
      <c r="I2303" s="239" t="str">
        <f>IF(ISBLANK(global!I816),"",global!I816)</f>
        <v/>
      </c>
      <c r="K2303" s="262" t="s">
        <v>4249</v>
      </c>
      <c r="N2303" s="262" t="s">
        <v>4249</v>
      </c>
    </row>
    <row r="2304" spans="1:14" ht="12.75" customHeight="1" x14ac:dyDescent="0.2">
      <c r="A2304" s="567"/>
      <c r="B2304" s="567"/>
      <c r="C2304" s="567" t="s">
        <v>1454</v>
      </c>
      <c r="D2304" s="567"/>
      <c r="E2304" s="567"/>
      <c r="F2304" s="567"/>
      <c r="G2304" s="567" t="s">
        <v>3439</v>
      </c>
      <c r="H2304" s="567" t="s">
        <v>340</v>
      </c>
      <c r="I2304" s="239" t="str">
        <f>IF(ISBLANK(global!I817),"",global!I817)</f>
        <v/>
      </c>
      <c r="K2304" s="262" t="s">
        <v>4249</v>
      </c>
      <c r="N2304" s="262" t="s">
        <v>4249</v>
      </c>
    </row>
    <row r="2305" spans="1:14" ht="12.75" customHeight="1" x14ac:dyDescent="0.2">
      <c r="A2305" s="567"/>
      <c r="B2305" s="567"/>
      <c r="C2305" s="567" t="s">
        <v>1456</v>
      </c>
      <c r="D2305" s="567"/>
      <c r="E2305" s="567"/>
      <c r="F2305" s="567"/>
      <c r="G2305" s="568" t="s">
        <v>3440</v>
      </c>
      <c r="H2305" s="568" t="s">
        <v>340</v>
      </c>
      <c r="I2305" s="239" t="str">
        <f>IF(ISBLANK(global!I818),"",global!I818)</f>
        <v/>
      </c>
      <c r="K2305" s="262" t="s">
        <v>4249</v>
      </c>
      <c r="N2305" s="262" t="s">
        <v>4249</v>
      </c>
    </row>
    <row r="2306" spans="1:14" ht="12.75" customHeight="1" x14ac:dyDescent="0.2">
      <c r="A2306" s="567" t="s">
        <v>1476</v>
      </c>
      <c r="B2306" s="567"/>
      <c r="C2306" s="567"/>
      <c r="D2306" s="567"/>
      <c r="E2306" s="567"/>
      <c r="F2306" s="567"/>
      <c r="G2306" s="568" t="s">
        <v>3441</v>
      </c>
      <c r="H2306" s="568" t="s">
        <v>340</v>
      </c>
      <c r="I2306" s="239" t="str">
        <f>IF(ISBLANK(global!I819),"",global!I819)</f>
        <v/>
      </c>
      <c r="K2306" s="262" t="s">
        <v>4249</v>
      </c>
      <c r="N2306" s="262" t="s">
        <v>4249</v>
      </c>
    </row>
    <row r="2307" spans="1:14" ht="12.75" customHeight="1" x14ac:dyDescent="0.2">
      <c r="A2307" s="567"/>
      <c r="B2307" s="567" t="s">
        <v>1470</v>
      </c>
      <c r="C2307" s="567"/>
      <c r="D2307" s="567"/>
      <c r="E2307" s="567"/>
      <c r="F2307" s="567"/>
      <c r="G2307" s="568" t="s">
        <v>3442</v>
      </c>
      <c r="H2307" s="568" t="s">
        <v>715</v>
      </c>
      <c r="I2307" s="239" t="str">
        <f>IF(ISBLANK(global!I820),"",global!I820)</f>
        <v/>
      </c>
      <c r="K2307" s="262" t="s">
        <v>4249</v>
      </c>
      <c r="N2307" s="262" t="s">
        <v>4249</v>
      </c>
    </row>
    <row r="2308" spans="1:14" ht="12.75" customHeight="1" x14ac:dyDescent="0.2">
      <c r="A2308" s="567"/>
      <c r="B2308" s="567" t="s">
        <v>1481</v>
      </c>
      <c r="C2308" s="567"/>
      <c r="D2308" s="567"/>
      <c r="E2308" s="567"/>
      <c r="F2308" s="567"/>
      <c r="G2308" s="568" t="s">
        <v>3443</v>
      </c>
      <c r="H2308" s="567" t="s">
        <v>340</v>
      </c>
      <c r="I2308" s="239" t="str">
        <f>IF(ISBLANK(global!I821),"",global!I821)</f>
        <v/>
      </c>
      <c r="K2308" s="262" t="s">
        <v>4249</v>
      </c>
      <c r="N2308" s="262" t="s">
        <v>4249</v>
      </c>
    </row>
    <row r="2309" spans="1:14" ht="12.75" customHeight="1" x14ac:dyDescent="0.2">
      <c r="A2309" s="567"/>
      <c r="B2309" s="567"/>
      <c r="C2309" s="567" t="s">
        <v>1466</v>
      </c>
      <c r="D2309" s="567"/>
      <c r="E2309" s="567"/>
      <c r="F2309" s="567"/>
      <c r="G2309" s="568" t="s">
        <v>3444</v>
      </c>
      <c r="H2309" s="568" t="s">
        <v>340</v>
      </c>
      <c r="I2309" s="239" t="str">
        <f>IF(ISBLANK(global!I822),"",global!I822)</f>
        <v/>
      </c>
      <c r="K2309" s="262" t="s">
        <v>4249</v>
      </c>
      <c r="N2309" s="262" t="s">
        <v>4249</v>
      </c>
    </row>
    <row r="2310" spans="1:14" ht="12.75" customHeight="1" x14ac:dyDescent="0.2">
      <c r="A2310" s="567" t="s">
        <v>1476</v>
      </c>
      <c r="B2310" s="567"/>
      <c r="C2310" s="567"/>
      <c r="D2310" s="567"/>
      <c r="E2310" s="567"/>
      <c r="F2310" s="567"/>
      <c r="G2310" s="568" t="s">
        <v>3445</v>
      </c>
      <c r="H2310" s="568" t="s">
        <v>340</v>
      </c>
      <c r="I2310" s="239" t="str">
        <f>IF(ISBLANK(global!I823),"",global!I823)</f>
        <v/>
      </c>
      <c r="K2310" s="262" t="s">
        <v>4249</v>
      </c>
      <c r="N2310" s="262" t="s">
        <v>4249</v>
      </c>
    </row>
    <row r="2311" spans="1:14" ht="12.75" customHeight="1" x14ac:dyDescent="0.2">
      <c r="A2311" s="567"/>
      <c r="B2311" s="567" t="s">
        <v>1470</v>
      </c>
      <c r="C2311" s="567"/>
      <c r="D2311" s="567"/>
      <c r="E2311" s="567"/>
      <c r="F2311" s="567"/>
      <c r="G2311" s="568" t="s">
        <v>3446</v>
      </c>
      <c r="H2311" s="568" t="s">
        <v>715</v>
      </c>
      <c r="I2311" s="239" t="str">
        <f>IF(ISBLANK(global!I824),"",global!I824)</f>
        <v/>
      </c>
      <c r="K2311" s="262" t="s">
        <v>4249</v>
      </c>
      <c r="N2311" s="262" t="s">
        <v>4249</v>
      </c>
    </row>
    <row r="2312" spans="1:14" ht="12.75" customHeight="1" x14ac:dyDescent="0.2">
      <c r="A2312" s="567"/>
      <c r="B2312" s="567" t="s">
        <v>1481</v>
      </c>
      <c r="C2312" s="567"/>
      <c r="D2312" s="567"/>
      <c r="E2312" s="567"/>
      <c r="F2312" s="567"/>
      <c r="G2312" s="568" t="s">
        <v>3447</v>
      </c>
      <c r="H2312" s="567" t="s">
        <v>340</v>
      </c>
      <c r="I2312" s="239" t="str">
        <f>IF(ISBLANK(global!I825),"",global!I825)</f>
        <v/>
      </c>
      <c r="K2312" s="262" t="s">
        <v>4249</v>
      </c>
      <c r="N2312" s="262" t="s">
        <v>4249</v>
      </c>
    </row>
    <row r="2313" spans="1:14" ht="12.75" customHeight="1" x14ac:dyDescent="0.2">
      <c r="A2313" s="567"/>
      <c r="B2313" s="567"/>
      <c r="C2313" s="567" t="s">
        <v>1466</v>
      </c>
      <c r="D2313" s="567"/>
      <c r="E2313" s="567"/>
      <c r="F2313" s="567"/>
      <c r="G2313" s="568" t="s">
        <v>3448</v>
      </c>
      <c r="H2313" s="568" t="s">
        <v>340</v>
      </c>
      <c r="I2313" s="239" t="str">
        <f>IF(ISBLANK(global!I826),"",global!I826)</f>
        <v/>
      </c>
      <c r="K2313" s="262" t="s">
        <v>4249</v>
      </c>
      <c r="N2313" s="262" t="s">
        <v>4249</v>
      </c>
    </row>
    <row r="2314" spans="1:14" ht="12.75" customHeight="1" x14ac:dyDescent="0.2">
      <c r="A2314" s="567"/>
      <c r="B2314" s="567"/>
      <c r="C2314" s="567" t="s">
        <v>1484</v>
      </c>
      <c r="D2314" s="567"/>
      <c r="E2314" s="567"/>
      <c r="F2314" s="567"/>
      <c r="G2314" s="568" t="s">
        <v>3449</v>
      </c>
      <c r="H2314" s="568" t="s">
        <v>340</v>
      </c>
      <c r="I2314" s="239" t="str">
        <f>IF(ISBLANK(global!I827),"",global!I827)</f>
        <v/>
      </c>
      <c r="K2314" s="262" t="s">
        <v>4249</v>
      </c>
      <c r="N2314" s="262" t="s">
        <v>4249</v>
      </c>
    </row>
    <row r="2315" spans="1:14" ht="12.75" customHeight="1" x14ac:dyDescent="0.2">
      <c r="A2315" s="567"/>
      <c r="B2315" s="567"/>
      <c r="C2315" s="567" t="s">
        <v>2255</v>
      </c>
      <c r="D2315" s="567"/>
      <c r="E2315" s="567"/>
      <c r="F2315" s="567"/>
      <c r="G2315" s="568" t="s">
        <v>3450</v>
      </c>
      <c r="H2315" s="568" t="s">
        <v>340</v>
      </c>
      <c r="I2315" s="239" t="str">
        <f>IF(ISBLANK(global!I828),"",global!I828)</f>
        <v/>
      </c>
      <c r="K2315" s="262" t="s">
        <v>4249</v>
      </c>
      <c r="N2315" s="262" t="s">
        <v>4249</v>
      </c>
    </row>
    <row r="2316" spans="1:14" ht="12.75" customHeight="1" x14ac:dyDescent="0.2">
      <c r="A2316" s="410" t="s">
        <v>3451</v>
      </c>
      <c r="I2316" s="239" t="str">
        <f>IF(ISBLANK(global!I829),"",global!I829)</f>
        <v/>
      </c>
      <c r="K2316" s="262" t="s">
        <v>4249</v>
      </c>
      <c r="N2316" s="262" t="s">
        <v>4249</v>
      </c>
    </row>
    <row r="2317" spans="1:14" ht="12.75" customHeight="1" x14ac:dyDescent="0.2">
      <c r="A2317" s="567" t="s">
        <v>2789</v>
      </c>
      <c r="B2317" s="567"/>
      <c r="C2317" s="567"/>
      <c r="D2317" s="567"/>
      <c r="E2317" s="567"/>
      <c r="F2317" s="567"/>
      <c r="G2317" s="568" t="s">
        <v>3452</v>
      </c>
      <c r="H2317" s="568" t="s">
        <v>340</v>
      </c>
      <c r="I2317" s="239" t="str">
        <f>IF(ISBLANK(global!I830),"",global!I830)</f>
        <v/>
      </c>
      <c r="K2317" s="262" t="s">
        <v>4249</v>
      </c>
      <c r="N2317" s="262" t="s">
        <v>4249</v>
      </c>
    </row>
    <row r="2318" spans="1:14" ht="12.75" customHeight="1" x14ac:dyDescent="0.2">
      <c r="A2318" s="567"/>
      <c r="B2318" s="567" t="s">
        <v>1500</v>
      </c>
      <c r="C2318" s="567"/>
      <c r="D2318" s="567"/>
      <c r="E2318" s="567"/>
      <c r="F2318" s="567"/>
      <c r="G2318" s="568" t="s">
        <v>3453</v>
      </c>
      <c r="H2318" s="568" t="s">
        <v>715</v>
      </c>
      <c r="I2318" s="239" t="str">
        <f>IF(ISBLANK(global!I831),"",global!I831)</f>
        <v/>
      </c>
      <c r="K2318" s="262" t="s">
        <v>4249</v>
      </c>
      <c r="N2318" s="262" t="s">
        <v>4249</v>
      </c>
    </row>
    <row r="2319" spans="1:14" ht="12.75" customHeight="1" x14ac:dyDescent="0.2">
      <c r="A2319" s="567"/>
      <c r="B2319" s="567"/>
      <c r="C2319" s="567" t="s">
        <v>1454</v>
      </c>
      <c r="D2319" s="567"/>
      <c r="E2319" s="567"/>
      <c r="F2319" s="567"/>
      <c r="G2319" s="567" t="s">
        <v>3454</v>
      </c>
      <c r="H2319" s="567" t="s">
        <v>340</v>
      </c>
      <c r="I2319" s="239" t="str">
        <f>IF(ISBLANK(global!I832),"",global!I832)</f>
        <v/>
      </c>
      <c r="K2319" s="262" t="s">
        <v>4249</v>
      </c>
      <c r="N2319" s="262" t="s">
        <v>4249</v>
      </c>
    </row>
    <row r="2320" spans="1:14" ht="12.75" customHeight="1" x14ac:dyDescent="0.2">
      <c r="A2320" s="567"/>
      <c r="B2320" s="567"/>
      <c r="C2320" s="567" t="s">
        <v>1456</v>
      </c>
      <c r="D2320" s="567"/>
      <c r="E2320" s="567"/>
      <c r="F2320" s="567"/>
      <c r="G2320" s="568" t="s">
        <v>3455</v>
      </c>
      <c r="H2320" s="568" t="s">
        <v>340</v>
      </c>
      <c r="I2320" s="239" t="str">
        <f>IF(ISBLANK(global!I833),"",global!I833)</f>
        <v/>
      </c>
      <c r="K2320" s="262" t="s">
        <v>4249</v>
      </c>
      <c r="N2320" s="262" t="s">
        <v>4249</v>
      </c>
    </row>
    <row r="2321" spans="1:14" ht="12.75" customHeight="1" x14ac:dyDescent="0.2">
      <c r="A2321" s="567" t="s">
        <v>2795</v>
      </c>
      <c r="B2321" s="567"/>
      <c r="C2321" s="567"/>
      <c r="D2321" s="567"/>
      <c r="E2321" s="567"/>
      <c r="F2321" s="567"/>
      <c r="G2321" s="568" t="s">
        <v>3456</v>
      </c>
      <c r="H2321" s="568" t="s">
        <v>340</v>
      </c>
      <c r="I2321" s="239" t="str">
        <f>IF(ISBLANK(global!I834),"",global!I834)</f>
        <v/>
      </c>
      <c r="K2321" s="262" t="s">
        <v>4249</v>
      </c>
      <c r="N2321" s="262" t="s">
        <v>4249</v>
      </c>
    </row>
    <row r="2322" spans="1:14" ht="12.75" customHeight="1" x14ac:dyDescent="0.2">
      <c r="A2322" s="567"/>
      <c r="B2322" s="567" t="s">
        <v>1511</v>
      </c>
      <c r="C2322" s="567"/>
      <c r="D2322" s="567"/>
      <c r="E2322" s="567"/>
      <c r="F2322" s="567"/>
      <c r="G2322" s="568" t="s">
        <v>3457</v>
      </c>
      <c r="H2322" s="568" t="s">
        <v>1513</v>
      </c>
      <c r="I2322" s="239" t="str">
        <f>IF(ISBLANK(global!I835),"",global!I835)</f>
        <v/>
      </c>
      <c r="K2322" s="262" t="s">
        <v>4249</v>
      </c>
      <c r="N2322" s="262" t="s">
        <v>4249</v>
      </c>
    </row>
    <row r="2323" spans="1:14" ht="12.75" customHeight="1" x14ac:dyDescent="0.2">
      <c r="A2323" s="567"/>
      <c r="B2323" s="567" t="s">
        <v>1514</v>
      </c>
      <c r="C2323" s="567"/>
      <c r="D2323" s="567"/>
      <c r="E2323" s="567"/>
      <c r="F2323" s="567"/>
      <c r="G2323" s="567" t="s">
        <v>3458</v>
      </c>
      <c r="H2323" s="568" t="s">
        <v>873</v>
      </c>
      <c r="I2323" s="239" t="str">
        <f>IF(ISBLANK(global!I836),"",global!I836)</f>
        <v/>
      </c>
      <c r="K2323" s="262" t="s">
        <v>4249</v>
      </c>
      <c r="N2323" s="262" t="s">
        <v>4249</v>
      </c>
    </row>
    <row r="2324" spans="1:14" ht="12.75" customHeight="1" x14ac:dyDescent="0.2">
      <c r="A2324" s="567"/>
      <c r="B2324" s="567" t="s">
        <v>1517</v>
      </c>
      <c r="C2324" s="567"/>
      <c r="D2324" s="567"/>
      <c r="E2324" s="567"/>
      <c r="F2324" s="567"/>
      <c r="G2324" s="568" t="s">
        <v>3459</v>
      </c>
      <c r="H2324" s="568" t="s">
        <v>296</v>
      </c>
      <c r="I2324" s="239" t="str">
        <f>IF(ISBLANK(global!I837),"",global!I837)</f>
        <v/>
      </c>
      <c r="K2324" s="262" t="s">
        <v>4249</v>
      </c>
      <c r="N2324" s="262" t="s">
        <v>4249</v>
      </c>
    </row>
    <row r="2325" spans="1:14" ht="12.75" customHeight="1" x14ac:dyDescent="0.2">
      <c r="A2325" s="567"/>
      <c r="B2325" s="567"/>
      <c r="C2325" s="567" t="s">
        <v>1519</v>
      </c>
      <c r="D2325" s="567"/>
      <c r="E2325" s="567"/>
      <c r="F2325" s="567"/>
      <c r="G2325" s="568" t="s">
        <v>3460</v>
      </c>
      <c r="H2325" s="568" t="s">
        <v>296</v>
      </c>
      <c r="I2325" s="239" t="str">
        <f>IF(ISBLANK(global!I838),"",global!I838)</f>
        <v/>
      </c>
      <c r="K2325" s="262" t="s">
        <v>4249</v>
      </c>
      <c r="N2325" s="262" t="s">
        <v>4249</v>
      </c>
    </row>
    <row r="2326" spans="1:14" ht="12.75" customHeight="1" x14ac:dyDescent="0.2">
      <c r="A2326" s="567"/>
      <c r="B2326" s="567"/>
      <c r="C2326" s="567"/>
      <c r="D2326" s="567" t="s">
        <v>1521</v>
      </c>
      <c r="E2326" s="567"/>
      <c r="F2326" s="567"/>
      <c r="G2326" s="567" t="s">
        <v>3461</v>
      </c>
      <c r="H2326" s="568" t="s">
        <v>296</v>
      </c>
      <c r="I2326" s="239" t="str">
        <f>IF(ISBLANK(global!I839),"",global!I839)</f>
        <v/>
      </c>
      <c r="K2326" s="262" t="s">
        <v>4249</v>
      </c>
      <c r="N2326" s="262" t="s">
        <v>4249</v>
      </c>
    </row>
    <row r="2327" spans="1:14" ht="12.75" customHeight="1" x14ac:dyDescent="0.2">
      <c r="A2327" s="567"/>
      <c r="B2327" s="567"/>
      <c r="C2327" s="567"/>
      <c r="D2327" s="567"/>
      <c r="E2327" s="567" t="s">
        <v>1523</v>
      </c>
      <c r="F2327" s="567"/>
      <c r="G2327" s="567" t="s">
        <v>3462</v>
      </c>
      <c r="H2327" s="568" t="s">
        <v>296</v>
      </c>
      <c r="I2327" s="239" t="str">
        <f>IF(ISBLANK(global!I840),"",global!I840)</f>
        <v/>
      </c>
      <c r="K2327" s="262" t="s">
        <v>4249</v>
      </c>
      <c r="N2327" s="262" t="s">
        <v>4249</v>
      </c>
    </row>
    <row r="2328" spans="1:14" ht="12.75" customHeight="1" x14ac:dyDescent="0.2">
      <c r="A2328" s="567"/>
      <c r="B2328" s="567"/>
      <c r="C2328" s="567"/>
      <c r="D2328" s="567"/>
      <c r="E2328" s="567"/>
      <c r="F2328" s="567" t="s">
        <v>1525</v>
      </c>
      <c r="G2328" s="567" t="s">
        <v>3463</v>
      </c>
      <c r="H2328" s="568" t="s">
        <v>1527</v>
      </c>
      <c r="I2328" s="239" t="str">
        <f>IF(ISBLANK(global!I841),"",global!I841)</f>
        <v/>
      </c>
      <c r="K2328" s="262" t="s">
        <v>4249</v>
      </c>
      <c r="N2328" s="262" t="s">
        <v>4249</v>
      </c>
    </row>
    <row r="2329" spans="1:14" ht="12.75" customHeight="1" x14ac:dyDescent="0.2">
      <c r="A2329" s="567"/>
      <c r="B2329" s="567"/>
      <c r="C2329" s="567" t="s">
        <v>1529</v>
      </c>
      <c r="D2329" s="567"/>
      <c r="E2329" s="567"/>
      <c r="F2329" s="567"/>
      <c r="G2329" s="568" t="s">
        <v>3464</v>
      </c>
      <c r="H2329" s="568" t="s">
        <v>296</v>
      </c>
      <c r="I2329" s="239" t="str">
        <f>IF(ISBLANK(global!I842),"",global!I842)</f>
        <v/>
      </c>
      <c r="K2329" s="262" t="s">
        <v>4249</v>
      </c>
      <c r="N2329" s="262" t="s">
        <v>4249</v>
      </c>
    </row>
    <row r="2330" spans="1:14" ht="12.75" customHeight="1" x14ac:dyDescent="0.2">
      <c r="A2330" s="567"/>
      <c r="B2330" s="567"/>
      <c r="C2330" s="567" t="s">
        <v>1531</v>
      </c>
      <c r="D2330" s="567"/>
      <c r="E2330" s="567"/>
      <c r="F2330" s="567"/>
      <c r="G2330" s="568" t="s">
        <v>3465</v>
      </c>
      <c r="H2330" s="568" t="s">
        <v>296</v>
      </c>
      <c r="I2330" s="239" t="str">
        <f>IF(ISBLANK(global!I843),"",global!I843)</f>
        <v/>
      </c>
      <c r="K2330" s="262" t="s">
        <v>4249</v>
      </c>
      <c r="N2330" s="262" t="s">
        <v>4249</v>
      </c>
    </row>
    <row r="2331" spans="1:14" ht="12.75" customHeight="1" x14ac:dyDescent="0.2">
      <c r="A2331" s="567"/>
      <c r="B2331" s="567"/>
      <c r="C2331" s="567"/>
      <c r="D2331" s="567" t="s">
        <v>1533</v>
      </c>
      <c r="E2331" s="567"/>
      <c r="F2331" s="567"/>
      <c r="G2331" s="567" t="s">
        <v>3466</v>
      </c>
      <c r="H2331" s="568" t="s">
        <v>296</v>
      </c>
      <c r="I2331" s="239" t="str">
        <f>IF(ISBLANK(global!I844),"",global!I844)</f>
        <v/>
      </c>
      <c r="K2331" s="262" t="s">
        <v>4249</v>
      </c>
      <c r="N2331" s="262" t="s">
        <v>4249</v>
      </c>
    </row>
    <row r="2332" spans="1:14" ht="12.75" customHeight="1" x14ac:dyDescent="0.2">
      <c r="A2332" s="567"/>
      <c r="B2332" s="567"/>
      <c r="C2332" s="567"/>
      <c r="D2332" s="567" t="s">
        <v>1535</v>
      </c>
      <c r="E2332" s="567"/>
      <c r="F2332" s="567"/>
      <c r="G2332" s="567" t="s">
        <v>3467</v>
      </c>
      <c r="H2332" s="568" t="s">
        <v>1537</v>
      </c>
      <c r="I2332" s="239" t="str">
        <f>IF(ISBLANK(global!I845),"",global!I845)</f>
        <v/>
      </c>
      <c r="K2332" s="262" t="s">
        <v>4249</v>
      </c>
      <c r="N2332" s="262" t="s">
        <v>4249</v>
      </c>
    </row>
    <row r="2333" spans="1:14" ht="12.75" customHeight="1" x14ac:dyDescent="0.2">
      <c r="A2333" s="567"/>
      <c r="B2333" s="567"/>
      <c r="C2333" s="567"/>
      <c r="D2333" s="567" t="s">
        <v>1538</v>
      </c>
      <c r="E2333" s="567"/>
      <c r="F2333" s="567"/>
      <c r="G2333" s="567" t="s">
        <v>3468</v>
      </c>
      <c r="H2333" s="568" t="s">
        <v>296</v>
      </c>
      <c r="I2333" s="239" t="str">
        <f>IF(ISBLANK(global!I846),"",global!I846)</f>
        <v/>
      </c>
      <c r="K2333" s="262" t="s">
        <v>4249</v>
      </c>
      <c r="N2333" s="262" t="s">
        <v>4249</v>
      </c>
    </row>
    <row r="2334" spans="1:14" ht="12.75" customHeight="1" x14ac:dyDescent="0.2">
      <c r="A2334" s="567"/>
      <c r="B2334" s="567"/>
      <c r="C2334" s="567"/>
      <c r="D2334" s="567" t="s">
        <v>1540</v>
      </c>
      <c r="E2334" s="567"/>
      <c r="F2334" s="567"/>
      <c r="G2334" s="568" t="s">
        <v>3469</v>
      </c>
      <c r="H2334" s="568" t="s">
        <v>296</v>
      </c>
      <c r="I2334" s="239" t="str">
        <f>IF(ISBLANK(global!I847),"",global!I847)</f>
        <v/>
      </c>
      <c r="K2334" s="262" t="s">
        <v>4249</v>
      </c>
      <c r="N2334" s="262" t="s">
        <v>4249</v>
      </c>
    </row>
    <row r="2335" spans="1:14" ht="12.75" customHeight="1" x14ac:dyDescent="0.2">
      <c r="A2335" s="410" t="s">
        <v>3470</v>
      </c>
      <c r="I2335" s="239" t="str">
        <f>IF(ISBLANK(global!I848),"",global!I848)</f>
        <v/>
      </c>
      <c r="K2335" s="262" t="s">
        <v>4249</v>
      </c>
      <c r="N2335" s="262" t="s">
        <v>4249</v>
      </c>
    </row>
    <row r="2336" spans="1:14" ht="12.75" customHeight="1" x14ac:dyDescent="0.2">
      <c r="A2336" s="567" t="s">
        <v>2811</v>
      </c>
      <c r="B2336" s="567"/>
      <c r="C2336" s="567"/>
      <c r="D2336" s="567"/>
      <c r="E2336" s="567"/>
      <c r="F2336" s="567"/>
      <c r="G2336" s="568" t="s">
        <v>3471</v>
      </c>
      <c r="H2336" s="568" t="s">
        <v>340</v>
      </c>
      <c r="I2336" s="239" t="str">
        <f>IF(ISBLANK(global!I849),"",global!I849)</f>
        <v/>
      </c>
      <c r="K2336" s="262" t="s">
        <v>4249</v>
      </c>
      <c r="N2336" s="262" t="s">
        <v>4249</v>
      </c>
    </row>
    <row r="2337" spans="1:14" ht="12.75" customHeight="1" x14ac:dyDescent="0.2">
      <c r="A2337" s="567"/>
      <c r="B2337" s="567" t="s">
        <v>1549</v>
      </c>
      <c r="C2337" s="567"/>
      <c r="D2337" s="567"/>
      <c r="E2337" s="567"/>
      <c r="F2337" s="567"/>
      <c r="G2337" s="568" t="s">
        <v>3472</v>
      </c>
      <c r="H2337" s="568" t="s">
        <v>715</v>
      </c>
      <c r="I2337" s="239" t="str">
        <f>IF(ISBLANK(global!I850),"",global!I850)</f>
        <v/>
      </c>
      <c r="K2337" s="262" t="s">
        <v>4249</v>
      </c>
      <c r="N2337" s="262" t="s">
        <v>4249</v>
      </c>
    </row>
    <row r="2338" spans="1:14" ht="12.75" customHeight="1" x14ac:dyDescent="0.2">
      <c r="A2338" s="567"/>
      <c r="B2338" s="567" t="s">
        <v>734</v>
      </c>
      <c r="C2338" s="567"/>
      <c r="D2338" s="567"/>
      <c r="E2338" s="567"/>
      <c r="F2338" s="567"/>
      <c r="G2338" s="568" t="s">
        <v>3473</v>
      </c>
      <c r="H2338" s="568" t="s">
        <v>736</v>
      </c>
      <c r="I2338" s="239" t="str">
        <f>IF(ISBLANK(global!I851),"",global!I851)</f>
        <v/>
      </c>
      <c r="K2338" s="262" t="s">
        <v>4249</v>
      </c>
      <c r="N2338" s="262" t="s">
        <v>4249</v>
      </c>
    </row>
    <row r="2339" spans="1:14" ht="12.75" customHeight="1" x14ac:dyDescent="0.2">
      <c r="A2339" s="567"/>
      <c r="B2339" s="567" t="s">
        <v>1454</v>
      </c>
      <c r="C2339" s="567"/>
      <c r="D2339" s="567"/>
      <c r="E2339" s="567"/>
      <c r="F2339" s="567"/>
      <c r="G2339" s="568" t="s">
        <v>3474</v>
      </c>
      <c r="H2339" s="568" t="s">
        <v>340</v>
      </c>
      <c r="I2339" s="239" t="str">
        <f>IF(ISBLANK(global!I852),"",global!I852)</f>
        <v/>
      </c>
      <c r="K2339" s="262" t="s">
        <v>4249</v>
      </c>
      <c r="N2339" s="262" t="s">
        <v>4249</v>
      </c>
    </row>
    <row r="2340" spans="1:14" ht="12.75" customHeight="1" x14ac:dyDescent="0.2">
      <c r="A2340" s="567"/>
      <c r="B2340" s="567" t="s">
        <v>1456</v>
      </c>
      <c r="C2340" s="567"/>
      <c r="D2340" s="567"/>
      <c r="E2340" s="567"/>
      <c r="F2340" s="567"/>
      <c r="G2340" s="568" t="s">
        <v>3475</v>
      </c>
      <c r="H2340" s="568" t="s">
        <v>340</v>
      </c>
      <c r="I2340" s="239" t="str">
        <f>IF(ISBLANK(global!I853),"",global!I853)</f>
        <v/>
      </c>
      <c r="K2340" s="262" t="s">
        <v>4249</v>
      </c>
      <c r="N2340" s="262" t="s">
        <v>4249</v>
      </c>
    </row>
    <row r="2341" spans="1:14" ht="12.75" customHeight="1" x14ac:dyDescent="0.2">
      <c r="A2341" s="567" t="s">
        <v>2818</v>
      </c>
      <c r="B2341" s="567"/>
      <c r="C2341" s="567"/>
      <c r="D2341" s="567"/>
      <c r="E2341" s="567"/>
      <c r="F2341" s="567"/>
      <c r="G2341" s="568" t="s">
        <v>3476</v>
      </c>
      <c r="H2341" s="568" t="s">
        <v>340</v>
      </c>
      <c r="I2341" s="239" t="str">
        <f>IF(ISBLANK(global!I854),"",global!I854)</f>
        <v/>
      </c>
      <c r="K2341" s="262" t="s">
        <v>4249</v>
      </c>
      <c r="N2341" s="262" t="s">
        <v>4249</v>
      </c>
    </row>
    <row r="2342" spans="1:14" ht="12.75" customHeight="1" x14ac:dyDescent="0.2">
      <c r="A2342" s="567"/>
      <c r="B2342" s="567" t="s">
        <v>1556</v>
      </c>
      <c r="C2342" s="567"/>
      <c r="D2342" s="567"/>
      <c r="E2342" s="567"/>
      <c r="F2342" s="567"/>
      <c r="G2342" s="568" t="s">
        <v>3477</v>
      </c>
      <c r="H2342" s="568" t="s">
        <v>1513</v>
      </c>
      <c r="I2342" s="239" t="str">
        <f>IF(ISBLANK(global!I855),"",global!I855)</f>
        <v/>
      </c>
      <c r="K2342" s="262" t="s">
        <v>4249</v>
      </c>
      <c r="N2342" s="262" t="s">
        <v>4249</v>
      </c>
    </row>
    <row r="2343" spans="1:14" ht="12.75" customHeight="1" x14ac:dyDescent="0.2">
      <c r="A2343" s="567"/>
      <c r="B2343" s="567" t="s">
        <v>1558</v>
      </c>
      <c r="C2343" s="567"/>
      <c r="D2343" s="567"/>
      <c r="E2343" s="567"/>
      <c r="F2343" s="567"/>
      <c r="G2343" s="567" t="s">
        <v>3478</v>
      </c>
      <c r="H2343" s="568" t="s">
        <v>873</v>
      </c>
      <c r="I2343" s="239" t="str">
        <f>IF(ISBLANK(global!I856),"",global!I856)</f>
        <v/>
      </c>
      <c r="K2343" s="262" t="s">
        <v>4249</v>
      </c>
      <c r="N2343" s="262" t="s">
        <v>4249</v>
      </c>
    </row>
    <row r="2344" spans="1:14" ht="12.75" customHeight="1" x14ac:dyDescent="0.2">
      <c r="A2344" s="567"/>
      <c r="B2344" s="567" t="s">
        <v>1517</v>
      </c>
      <c r="C2344" s="567"/>
      <c r="D2344" s="567"/>
      <c r="E2344" s="567"/>
      <c r="F2344" s="567"/>
      <c r="G2344" s="568" t="s">
        <v>3479</v>
      </c>
      <c r="H2344" s="568" t="s">
        <v>296</v>
      </c>
      <c r="I2344" s="239" t="str">
        <f>IF(ISBLANK(global!I857),"",global!I857)</f>
        <v/>
      </c>
      <c r="K2344" s="262" t="s">
        <v>4249</v>
      </c>
      <c r="N2344" s="262" t="s">
        <v>4249</v>
      </c>
    </row>
    <row r="2345" spans="1:14" ht="12.75" customHeight="1" x14ac:dyDescent="0.2">
      <c r="A2345" s="567"/>
      <c r="B2345" s="567"/>
      <c r="C2345" s="567" t="s">
        <v>1519</v>
      </c>
      <c r="D2345" s="567"/>
      <c r="E2345" s="567"/>
      <c r="F2345" s="567"/>
      <c r="G2345" s="568" t="s">
        <v>3480</v>
      </c>
      <c r="H2345" s="568" t="s">
        <v>296</v>
      </c>
      <c r="I2345" s="239" t="str">
        <f>IF(ISBLANK(global!I858),"",global!I858)</f>
        <v/>
      </c>
      <c r="K2345" s="262" t="s">
        <v>4249</v>
      </c>
      <c r="N2345" s="262" t="s">
        <v>4249</v>
      </c>
    </row>
    <row r="2346" spans="1:14" ht="12.75" customHeight="1" x14ac:dyDescent="0.2">
      <c r="A2346" s="567"/>
      <c r="B2346" s="567"/>
      <c r="C2346" s="567"/>
      <c r="D2346" s="567" t="s">
        <v>1521</v>
      </c>
      <c r="E2346" s="567"/>
      <c r="F2346" s="567"/>
      <c r="G2346" s="567" t="s">
        <v>3481</v>
      </c>
      <c r="H2346" s="568" t="s">
        <v>296</v>
      </c>
      <c r="I2346" s="239" t="str">
        <f>IF(ISBLANK(global!I859),"",global!I859)</f>
        <v/>
      </c>
      <c r="K2346" s="262" t="s">
        <v>4249</v>
      </c>
      <c r="N2346" s="262" t="s">
        <v>4249</v>
      </c>
    </row>
    <row r="2347" spans="1:14" ht="12.75" customHeight="1" x14ac:dyDescent="0.2">
      <c r="A2347" s="567"/>
      <c r="B2347" s="567"/>
      <c r="C2347" s="567"/>
      <c r="D2347" s="567"/>
      <c r="E2347" s="567" t="s">
        <v>1563</v>
      </c>
      <c r="F2347" s="567"/>
      <c r="G2347" s="567" t="s">
        <v>3482</v>
      </c>
      <c r="H2347" s="568" t="s">
        <v>296</v>
      </c>
      <c r="I2347" s="239" t="str">
        <f>IF(ISBLANK(global!I860),"",global!I860)</f>
        <v/>
      </c>
      <c r="K2347" s="262" t="s">
        <v>4249</v>
      </c>
      <c r="N2347" s="262" t="s">
        <v>4249</v>
      </c>
    </row>
    <row r="2348" spans="1:14" ht="12.75" customHeight="1" x14ac:dyDescent="0.2">
      <c r="A2348" s="567"/>
      <c r="B2348" s="567"/>
      <c r="C2348" s="567"/>
      <c r="D2348" s="567"/>
      <c r="E2348" s="567"/>
      <c r="F2348" s="567" t="s">
        <v>1565</v>
      </c>
      <c r="G2348" s="567" t="s">
        <v>3483</v>
      </c>
      <c r="H2348" s="568" t="s">
        <v>1527</v>
      </c>
      <c r="I2348" s="239" t="str">
        <f>IF(ISBLANK(global!I861),"",global!I861)</f>
        <v/>
      </c>
      <c r="K2348" s="262" t="s">
        <v>4249</v>
      </c>
      <c r="N2348" s="262" t="s">
        <v>4249</v>
      </c>
    </row>
    <row r="2349" spans="1:14" ht="12.75" customHeight="1" x14ac:dyDescent="0.2">
      <c r="A2349" s="567"/>
      <c r="B2349" s="567"/>
      <c r="C2349" s="567" t="s">
        <v>1529</v>
      </c>
      <c r="D2349" s="567"/>
      <c r="E2349" s="567"/>
      <c r="F2349" s="567"/>
      <c r="G2349" s="568" t="s">
        <v>3484</v>
      </c>
      <c r="H2349" s="568" t="s">
        <v>296</v>
      </c>
      <c r="I2349" s="239" t="str">
        <f>IF(ISBLANK(global!I862),"",global!I862)</f>
        <v/>
      </c>
      <c r="K2349" s="262" t="s">
        <v>4249</v>
      </c>
      <c r="N2349" s="262" t="s">
        <v>4249</v>
      </c>
    </row>
    <row r="2350" spans="1:14" ht="12.75" customHeight="1" x14ac:dyDescent="0.2">
      <c r="A2350" s="567"/>
      <c r="B2350" s="567"/>
      <c r="C2350" s="567" t="s">
        <v>1531</v>
      </c>
      <c r="D2350" s="567"/>
      <c r="E2350" s="567"/>
      <c r="F2350" s="567"/>
      <c r="G2350" s="568" t="s">
        <v>3485</v>
      </c>
      <c r="H2350" s="568" t="s">
        <v>296</v>
      </c>
      <c r="I2350" s="239" t="str">
        <f>IF(ISBLANK(global!I863),"",global!I863)</f>
        <v/>
      </c>
      <c r="K2350" s="262" t="s">
        <v>4249</v>
      </c>
      <c r="N2350" s="262" t="s">
        <v>4249</v>
      </c>
    </row>
    <row r="2351" spans="1:14" ht="12.75" customHeight="1" x14ac:dyDescent="0.2">
      <c r="A2351" s="567"/>
      <c r="B2351" s="567"/>
      <c r="C2351" s="567"/>
      <c r="D2351" s="567" t="s">
        <v>1535</v>
      </c>
      <c r="E2351" s="567"/>
      <c r="F2351" s="567"/>
      <c r="G2351" s="567" t="s">
        <v>3486</v>
      </c>
      <c r="H2351" s="568" t="s">
        <v>1537</v>
      </c>
      <c r="I2351" s="239" t="str">
        <f>IF(ISBLANK(global!I864),"",global!I864)</f>
        <v/>
      </c>
      <c r="K2351" s="262" t="s">
        <v>4249</v>
      </c>
      <c r="N2351" s="262" t="s">
        <v>4249</v>
      </c>
    </row>
    <row r="2352" spans="1:14" ht="12.75" customHeight="1" x14ac:dyDescent="0.2">
      <c r="A2352" s="567"/>
      <c r="B2352" s="567"/>
      <c r="C2352" s="567"/>
      <c r="D2352" s="567" t="s">
        <v>1538</v>
      </c>
      <c r="E2352" s="567"/>
      <c r="F2352" s="567"/>
      <c r="G2352" s="567" t="s">
        <v>3487</v>
      </c>
      <c r="H2352" s="568" t="s">
        <v>296</v>
      </c>
      <c r="I2352" s="239" t="str">
        <f>IF(ISBLANK(global!I865),"",global!I865)</f>
        <v/>
      </c>
      <c r="K2352" s="262" t="s">
        <v>4249</v>
      </c>
      <c r="N2352" s="262" t="s">
        <v>4249</v>
      </c>
    </row>
    <row r="2353" spans="1:14" ht="12.75" customHeight="1" x14ac:dyDescent="0.2">
      <c r="A2353" s="567"/>
      <c r="B2353" s="567"/>
      <c r="C2353" s="567"/>
      <c r="D2353" s="567" t="s">
        <v>1533</v>
      </c>
      <c r="E2353" s="567"/>
      <c r="F2353" s="567"/>
      <c r="G2353" s="567" t="s">
        <v>3488</v>
      </c>
      <c r="H2353" s="568" t="s">
        <v>296</v>
      </c>
      <c r="I2353" s="239" t="str">
        <f>IF(ISBLANK(global!I866),"",global!I866)</f>
        <v/>
      </c>
      <c r="K2353" s="262" t="s">
        <v>4249</v>
      </c>
      <c r="N2353" s="262" t="s">
        <v>4249</v>
      </c>
    </row>
    <row r="2354" spans="1:14" ht="12.75" customHeight="1" x14ac:dyDescent="0.2">
      <c r="A2354" s="567"/>
      <c r="B2354" s="567"/>
      <c r="C2354" s="567"/>
      <c r="D2354" s="567" t="s">
        <v>1540</v>
      </c>
      <c r="E2354" s="567"/>
      <c r="F2354" s="567"/>
      <c r="G2354" s="568" t="s">
        <v>3489</v>
      </c>
      <c r="H2354" s="568" t="s">
        <v>296</v>
      </c>
      <c r="I2354" s="239" t="str">
        <f>IF(ISBLANK(global!I867),"",global!I867)</f>
        <v/>
      </c>
      <c r="K2354" s="262" t="s">
        <v>4249</v>
      </c>
      <c r="N2354" s="262" t="s">
        <v>4249</v>
      </c>
    </row>
    <row r="2355" spans="1:14" ht="12.75" customHeight="1" x14ac:dyDescent="0.2">
      <c r="I2355" s="239" t="str">
        <f>IF(ISBLANK(global!I868),"",global!I868)</f>
        <v/>
      </c>
      <c r="K2355" s="262" t="s">
        <v>4249</v>
      </c>
      <c r="N2355" s="262" t="s">
        <v>4249</v>
      </c>
    </row>
    <row r="2356" spans="1:14" ht="12.75" customHeight="1" x14ac:dyDescent="0.2">
      <c r="A2356" s="633" t="s">
        <v>1605</v>
      </c>
      <c r="B2356" s="634"/>
      <c r="C2356" s="634"/>
      <c r="D2356" s="634"/>
      <c r="E2356" s="634"/>
      <c r="F2356" s="634"/>
      <c r="G2356" s="633" t="s">
        <v>263</v>
      </c>
      <c r="H2356" s="633" t="s">
        <v>279</v>
      </c>
      <c r="I2356" s="239" t="str">
        <f>IF(ISBLANK(global!I869),"",global!I869)</f>
        <v>User input</v>
      </c>
      <c r="K2356" s="262" t="s">
        <v>264</v>
      </c>
      <c r="N2356" s="262" t="s">
        <v>264</v>
      </c>
    </row>
    <row r="2357" spans="1:14" ht="12.75" customHeight="1" x14ac:dyDescent="0.2">
      <c r="A2357" t="s">
        <v>3490</v>
      </c>
      <c r="I2357" s="239" t="str">
        <f>IF(ISBLANK(global!I870),"",global!I870)</f>
        <v/>
      </c>
      <c r="K2357" s="262" t="s">
        <v>4249</v>
      </c>
      <c r="N2357" s="262" t="s">
        <v>4249</v>
      </c>
    </row>
    <row r="2358" spans="1:14" ht="12.75" customHeight="1" x14ac:dyDescent="0.2">
      <c r="A2358" s="567"/>
      <c r="B2358" s="567" t="s">
        <v>1607</v>
      </c>
      <c r="C2358" s="567"/>
      <c r="D2358" s="567"/>
      <c r="E2358" s="567"/>
      <c r="F2358" s="567"/>
      <c r="G2358" s="568" t="s">
        <v>3491</v>
      </c>
      <c r="H2358" s="568" t="s">
        <v>820</v>
      </c>
      <c r="I2358" s="239" t="str">
        <f>IF(ISBLANK(global!I871),"",global!I871)</f>
        <v/>
      </c>
      <c r="K2358" s="262" t="s">
        <v>4249</v>
      </c>
      <c r="N2358" s="262" t="s">
        <v>4249</v>
      </c>
    </row>
    <row r="2359" spans="1:14" ht="12.75" customHeight="1" x14ac:dyDescent="0.2">
      <c r="A2359" s="567"/>
      <c r="B2359" s="567" t="s">
        <v>1610</v>
      </c>
      <c r="C2359" s="567"/>
      <c r="D2359" s="567"/>
      <c r="E2359" s="567"/>
      <c r="F2359" s="567"/>
      <c r="G2359" s="568" t="s">
        <v>3492</v>
      </c>
      <c r="H2359" s="568" t="s">
        <v>296</v>
      </c>
      <c r="I2359" s="239">
        <f>IF(ISBLANK(global!I872),"",global!I872)</f>
        <v>1</v>
      </c>
      <c r="K2359" s="262" t="s">
        <v>4249</v>
      </c>
      <c r="N2359" s="262" t="s">
        <v>4249</v>
      </c>
    </row>
    <row r="2360" spans="1:14" ht="12.75" customHeight="1" x14ac:dyDescent="0.2">
      <c r="A2360" s="567"/>
      <c r="B2360" s="567" t="s">
        <v>1613</v>
      </c>
      <c r="C2360" s="567"/>
      <c r="D2360" s="567"/>
      <c r="E2360" s="567"/>
      <c r="F2360" s="567"/>
      <c r="G2360" s="568" t="s">
        <v>3493</v>
      </c>
      <c r="H2360" s="568" t="s">
        <v>873</v>
      </c>
      <c r="I2360" s="239" t="str">
        <f>IF(ISBLANK(global!I873),"",global!I873)</f>
        <v/>
      </c>
      <c r="K2360" s="262" t="s">
        <v>4249</v>
      </c>
      <c r="N2360" s="262" t="s">
        <v>4249</v>
      </c>
    </row>
    <row r="2361" spans="1:14" ht="12.75" customHeight="1" x14ac:dyDescent="0.2">
      <c r="A2361" s="567"/>
      <c r="B2361" s="567" t="s">
        <v>1617</v>
      </c>
      <c r="C2361" s="567"/>
      <c r="D2361" s="567"/>
      <c r="E2361" s="567"/>
      <c r="F2361" s="567"/>
      <c r="G2361" s="568" t="s">
        <v>3494</v>
      </c>
      <c r="H2361" s="568" t="s">
        <v>873</v>
      </c>
      <c r="I2361" s="239" t="str">
        <f>IF(ISBLANK(global!I874),"",global!I874)</f>
        <v/>
      </c>
      <c r="K2361" s="262" t="s">
        <v>4249</v>
      </c>
      <c r="N2361" s="262" t="s">
        <v>4249</v>
      </c>
    </row>
    <row r="2362" spans="1:14" ht="12.75" customHeight="1" x14ac:dyDescent="0.2">
      <c r="A2362" s="567"/>
      <c r="B2362" s="567" t="s">
        <v>1619</v>
      </c>
      <c r="C2362" s="567"/>
      <c r="D2362" s="567"/>
      <c r="E2362" s="567"/>
      <c r="F2362" s="567"/>
      <c r="G2362" s="568" t="s">
        <v>3495</v>
      </c>
      <c r="H2362" s="568" t="s">
        <v>296</v>
      </c>
      <c r="I2362" s="239" t="str">
        <f>IF(ISBLANK(global!I875),"",global!I875)</f>
        <v/>
      </c>
      <c r="K2362" s="262" t="s">
        <v>4249</v>
      </c>
      <c r="N2362" s="262" t="s">
        <v>4249</v>
      </c>
    </row>
    <row r="2363" spans="1:14" ht="12.75" customHeight="1" x14ac:dyDescent="0.2">
      <c r="A2363" s="567"/>
      <c r="B2363" s="567" t="s">
        <v>1621</v>
      </c>
      <c r="C2363" s="567"/>
      <c r="D2363" s="567"/>
      <c r="E2363" s="567"/>
      <c r="F2363" s="567"/>
      <c r="G2363" s="568" t="s">
        <v>3496</v>
      </c>
      <c r="H2363" s="568" t="s">
        <v>296</v>
      </c>
      <c r="I2363" s="239" t="str">
        <f>IF(ISBLANK(global!I876),"",global!I876)</f>
        <v/>
      </c>
      <c r="K2363" s="262" t="s">
        <v>4249</v>
      </c>
      <c r="N2363" s="262" t="s">
        <v>4249</v>
      </c>
    </row>
    <row r="2364" spans="1:14" ht="12.75" customHeight="1" x14ac:dyDescent="0.2">
      <c r="A2364" s="567"/>
      <c r="B2364" s="567" t="s">
        <v>1623</v>
      </c>
      <c r="C2364" s="567"/>
      <c r="D2364" s="567"/>
      <c r="E2364" s="567"/>
      <c r="F2364" s="567"/>
      <c r="G2364" s="568" t="s">
        <v>3497</v>
      </c>
      <c r="H2364" s="568" t="s">
        <v>296</v>
      </c>
      <c r="I2364" s="239" t="str">
        <f>IF(ISBLANK(global!I877),"",global!I877)</f>
        <v/>
      </c>
      <c r="K2364" s="262" t="s">
        <v>4249</v>
      </c>
      <c r="N2364" s="262" t="s">
        <v>4249</v>
      </c>
    </row>
    <row r="2365" spans="1:14" ht="12.75" customHeight="1" x14ac:dyDescent="0.2">
      <c r="A2365" t="s">
        <v>3498</v>
      </c>
      <c r="G2365"/>
      <c r="H2365"/>
      <c r="I2365" s="239" t="str">
        <f>IF(ISBLANK(global!I878),"",global!I878)</f>
        <v/>
      </c>
      <c r="K2365" s="262" t="s">
        <v>4249</v>
      </c>
      <c r="N2365" s="262" t="s">
        <v>4249</v>
      </c>
    </row>
    <row r="2366" spans="1:14" ht="12.75" customHeight="1" x14ac:dyDescent="0.2">
      <c r="A2366" s="567"/>
      <c r="B2366" s="567" t="s">
        <v>1626</v>
      </c>
      <c r="C2366" s="567"/>
      <c r="D2366" s="567"/>
      <c r="E2366" s="567"/>
      <c r="F2366" s="567"/>
      <c r="G2366" s="567" t="s">
        <v>3499</v>
      </c>
      <c r="H2366" s="567" t="s">
        <v>820</v>
      </c>
      <c r="I2366" s="239" t="str">
        <f>IF(ISBLANK(global!I879),"",global!I879)</f>
        <v/>
      </c>
      <c r="K2366" s="262" t="s">
        <v>4249</v>
      </c>
      <c r="N2366" s="262" t="s">
        <v>4249</v>
      </c>
    </row>
    <row r="2367" spans="1:14" ht="12.75" customHeight="1" x14ac:dyDescent="0.2">
      <c r="A2367" s="567"/>
      <c r="B2367" s="567" t="s">
        <v>1628</v>
      </c>
      <c r="C2367" s="567"/>
      <c r="D2367" s="567"/>
      <c r="E2367" s="567"/>
      <c r="F2367" s="567"/>
      <c r="G2367" s="567" t="s">
        <v>3500</v>
      </c>
      <c r="H2367" s="567" t="s">
        <v>287</v>
      </c>
      <c r="I2367" s="239" t="str">
        <f>IF(ISBLANK(global!I880),"",global!I880)</f>
        <v/>
      </c>
      <c r="K2367" s="262" t="s">
        <v>4249</v>
      </c>
      <c r="N2367" s="262" t="s">
        <v>4249</v>
      </c>
    </row>
    <row r="2368" spans="1:14" ht="12.75" customHeight="1" x14ac:dyDescent="0.2">
      <c r="A2368" s="567"/>
      <c r="B2368" s="567"/>
      <c r="C2368" s="567" t="s">
        <v>1630</v>
      </c>
      <c r="D2368" s="567"/>
      <c r="E2368" s="567"/>
      <c r="F2368" s="567"/>
      <c r="G2368" s="567" t="s">
        <v>3501</v>
      </c>
      <c r="H2368" s="567" t="s">
        <v>864</v>
      </c>
      <c r="I2368" s="239" t="str">
        <f>IF(ISBLANK(global!I881),"",global!I881)</f>
        <v/>
      </c>
      <c r="K2368" s="262" t="s">
        <v>4249</v>
      </c>
      <c r="N2368" s="262" t="s">
        <v>4249</v>
      </c>
    </row>
    <row r="2369" spans="1:14" ht="12.75" customHeight="1" x14ac:dyDescent="0.2">
      <c r="A2369" s="567"/>
      <c r="B2369" s="567"/>
      <c r="C2369" s="567" t="s">
        <v>1632</v>
      </c>
      <c r="D2369" s="567"/>
      <c r="E2369" s="567"/>
      <c r="F2369" s="567"/>
      <c r="G2369" s="567" t="s">
        <v>3502</v>
      </c>
      <c r="H2369" s="567" t="s">
        <v>895</v>
      </c>
      <c r="I2369" s="239" t="str">
        <f>IF(ISBLANK(global!I882),"",global!I882)</f>
        <v/>
      </c>
      <c r="K2369" s="262" t="s">
        <v>4249</v>
      </c>
      <c r="N2369" s="262" t="s">
        <v>4249</v>
      </c>
    </row>
    <row r="2370" spans="1:14" ht="12.75" customHeight="1" x14ac:dyDescent="0.2">
      <c r="A2370" t="s">
        <v>3503</v>
      </c>
      <c r="G2370"/>
      <c r="H2370"/>
      <c r="I2370" s="239" t="str">
        <f>IF(ISBLANK(global!I883),"",global!I883)</f>
        <v/>
      </c>
      <c r="K2370" s="262" t="s">
        <v>4249</v>
      </c>
      <c r="N2370" s="262" t="s">
        <v>4249</v>
      </c>
    </row>
    <row r="2371" spans="1:14" ht="12.75" customHeight="1" x14ac:dyDescent="0.2">
      <c r="A2371" s="567" t="s">
        <v>1635</v>
      </c>
      <c r="B2371" s="567"/>
      <c r="C2371" s="567"/>
      <c r="D2371" s="567"/>
      <c r="E2371" s="567"/>
      <c r="F2371" s="567"/>
      <c r="G2371" s="568" t="s">
        <v>3504</v>
      </c>
      <c r="H2371" s="568" t="s">
        <v>340</v>
      </c>
      <c r="I2371" s="239" t="str">
        <f>IF(ISBLANK(global!I884),"",global!I884)</f>
        <v/>
      </c>
      <c r="K2371" s="262" t="s">
        <v>4249</v>
      </c>
      <c r="N2371" s="262" t="s">
        <v>4249</v>
      </c>
    </row>
    <row r="2372" spans="1:14" ht="12.75" customHeight="1" x14ac:dyDescent="0.2">
      <c r="A2372" s="567"/>
      <c r="B2372" s="567" t="s">
        <v>1638</v>
      </c>
      <c r="C2372" s="567"/>
      <c r="D2372" s="567"/>
      <c r="E2372" s="567"/>
      <c r="F2372" s="567"/>
      <c r="G2372" s="568" t="s">
        <v>3505</v>
      </c>
      <c r="H2372" s="568" t="s">
        <v>1640</v>
      </c>
      <c r="I2372" s="239" t="str">
        <f>IF(ISBLANK(global!I885),"",global!I885)</f>
        <v/>
      </c>
      <c r="K2372" s="262" t="s">
        <v>4249</v>
      </c>
      <c r="N2372" s="262" t="s">
        <v>4249</v>
      </c>
    </row>
    <row r="2373" spans="1:14" ht="12.75" customHeight="1" x14ac:dyDescent="0.2">
      <c r="A2373" s="567"/>
      <c r="B2373" s="567" t="s">
        <v>1641</v>
      </c>
      <c r="C2373" s="567"/>
      <c r="D2373" s="567"/>
      <c r="E2373" s="567"/>
      <c r="F2373" s="567"/>
      <c r="G2373" s="568" t="s">
        <v>3506</v>
      </c>
      <c r="H2373" s="568" t="s">
        <v>296</v>
      </c>
      <c r="I2373" s="239" t="str">
        <f>IF(ISBLANK(global!I886),"",global!I886)</f>
        <v/>
      </c>
      <c r="K2373" s="262" t="s">
        <v>4249</v>
      </c>
      <c r="N2373" s="262" t="s">
        <v>4249</v>
      </c>
    </row>
    <row r="2374" spans="1:14" ht="12.75" customHeight="1" x14ac:dyDescent="0.2">
      <c r="A2374" s="567"/>
      <c r="B2374" s="567" t="s">
        <v>1644</v>
      </c>
      <c r="C2374" s="567"/>
      <c r="D2374" s="567"/>
      <c r="E2374" s="567"/>
      <c r="F2374" s="567"/>
      <c r="G2374" s="568" t="s">
        <v>3507</v>
      </c>
      <c r="H2374" s="568" t="s">
        <v>873</v>
      </c>
      <c r="I2374" s="239" t="str">
        <f>IF(ISBLANK(global!I887),"",global!I887)</f>
        <v/>
      </c>
      <c r="K2374" s="262" t="s">
        <v>4249</v>
      </c>
      <c r="N2374" s="262" t="s">
        <v>4249</v>
      </c>
    </row>
    <row r="2375" spans="1:14" ht="12.75" customHeight="1" x14ac:dyDescent="0.2">
      <c r="A2375" s="567"/>
      <c r="B2375" s="567" t="s">
        <v>1646</v>
      </c>
      <c r="C2375" s="567"/>
      <c r="D2375" s="567"/>
      <c r="E2375" s="567"/>
      <c r="F2375" s="567"/>
      <c r="G2375" s="568" t="s">
        <v>3508</v>
      </c>
      <c r="H2375" s="568" t="s">
        <v>296</v>
      </c>
      <c r="I2375" s="239" t="str">
        <f>IF(ISBLANK(global!I888),"",global!I888)</f>
        <v/>
      </c>
      <c r="K2375" s="262" t="s">
        <v>4249</v>
      </c>
      <c r="N2375" s="262" t="s">
        <v>4249</v>
      </c>
    </row>
    <row r="2376" spans="1:14" ht="12.75" customHeight="1" x14ac:dyDescent="0.2">
      <c r="A2376" s="567"/>
      <c r="B2376" s="567"/>
      <c r="C2376" s="567" t="s">
        <v>1648</v>
      </c>
      <c r="D2376" s="567"/>
      <c r="E2376" s="567"/>
      <c r="F2376" s="567"/>
      <c r="G2376" s="568" t="s">
        <v>3509</v>
      </c>
      <c r="H2376" s="568" t="s">
        <v>296</v>
      </c>
      <c r="I2376" s="239" t="str">
        <f>IF(ISBLANK(global!I889),"",global!I889)</f>
        <v/>
      </c>
      <c r="K2376" s="262" t="s">
        <v>4249</v>
      </c>
      <c r="N2376" s="262" t="s">
        <v>4249</v>
      </c>
    </row>
    <row r="2377" spans="1:14" ht="12.75" customHeight="1" x14ac:dyDescent="0.2">
      <c r="A2377" s="567"/>
      <c r="B2377" s="567"/>
      <c r="C2377" s="567" t="s">
        <v>1650</v>
      </c>
      <c r="D2377" s="567"/>
      <c r="E2377" s="567"/>
      <c r="F2377" s="567"/>
      <c r="G2377" s="568" t="s">
        <v>3510</v>
      </c>
      <c r="H2377" s="568" t="s">
        <v>296</v>
      </c>
      <c r="I2377" s="239" t="str">
        <f>IF(ISBLANK(global!I890),"",global!I890)</f>
        <v/>
      </c>
      <c r="K2377" s="262" t="s">
        <v>4249</v>
      </c>
      <c r="N2377" s="262" t="s">
        <v>4249</v>
      </c>
    </row>
    <row r="2378" spans="1:14" ht="12.75" customHeight="1" x14ac:dyDescent="0.2">
      <c r="A2378" s="567"/>
      <c r="B2378" s="567"/>
      <c r="C2378" s="567" t="s">
        <v>1652</v>
      </c>
      <c r="D2378" s="567"/>
      <c r="E2378" s="567"/>
      <c r="F2378" s="567"/>
      <c r="G2378" s="568" t="s">
        <v>3511</v>
      </c>
      <c r="H2378" s="568" t="s">
        <v>296</v>
      </c>
      <c r="I2378" s="239" t="str">
        <f>IF(ISBLANK(global!I891),"",global!I891)</f>
        <v/>
      </c>
      <c r="K2378" s="262" t="s">
        <v>4249</v>
      </c>
      <c r="N2378" s="262" t="s">
        <v>4249</v>
      </c>
    </row>
    <row r="2379" spans="1:14" ht="12.75" customHeight="1" x14ac:dyDescent="0.2">
      <c r="A2379" s="567"/>
      <c r="B2379" s="567"/>
      <c r="C2379" s="567" t="s">
        <v>1654</v>
      </c>
      <c r="D2379" s="567"/>
      <c r="E2379" s="567"/>
      <c r="F2379" s="567"/>
      <c r="G2379" s="568" t="s">
        <v>3512</v>
      </c>
      <c r="H2379" s="568" t="s">
        <v>296</v>
      </c>
      <c r="I2379" s="239" t="str">
        <f>IF(ISBLANK(global!I892),"",global!I892)</f>
        <v/>
      </c>
      <c r="K2379" s="262" t="s">
        <v>4249</v>
      </c>
      <c r="N2379" s="262" t="s">
        <v>4249</v>
      </c>
    </row>
    <row r="2380" spans="1:14" ht="12.75" customHeight="1" x14ac:dyDescent="0.2">
      <c r="A2380" s="567" t="s">
        <v>1656</v>
      </c>
      <c r="B2380" s="567"/>
      <c r="C2380" s="567"/>
      <c r="D2380" s="567"/>
      <c r="E2380" s="567"/>
      <c r="F2380" s="567"/>
      <c r="G2380" s="568" t="s">
        <v>3513</v>
      </c>
      <c r="H2380" s="568" t="s">
        <v>340</v>
      </c>
      <c r="I2380" s="239" t="str">
        <f>IF(ISBLANK(global!I893),"",global!I893)</f>
        <v/>
      </c>
      <c r="K2380" s="262" t="s">
        <v>4249</v>
      </c>
      <c r="N2380" s="262" t="s">
        <v>4249</v>
      </c>
    </row>
    <row r="2381" spans="1:14" ht="12.75" customHeight="1" x14ac:dyDescent="0.2">
      <c r="A2381" s="567"/>
      <c r="B2381" s="567" t="s">
        <v>1658</v>
      </c>
      <c r="C2381" s="567"/>
      <c r="D2381" s="567"/>
      <c r="E2381" s="567"/>
      <c r="F2381" s="567"/>
      <c r="G2381" s="568" t="s">
        <v>3514</v>
      </c>
      <c r="H2381" s="568" t="s">
        <v>296</v>
      </c>
      <c r="I2381" s="239" t="str">
        <f>IF(ISBLANK(global!I894),"",global!I894)</f>
        <v/>
      </c>
      <c r="K2381" s="262" t="s">
        <v>4249</v>
      </c>
      <c r="N2381" s="262" t="s">
        <v>4249</v>
      </c>
    </row>
    <row r="2382" spans="1:14" ht="12.75" customHeight="1" x14ac:dyDescent="0.2">
      <c r="A2382" s="567"/>
      <c r="B2382" s="567" t="s">
        <v>1660</v>
      </c>
      <c r="C2382" s="567"/>
      <c r="D2382" s="567"/>
      <c r="E2382" s="567"/>
      <c r="F2382" s="567"/>
      <c r="G2382" s="568" t="s">
        <v>3515</v>
      </c>
      <c r="H2382" s="568"/>
      <c r="I2382" s="239" t="str">
        <f>IF(ISBLANK(global!I895),"",global!I895)</f>
        <v/>
      </c>
      <c r="K2382" s="262" t="s">
        <v>4249</v>
      </c>
      <c r="N2382" s="262" t="s">
        <v>4249</v>
      </c>
    </row>
    <row r="2383" spans="1:14" ht="12.75" customHeight="1" x14ac:dyDescent="0.2">
      <c r="A2383" s="567"/>
      <c r="B2383" s="567" t="s">
        <v>1638</v>
      </c>
      <c r="C2383" s="567"/>
      <c r="D2383" s="567"/>
      <c r="E2383" s="567"/>
      <c r="F2383" s="567"/>
      <c r="G2383" s="568" t="s">
        <v>3516</v>
      </c>
      <c r="H2383" s="568" t="s">
        <v>1640</v>
      </c>
      <c r="I2383" s="239" t="str">
        <f>IF(ISBLANK(global!I896),"",global!I896)</f>
        <v/>
      </c>
      <c r="K2383" s="262" t="s">
        <v>4249</v>
      </c>
      <c r="N2383" s="262" t="s">
        <v>4249</v>
      </c>
    </row>
    <row r="2384" spans="1:14" ht="12.75" customHeight="1" x14ac:dyDescent="0.2">
      <c r="A2384" s="567"/>
      <c r="B2384" s="567" t="s">
        <v>1663</v>
      </c>
      <c r="C2384" s="567"/>
      <c r="D2384" s="567"/>
      <c r="E2384" s="567"/>
      <c r="F2384" s="567"/>
      <c r="G2384" s="568" t="s">
        <v>3517</v>
      </c>
      <c r="H2384" s="568" t="s">
        <v>296</v>
      </c>
      <c r="I2384" s="239" t="str">
        <f>IF(ISBLANK(global!I897),"",global!I897)</f>
        <v/>
      </c>
      <c r="K2384" s="262" t="s">
        <v>4249</v>
      </c>
      <c r="N2384" s="262" t="s">
        <v>4249</v>
      </c>
    </row>
    <row r="2385" spans="1:14" ht="12.75" customHeight="1" x14ac:dyDescent="0.2">
      <c r="A2385" s="567"/>
      <c r="B2385" s="567" t="s">
        <v>1644</v>
      </c>
      <c r="C2385" s="567"/>
      <c r="D2385" s="567"/>
      <c r="E2385" s="567"/>
      <c r="F2385" s="567"/>
      <c r="G2385" s="568" t="s">
        <v>3518</v>
      </c>
      <c r="H2385" s="568" t="s">
        <v>873</v>
      </c>
      <c r="I2385" s="239" t="str">
        <f>IF(ISBLANK(global!I898),"",global!I898)</f>
        <v/>
      </c>
      <c r="K2385" s="262" t="s">
        <v>4249</v>
      </c>
      <c r="N2385" s="262" t="s">
        <v>4249</v>
      </c>
    </row>
    <row r="2386" spans="1:14" ht="12.75" customHeight="1" x14ac:dyDescent="0.2">
      <c r="A2386" s="567"/>
      <c r="B2386" s="567" t="s">
        <v>1646</v>
      </c>
      <c r="C2386" s="567"/>
      <c r="D2386" s="567"/>
      <c r="E2386" s="567"/>
      <c r="F2386" s="567"/>
      <c r="G2386" s="568" t="s">
        <v>3519</v>
      </c>
      <c r="H2386" s="568" t="s">
        <v>296</v>
      </c>
      <c r="I2386" s="239" t="str">
        <f>IF(ISBLANK(global!I899),"",global!I899)</f>
        <v/>
      </c>
      <c r="K2386" s="262" t="s">
        <v>4249</v>
      </c>
      <c r="N2386" s="262" t="s">
        <v>4249</v>
      </c>
    </row>
    <row r="2387" spans="1:14" ht="12.75" customHeight="1" x14ac:dyDescent="0.2">
      <c r="A2387" s="567"/>
      <c r="B2387" s="567"/>
      <c r="C2387" s="567" t="s">
        <v>1648</v>
      </c>
      <c r="D2387" s="567"/>
      <c r="E2387" s="567"/>
      <c r="F2387" s="567"/>
      <c r="G2387" s="568" t="s">
        <v>3520</v>
      </c>
      <c r="H2387" s="568" t="s">
        <v>296</v>
      </c>
      <c r="I2387" s="239" t="str">
        <f>IF(ISBLANK(global!I900),"",global!I900)</f>
        <v/>
      </c>
      <c r="K2387" s="262" t="s">
        <v>4249</v>
      </c>
      <c r="N2387" s="262" t="s">
        <v>4249</v>
      </c>
    </row>
    <row r="2388" spans="1:14" ht="12.75" customHeight="1" x14ac:dyDescent="0.2">
      <c r="A2388" s="567"/>
      <c r="B2388" s="567"/>
      <c r="C2388" s="567" t="s">
        <v>1650</v>
      </c>
      <c r="D2388" s="567"/>
      <c r="E2388" s="567"/>
      <c r="F2388" s="567"/>
      <c r="G2388" s="568" t="s">
        <v>3521</v>
      </c>
      <c r="H2388" s="568" t="s">
        <v>296</v>
      </c>
      <c r="I2388" s="239" t="str">
        <f>IF(ISBLANK(global!I901),"",global!I901)</f>
        <v/>
      </c>
      <c r="K2388" s="262" t="s">
        <v>4249</v>
      </c>
      <c r="N2388" s="262" t="s">
        <v>4249</v>
      </c>
    </row>
    <row r="2389" spans="1:14" ht="12.75" customHeight="1" x14ac:dyDescent="0.2">
      <c r="A2389" s="567"/>
      <c r="B2389" s="567"/>
      <c r="C2389" s="567" t="s">
        <v>1652</v>
      </c>
      <c r="D2389" s="567"/>
      <c r="E2389" s="567"/>
      <c r="F2389" s="567"/>
      <c r="G2389" s="568" t="s">
        <v>3522</v>
      </c>
      <c r="H2389" s="568" t="s">
        <v>296</v>
      </c>
      <c r="I2389" s="239" t="str">
        <f>IF(ISBLANK(global!I902),"",global!I902)</f>
        <v/>
      </c>
      <c r="K2389" s="262" t="s">
        <v>4249</v>
      </c>
      <c r="N2389" s="262" t="s">
        <v>4249</v>
      </c>
    </row>
    <row r="2390" spans="1:14" ht="12.75" customHeight="1" x14ac:dyDescent="0.2">
      <c r="A2390" s="567"/>
      <c r="B2390" s="567"/>
      <c r="C2390" s="567" t="s">
        <v>1654</v>
      </c>
      <c r="D2390" s="567"/>
      <c r="E2390" s="567"/>
      <c r="F2390" s="567"/>
      <c r="G2390" s="568" t="s">
        <v>3523</v>
      </c>
      <c r="H2390" s="568" t="s">
        <v>296</v>
      </c>
      <c r="I2390" s="239" t="str">
        <f>IF(ISBLANK(global!I903),"",global!I903)</f>
        <v/>
      </c>
      <c r="K2390" s="262" t="s">
        <v>4249</v>
      </c>
      <c r="N2390" s="262" t="s">
        <v>4249</v>
      </c>
    </row>
    <row r="2391" spans="1:14" ht="12.75" customHeight="1" x14ac:dyDescent="0.2">
      <c r="A2391" s="567" t="s">
        <v>1671</v>
      </c>
      <c r="B2391" s="567"/>
      <c r="C2391" s="567"/>
      <c r="D2391" s="567"/>
      <c r="E2391" s="567"/>
      <c r="F2391" s="567"/>
      <c r="G2391" s="568" t="s">
        <v>3524</v>
      </c>
      <c r="H2391" s="568" t="s">
        <v>340</v>
      </c>
      <c r="I2391" s="239" t="str">
        <f>IF(ISBLANK(global!I904),"",global!I904)</f>
        <v/>
      </c>
      <c r="K2391" s="262" t="s">
        <v>4249</v>
      </c>
      <c r="N2391" s="262" t="s">
        <v>4249</v>
      </c>
    </row>
    <row r="2392" spans="1:14" ht="12.75" customHeight="1" x14ac:dyDescent="0.2">
      <c r="A2392" s="567" t="s">
        <v>2869</v>
      </c>
      <c r="B2392" s="567"/>
      <c r="C2392" s="567"/>
      <c r="D2392" s="567"/>
      <c r="E2392" s="567"/>
      <c r="F2392" s="567"/>
      <c r="G2392" s="568" t="s">
        <v>3525</v>
      </c>
      <c r="H2392" s="568" t="s">
        <v>340</v>
      </c>
      <c r="I2392" s="239" t="str">
        <f>IF(ISBLANK(global!I905),"",global!I905)</f>
        <v/>
      </c>
      <c r="K2392" s="262" t="s">
        <v>4249</v>
      </c>
      <c r="N2392" s="262" t="s">
        <v>4249</v>
      </c>
    </row>
    <row r="2393" spans="1:14" ht="12.75" customHeight="1" x14ac:dyDescent="0.2">
      <c r="A2393" s="567"/>
      <c r="B2393" s="567" t="s">
        <v>1676</v>
      </c>
      <c r="C2393" s="567"/>
      <c r="D2393" s="567"/>
      <c r="E2393" s="567"/>
      <c r="F2393" s="567"/>
      <c r="G2393" s="568" t="s">
        <v>3526</v>
      </c>
      <c r="H2393" s="568" t="s">
        <v>873</v>
      </c>
      <c r="I2393" s="239" t="str">
        <f>IF(ISBLANK(global!I906),"",global!I906)</f>
        <v/>
      </c>
      <c r="K2393" s="262" t="s">
        <v>4249</v>
      </c>
      <c r="N2393" s="262" t="s">
        <v>4249</v>
      </c>
    </row>
    <row r="2394" spans="1:14" ht="12.75" customHeight="1" x14ac:dyDescent="0.2">
      <c r="A2394" s="567"/>
      <c r="B2394" s="567" t="s">
        <v>1678</v>
      </c>
      <c r="C2394" s="567"/>
      <c r="D2394" s="567"/>
      <c r="E2394" s="567"/>
      <c r="F2394" s="567"/>
      <c r="G2394" s="568" t="s">
        <v>3527</v>
      </c>
      <c r="H2394" s="568" t="s">
        <v>1680</v>
      </c>
      <c r="I2394" s="239" t="str">
        <f>IF(ISBLANK(global!I907),"",global!I907)</f>
        <v/>
      </c>
      <c r="K2394" s="262" t="s">
        <v>4249</v>
      </c>
      <c r="N2394" s="262" t="s">
        <v>4249</v>
      </c>
    </row>
    <row r="2395" spans="1:14" ht="12.75" customHeight="1" x14ac:dyDescent="0.2">
      <c r="A2395" s="567"/>
      <c r="B2395" s="567" t="s">
        <v>1683</v>
      </c>
      <c r="C2395" s="567"/>
      <c r="D2395" s="567"/>
      <c r="E2395" s="567"/>
      <c r="F2395" s="567"/>
      <c r="G2395" s="568" t="s">
        <v>3528</v>
      </c>
      <c r="H2395" s="568" t="s">
        <v>1680</v>
      </c>
      <c r="I2395" s="239" t="str">
        <f>IF(ISBLANK(global!I908),"",global!I908)</f>
        <v/>
      </c>
      <c r="K2395" s="262" t="s">
        <v>4249</v>
      </c>
      <c r="N2395" s="262" t="s">
        <v>4249</v>
      </c>
    </row>
    <row r="2396" spans="1:14" ht="12.75" customHeight="1" x14ac:dyDescent="0.2">
      <c r="A2396" s="567"/>
      <c r="B2396" s="567"/>
      <c r="C2396" s="567" t="s">
        <v>1686</v>
      </c>
      <c r="D2396" s="567"/>
      <c r="E2396" s="567"/>
      <c r="F2396" s="567"/>
      <c r="G2396" s="568" t="s">
        <v>3529</v>
      </c>
      <c r="H2396" s="568" t="s">
        <v>873</v>
      </c>
      <c r="I2396" s="239" t="str">
        <f>IF(ISBLANK(global!I909),"",global!I909)</f>
        <v/>
      </c>
      <c r="K2396" s="262" t="s">
        <v>4249</v>
      </c>
      <c r="N2396" s="262" t="s">
        <v>4249</v>
      </c>
    </row>
    <row r="2397" spans="1:14" ht="12.75" customHeight="1" x14ac:dyDescent="0.2">
      <c r="A2397" s="567"/>
      <c r="B2397" s="567"/>
      <c r="C2397" s="567" t="s">
        <v>1648</v>
      </c>
      <c r="D2397" s="567"/>
      <c r="E2397" s="567"/>
      <c r="F2397" s="567"/>
      <c r="G2397" s="568" t="s">
        <v>3530</v>
      </c>
      <c r="H2397" s="568" t="s">
        <v>296</v>
      </c>
      <c r="I2397" s="239" t="str">
        <f>IF(ISBLANK(global!I910),"",global!I910)</f>
        <v/>
      </c>
      <c r="K2397" s="262" t="s">
        <v>4249</v>
      </c>
      <c r="N2397" s="262" t="s">
        <v>4249</v>
      </c>
    </row>
    <row r="2398" spans="1:14" ht="12.75" customHeight="1" x14ac:dyDescent="0.2">
      <c r="A2398" s="567"/>
      <c r="B2398" s="567"/>
      <c r="C2398" s="567" t="s">
        <v>1650</v>
      </c>
      <c r="D2398" s="567"/>
      <c r="E2398" s="567"/>
      <c r="F2398" s="567"/>
      <c r="G2398" s="568" t="s">
        <v>3531</v>
      </c>
      <c r="H2398" s="568" t="s">
        <v>296</v>
      </c>
      <c r="I2398" s="239" t="str">
        <f>IF(ISBLANK(global!I911),"",global!I911)</f>
        <v/>
      </c>
      <c r="K2398" s="262" t="s">
        <v>4249</v>
      </c>
      <c r="N2398" s="262" t="s">
        <v>4249</v>
      </c>
    </row>
    <row r="2399" spans="1:14" ht="12.75" customHeight="1" x14ac:dyDescent="0.2">
      <c r="A2399" s="567"/>
      <c r="B2399" s="567"/>
      <c r="C2399" s="567"/>
      <c r="D2399" s="567" t="s">
        <v>1693</v>
      </c>
      <c r="E2399" s="567"/>
      <c r="F2399" s="567"/>
      <c r="G2399" s="568" t="s">
        <v>3532</v>
      </c>
      <c r="H2399" s="568" t="s">
        <v>820</v>
      </c>
      <c r="I2399" s="239" t="str">
        <f>IF(ISBLANK(global!I912),"",global!I912)</f>
        <v/>
      </c>
      <c r="K2399" s="262" t="s">
        <v>4249</v>
      </c>
      <c r="N2399" s="262" t="s">
        <v>4249</v>
      </c>
    </row>
    <row r="2400" spans="1:14" ht="12.75" customHeight="1" x14ac:dyDescent="0.2">
      <c r="A2400" s="567"/>
      <c r="B2400" s="567"/>
      <c r="C2400" s="567"/>
      <c r="D2400" s="567" t="s">
        <v>1695</v>
      </c>
      <c r="E2400" s="567"/>
      <c r="F2400" s="567"/>
      <c r="G2400" s="568" t="s">
        <v>3533</v>
      </c>
      <c r="H2400" s="568" t="s">
        <v>820</v>
      </c>
      <c r="I2400" s="239" t="str">
        <f>IF(ISBLANK(global!I913),"",global!I913)</f>
        <v/>
      </c>
      <c r="K2400" s="262" t="s">
        <v>4249</v>
      </c>
      <c r="N2400" s="262" t="s">
        <v>4249</v>
      </c>
    </row>
    <row r="2401" spans="1:14" ht="12.75" customHeight="1" x14ac:dyDescent="0.2">
      <c r="A2401" s="567"/>
      <c r="B2401" s="567"/>
      <c r="C2401" s="567"/>
      <c r="D2401" s="567" t="s">
        <v>1697</v>
      </c>
      <c r="E2401" s="567"/>
      <c r="F2401" s="567"/>
      <c r="G2401" s="568" t="s">
        <v>3534</v>
      </c>
      <c r="H2401" s="568" t="s">
        <v>296</v>
      </c>
      <c r="I2401" s="239" t="str">
        <f>IF(ISBLANK(global!I914),"",global!I914)</f>
        <v/>
      </c>
      <c r="K2401" s="262" t="s">
        <v>4249</v>
      </c>
      <c r="N2401" s="262" t="s">
        <v>4249</v>
      </c>
    </row>
    <row r="2402" spans="1:14" ht="12.75" customHeight="1" x14ac:dyDescent="0.2">
      <c r="A2402" s="567"/>
      <c r="B2402" s="567"/>
      <c r="C2402" s="567" t="s">
        <v>1652</v>
      </c>
      <c r="D2402" s="567"/>
      <c r="E2402" s="567"/>
      <c r="F2402" s="567"/>
      <c r="G2402" s="568" t="s">
        <v>3535</v>
      </c>
      <c r="H2402" s="568" t="s">
        <v>296</v>
      </c>
      <c r="I2402" s="239" t="str">
        <f>IF(ISBLANK(global!I915),"",global!I915)</f>
        <v/>
      </c>
      <c r="K2402" s="262" t="s">
        <v>4249</v>
      </c>
      <c r="N2402" s="262" t="s">
        <v>4249</v>
      </c>
    </row>
    <row r="2403" spans="1:14" ht="12.75" customHeight="1" x14ac:dyDescent="0.2">
      <c r="A2403" s="567" t="s">
        <v>2881</v>
      </c>
      <c r="B2403" s="567"/>
      <c r="C2403" s="567"/>
      <c r="D2403" s="567"/>
      <c r="E2403" s="567"/>
      <c r="F2403" s="567"/>
      <c r="G2403" s="568" t="s">
        <v>3536</v>
      </c>
      <c r="H2403" s="568" t="s">
        <v>340</v>
      </c>
      <c r="I2403" s="239" t="str">
        <f>IF(ISBLANK(global!I916),"",global!I916)</f>
        <v/>
      </c>
      <c r="K2403" s="262" t="s">
        <v>4249</v>
      </c>
      <c r="N2403" s="262" t="s">
        <v>4249</v>
      </c>
    </row>
    <row r="2404" spans="1:14" ht="12.75" customHeight="1" x14ac:dyDescent="0.2">
      <c r="A2404" s="567"/>
      <c r="B2404" s="567" t="s">
        <v>1676</v>
      </c>
      <c r="C2404" s="567"/>
      <c r="D2404" s="567"/>
      <c r="E2404" s="567"/>
      <c r="F2404" s="567"/>
      <c r="G2404" s="568" t="s">
        <v>3537</v>
      </c>
      <c r="H2404" s="568" t="s">
        <v>873</v>
      </c>
      <c r="I2404" s="239" t="str">
        <f>IF(ISBLANK(global!I917),"",global!I917)</f>
        <v/>
      </c>
      <c r="K2404" s="262" t="s">
        <v>4249</v>
      </c>
      <c r="N2404" s="262" t="s">
        <v>4249</v>
      </c>
    </row>
    <row r="2405" spans="1:14" ht="12.75" customHeight="1" x14ac:dyDescent="0.2">
      <c r="A2405" s="567"/>
      <c r="B2405" s="567" t="s">
        <v>1683</v>
      </c>
      <c r="C2405" s="567"/>
      <c r="D2405" s="567"/>
      <c r="E2405" s="567"/>
      <c r="F2405" s="567"/>
      <c r="G2405" s="568" t="s">
        <v>3538</v>
      </c>
      <c r="H2405" s="568" t="s">
        <v>1680</v>
      </c>
      <c r="I2405" s="239" t="str">
        <f>IF(ISBLANK(global!I918),"",global!I918)</f>
        <v/>
      </c>
      <c r="K2405" s="262" t="s">
        <v>4249</v>
      </c>
      <c r="N2405" s="262" t="s">
        <v>4249</v>
      </c>
    </row>
    <row r="2406" spans="1:14" ht="12.75" customHeight="1" x14ac:dyDescent="0.2">
      <c r="A2406" s="567"/>
      <c r="B2406" s="567"/>
      <c r="C2406" s="567" t="s">
        <v>1648</v>
      </c>
      <c r="D2406" s="567"/>
      <c r="E2406" s="567"/>
      <c r="F2406" s="567"/>
      <c r="G2406" s="568" t="s">
        <v>3539</v>
      </c>
      <c r="H2406" s="568" t="s">
        <v>296</v>
      </c>
      <c r="I2406" s="239" t="str">
        <f>IF(ISBLANK(global!I919),"",global!I919)</f>
        <v/>
      </c>
      <c r="K2406" s="262" t="s">
        <v>4249</v>
      </c>
      <c r="N2406" s="262" t="s">
        <v>4249</v>
      </c>
    </row>
    <row r="2407" spans="1:14" ht="12.75" customHeight="1" x14ac:dyDescent="0.2">
      <c r="A2407" s="567"/>
      <c r="B2407" s="567"/>
      <c r="C2407" s="567" t="s">
        <v>1650</v>
      </c>
      <c r="D2407" s="567"/>
      <c r="E2407" s="567"/>
      <c r="F2407" s="567"/>
      <c r="G2407" s="568" t="s">
        <v>3540</v>
      </c>
      <c r="H2407" s="568" t="s">
        <v>296</v>
      </c>
      <c r="I2407" s="239" t="str">
        <f>IF(ISBLANK(global!I920),"",global!I920)</f>
        <v/>
      </c>
      <c r="K2407" s="262" t="s">
        <v>4249</v>
      </c>
      <c r="N2407" s="262" t="s">
        <v>4249</v>
      </c>
    </row>
    <row r="2408" spans="1:14" ht="12.75" customHeight="1" x14ac:dyDescent="0.2">
      <c r="A2408" s="567"/>
      <c r="B2408" s="567"/>
      <c r="C2408" s="567" t="s">
        <v>1652</v>
      </c>
      <c r="D2408" s="567"/>
      <c r="E2408" s="567"/>
      <c r="F2408" s="567"/>
      <c r="G2408" s="568" t="s">
        <v>3541</v>
      </c>
      <c r="H2408" s="568" t="s">
        <v>296</v>
      </c>
      <c r="I2408" s="239" t="str">
        <f>IF(ISBLANK(global!I921),"",global!I921)</f>
        <v/>
      </c>
      <c r="K2408" s="262" t="s">
        <v>4249</v>
      </c>
      <c r="N2408" s="262" t="s">
        <v>4249</v>
      </c>
    </row>
    <row r="2409" spans="1:14" ht="12.75" customHeight="1" x14ac:dyDescent="0.2">
      <c r="A2409" s="567" t="s">
        <v>2888</v>
      </c>
      <c r="B2409" s="567"/>
      <c r="C2409" s="567"/>
      <c r="D2409" s="567"/>
      <c r="E2409" s="567"/>
      <c r="F2409" s="567"/>
      <c r="G2409" s="568" t="s">
        <v>3542</v>
      </c>
      <c r="H2409" s="568" t="s">
        <v>340</v>
      </c>
      <c r="I2409" s="239" t="str">
        <f>IF(ISBLANK(global!I922),"",global!I922)</f>
        <v/>
      </c>
      <c r="K2409" s="262" t="s">
        <v>4249</v>
      </c>
      <c r="N2409" s="262" t="s">
        <v>4249</v>
      </c>
    </row>
    <row r="2410" spans="1:14" ht="12.75" customHeight="1" x14ac:dyDescent="0.2">
      <c r="A2410" s="567" t="s">
        <v>2890</v>
      </c>
      <c r="B2410" s="567"/>
      <c r="C2410" s="567"/>
      <c r="D2410" s="567"/>
      <c r="E2410" s="567"/>
      <c r="F2410" s="567"/>
      <c r="G2410" s="568" t="s">
        <v>3543</v>
      </c>
      <c r="H2410" s="568" t="s">
        <v>340</v>
      </c>
      <c r="I2410" s="239" t="str">
        <f>IF(ISBLANK(global!I923),"",global!I923)</f>
        <v/>
      </c>
      <c r="K2410" s="262" t="s">
        <v>4249</v>
      </c>
      <c r="N2410" s="262" t="s">
        <v>4249</v>
      </c>
    </row>
    <row r="2411" spans="1:14" ht="12.75" customHeight="1" x14ac:dyDescent="0.2">
      <c r="A2411" s="567"/>
      <c r="B2411" s="567" t="s">
        <v>1676</v>
      </c>
      <c r="C2411" s="567"/>
      <c r="D2411" s="567"/>
      <c r="E2411" s="567"/>
      <c r="F2411" s="567"/>
      <c r="G2411" s="568" t="s">
        <v>3544</v>
      </c>
      <c r="H2411" s="568" t="s">
        <v>873</v>
      </c>
      <c r="I2411" s="239" t="str">
        <f>IF(ISBLANK(global!I924),"",global!I924)</f>
        <v/>
      </c>
      <c r="K2411" s="262" t="s">
        <v>4249</v>
      </c>
      <c r="N2411" s="262" t="s">
        <v>4249</v>
      </c>
    </row>
    <row r="2412" spans="1:14" ht="12.75" customHeight="1" x14ac:dyDescent="0.2">
      <c r="A2412" s="567"/>
      <c r="B2412" s="567"/>
      <c r="C2412" s="567" t="s">
        <v>1772</v>
      </c>
      <c r="D2412" s="567"/>
      <c r="E2412" s="567"/>
      <c r="F2412" s="567"/>
      <c r="G2412" s="567" t="s">
        <v>3545</v>
      </c>
      <c r="H2412" s="568" t="s">
        <v>1680</v>
      </c>
      <c r="I2412" s="239" t="str">
        <f>IF(ISBLANK(global!I925),"",global!I925)</f>
        <v/>
      </c>
      <c r="K2412" s="262" t="s">
        <v>4249</v>
      </c>
      <c r="N2412" s="262" t="s">
        <v>4249</v>
      </c>
    </row>
    <row r="2413" spans="1:14" ht="12.75" customHeight="1" x14ac:dyDescent="0.2">
      <c r="A2413" s="567"/>
      <c r="B2413" s="567"/>
      <c r="C2413" s="567" t="s">
        <v>2894</v>
      </c>
      <c r="D2413" s="567"/>
      <c r="E2413" s="567"/>
      <c r="F2413" s="567"/>
      <c r="G2413" s="568" t="s">
        <v>3546</v>
      </c>
      <c r="H2413" s="568" t="s">
        <v>1680</v>
      </c>
      <c r="I2413" s="239" t="str">
        <f>IF(ISBLANK(global!I926),"",global!I926)</f>
        <v/>
      </c>
      <c r="K2413" s="262" t="s">
        <v>4249</v>
      </c>
      <c r="N2413" s="262" t="s">
        <v>4249</v>
      </c>
    </row>
    <row r="2414" spans="1:14" ht="12.75" customHeight="1" x14ac:dyDescent="0.2">
      <c r="A2414" s="567"/>
      <c r="B2414" s="567"/>
      <c r="C2414" s="567" t="s">
        <v>1760</v>
      </c>
      <c r="D2414" s="567"/>
      <c r="E2414" s="567"/>
      <c r="F2414" s="567"/>
      <c r="G2414" s="568" t="s">
        <v>3547</v>
      </c>
      <c r="H2414" s="568" t="s">
        <v>873</v>
      </c>
      <c r="I2414" s="239" t="str">
        <f>IF(ISBLANK(global!I927),"",global!I927)</f>
        <v/>
      </c>
      <c r="K2414" s="262" t="s">
        <v>4249</v>
      </c>
      <c r="N2414" s="262" t="s">
        <v>4249</v>
      </c>
    </row>
    <row r="2415" spans="1:14" ht="12.75" customHeight="1" x14ac:dyDescent="0.2">
      <c r="A2415" s="567"/>
      <c r="B2415" s="567"/>
      <c r="C2415" s="567"/>
      <c r="D2415" s="567" t="s">
        <v>1648</v>
      </c>
      <c r="E2415" s="567"/>
      <c r="F2415" s="567"/>
      <c r="G2415" s="568" t="s">
        <v>3548</v>
      </c>
      <c r="H2415" s="568" t="s">
        <v>296</v>
      </c>
      <c r="I2415" s="239" t="str">
        <f>IF(ISBLANK(global!I928),"",global!I928)</f>
        <v/>
      </c>
      <c r="K2415" s="262" t="s">
        <v>4249</v>
      </c>
      <c r="N2415" s="262" t="s">
        <v>4249</v>
      </c>
    </row>
    <row r="2416" spans="1:14" ht="12.75" customHeight="1" x14ac:dyDescent="0.2">
      <c r="A2416" s="567"/>
      <c r="B2416" s="567"/>
      <c r="C2416" s="567"/>
      <c r="D2416" s="567" t="s">
        <v>1652</v>
      </c>
      <c r="E2416" s="567"/>
      <c r="F2416" s="567"/>
      <c r="G2416" s="568" t="s">
        <v>3549</v>
      </c>
      <c r="H2416" s="568" t="s">
        <v>296</v>
      </c>
      <c r="I2416" s="239" t="str">
        <f>IF(ISBLANK(global!I929),"",global!I929)</f>
        <v/>
      </c>
      <c r="K2416" s="262" t="s">
        <v>4249</v>
      </c>
      <c r="N2416" s="262" t="s">
        <v>4249</v>
      </c>
    </row>
    <row r="2417" spans="1:14" ht="12.75" customHeight="1" x14ac:dyDescent="0.2">
      <c r="A2417" s="567" t="s">
        <v>2899</v>
      </c>
      <c r="B2417" s="567"/>
      <c r="C2417" s="567"/>
      <c r="D2417" s="567"/>
      <c r="E2417" s="567"/>
      <c r="F2417" s="567"/>
      <c r="G2417" s="567" t="s">
        <v>3550</v>
      </c>
      <c r="H2417" s="568" t="s">
        <v>340</v>
      </c>
      <c r="I2417" s="239" t="str">
        <f>IF(ISBLANK(global!I930),"",global!I930)</f>
        <v/>
      </c>
      <c r="K2417" s="262" t="s">
        <v>4249</v>
      </c>
      <c r="N2417" s="262" t="s">
        <v>4249</v>
      </c>
    </row>
    <row r="2418" spans="1:14" ht="12.75" customHeight="1" x14ac:dyDescent="0.2">
      <c r="A2418" s="567"/>
      <c r="B2418" s="567" t="s">
        <v>1676</v>
      </c>
      <c r="C2418" s="567"/>
      <c r="D2418" s="567"/>
      <c r="E2418" s="567"/>
      <c r="F2418" s="567"/>
      <c r="G2418" s="568" t="s">
        <v>3551</v>
      </c>
      <c r="H2418" s="568" t="s">
        <v>873</v>
      </c>
      <c r="I2418" s="239" t="str">
        <f>IF(ISBLANK(global!I931),"",global!I931)</f>
        <v/>
      </c>
      <c r="K2418" s="262" t="s">
        <v>4249</v>
      </c>
      <c r="N2418" s="262" t="s">
        <v>4249</v>
      </c>
    </row>
    <row r="2419" spans="1:14" ht="12.75" customHeight="1" x14ac:dyDescent="0.2">
      <c r="A2419" s="567"/>
      <c r="B2419" s="567"/>
      <c r="C2419" s="567" t="s">
        <v>1758</v>
      </c>
      <c r="D2419" s="567"/>
      <c r="E2419" s="567"/>
      <c r="F2419" s="567"/>
      <c r="G2419" s="568" t="s">
        <v>3552</v>
      </c>
      <c r="H2419" s="568" t="s">
        <v>1680</v>
      </c>
      <c r="I2419" s="239" t="str">
        <f>IF(ISBLANK(global!I932),"",global!I932)</f>
        <v/>
      </c>
      <c r="K2419" s="262" t="s">
        <v>4249</v>
      </c>
      <c r="N2419" s="262" t="s">
        <v>4249</v>
      </c>
    </row>
    <row r="2420" spans="1:14" ht="12.75" customHeight="1" x14ac:dyDescent="0.2">
      <c r="A2420" s="567"/>
      <c r="B2420" s="567"/>
      <c r="C2420" s="567"/>
      <c r="D2420" s="567" t="s">
        <v>1648</v>
      </c>
      <c r="E2420" s="567"/>
      <c r="F2420" s="567"/>
      <c r="G2420" s="568" t="s">
        <v>3553</v>
      </c>
      <c r="H2420" s="568" t="s">
        <v>296</v>
      </c>
      <c r="I2420" s="239" t="str">
        <f>IF(ISBLANK(global!I933),"",global!I933)</f>
        <v/>
      </c>
      <c r="K2420" s="262" t="s">
        <v>4249</v>
      </c>
      <c r="N2420" s="262" t="s">
        <v>4249</v>
      </c>
    </row>
    <row r="2421" spans="1:14" ht="12.75" customHeight="1" x14ac:dyDescent="0.2">
      <c r="A2421" s="567"/>
      <c r="B2421" s="567"/>
      <c r="C2421" s="567"/>
      <c r="D2421" s="567" t="s">
        <v>1652</v>
      </c>
      <c r="E2421" s="567"/>
      <c r="F2421" s="567"/>
      <c r="G2421" s="568" t="s">
        <v>3554</v>
      </c>
      <c r="H2421" s="568" t="s">
        <v>296</v>
      </c>
      <c r="I2421" s="239" t="str">
        <f>IF(ISBLANK(global!I934),"",global!I934)</f>
        <v/>
      </c>
      <c r="K2421" s="262" t="s">
        <v>4249</v>
      </c>
      <c r="N2421" s="262" t="s">
        <v>4249</v>
      </c>
    </row>
    <row r="2422" spans="1:14" ht="12.75" customHeight="1" x14ac:dyDescent="0.2">
      <c r="A2422" s="567" t="s">
        <v>2905</v>
      </c>
      <c r="B2422" s="567"/>
      <c r="C2422" s="567"/>
      <c r="D2422" s="567"/>
      <c r="E2422" s="567"/>
      <c r="F2422" s="567"/>
      <c r="G2422" s="567" t="s">
        <v>3555</v>
      </c>
      <c r="H2422" s="568" t="s">
        <v>340</v>
      </c>
      <c r="I2422" s="239" t="str">
        <f>IF(ISBLANK(global!I935),"",global!I935)</f>
        <v/>
      </c>
      <c r="K2422" s="262" t="s">
        <v>4249</v>
      </c>
      <c r="N2422" s="262" t="s">
        <v>4249</v>
      </c>
    </row>
    <row r="2423" spans="1:14" ht="12.75" customHeight="1" x14ac:dyDescent="0.2">
      <c r="A2423" s="567" t="s">
        <v>2907</v>
      </c>
      <c r="B2423" s="567"/>
      <c r="C2423" s="567"/>
      <c r="D2423" s="567"/>
      <c r="E2423" s="567"/>
      <c r="F2423" s="567"/>
      <c r="G2423" s="568" t="s">
        <v>3556</v>
      </c>
      <c r="H2423" s="568" t="s">
        <v>340</v>
      </c>
      <c r="I2423" s="239" t="str">
        <f>IF(ISBLANK(global!I936),"",global!I936)</f>
        <v/>
      </c>
      <c r="K2423" s="262" t="s">
        <v>4249</v>
      </c>
      <c r="N2423" s="262" t="s">
        <v>4249</v>
      </c>
    </row>
    <row r="2424" spans="1:14" ht="12.75" customHeight="1" x14ac:dyDescent="0.2">
      <c r="A2424" s="567" t="s">
        <v>2909</v>
      </c>
      <c r="B2424" s="567"/>
      <c r="C2424" s="567"/>
      <c r="D2424" s="567"/>
      <c r="E2424" s="567"/>
      <c r="F2424" s="567"/>
      <c r="G2424" s="568" t="s">
        <v>3557</v>
      </c>
      <c r="H2424" s="568" t="s">
        <v>340</v>
      </c>
      <c r="I2424" s="239" t="str">
        <f>IF(ISBLANK(global!I937),"",global!I937)</f>
        <v/>
      </c>
      <c r="K2424" s="262" t="s">
        <v>4249</v>
      </c>
      <c r="N2424" s="262" t="s">
        <v>4249</v>
      </c>
    </row>
    <row r="2425" spans="1:14" ht="12.75" customHeight="1" x14ac:dyDescent="0.2">
      <c r="A2425" s="567" t="s">
        <v>2911</v>
      </c>
      <c r="B2425" s="567"/>
      <c r="C2425" s="567"/>
      <c r="D2425" s="567"/>
      <c r="E2425" s="567"/>
      <c r="F2425" s="567"/>
      <c r="G2425" s="568" t="s">
        <v>3558</v>
      </c>
      <c r="H2425" s="568" t="s">
        <v>340</v>
      </c>
      <c r="I2425" s="239" t="str">
        <f>IF(ISBLANK(global!I938),"",global!I938)</f>
        <v/>
      </c>
      <c r="K2425" s="262" t="s">
        <v>4249</v>
      </c>
      <c r="N2425" s="262" t="s">
        <v>4249</v>
      </c>
    </row>
    <row r="2426" spans="1:14" ht="12.75" customHeight="1" x14ac:dyDescent="0.2">
      <c r="A2426" s="567" t="s">
        <v>2913</v>
      </c>
      <c r="B2426" s="567"/>
      <c r="C2426" s="567"/>
      <c r="D2426" s="567"/>
      <c r="E2426" s="567"/>
      <c r="F2426" s="567"/>
      <c r="G2426" s="568" t="s">
        <v>3559</v>
      </c>
      <c r="H2426" s="568" t="s">
        <v>340</v>
      </c>
      <c r="I2426" s="239" t="str">
        <f>IF(ISBLANK(global!I939),"",global!I939)</f>
        <v/>
      </c>
      <c r="K2426" s="262" t="s">
        <v>4249</v>
      </c>
      <c r="N2426" s="262" t="s">
        <v>4249</v>
      </c>
    </row>
    <row r="2427" spans="1:14" ht="12.75" customHeight="1" x14ac:dyDescent="0.2">
      <c r="A2427" s="567" t="s">
        <v>2915</v>
      </c>
      <c r="B2427" s="567"/>
      <c r="C2427" s="567"/>
      <c r="D2427" s="567"/>
      <c r="E2427" s="567"/>
      <c r="F2427" s="567"/>
      <c r="G2427" s="568" t="s">
        <v>3560</v>
      </c>
      <c r="H2427" s="568" t="s">
        <v>340</v>
      </c>
      <c r="I2427" s="239" t="str">
        <f>IF(ISBLANK(global!I940),"",global!I940)</f>
        <v/>
      </c>
      <c r="K2427" s="262" t="s">
        <v>4249</v>
      </c>
      <c r="N2427" s="262" t="s">
        <v>4249</v>
      </c>
    </row>
    <row r="2428" spans="1:14" ht="12.75" customHeight="1" x14ac:dyDescent="0.2">
      <c r="A2428" s="567" t="s">
        <v>2917</v>
      </c>
      <c r="B2428" s="567"/>
      <c r="C2428" s="567"/>
      <c r="D2428" s="567"/>
      <c r="E2428" s="567"/>
      <c r="F2428" s="567"/>
      <c r="G2428" s="568" t="s">
        <v>3561</v>
      </c>
      <c r="H2428" s="568" t="s">
        <v>340</v>
      </c>
      <c r="I2428" s="239" t="str">
        <f>IF(ISBLANK(global!I941),"",global!I941)</f>
        <v/>
      </c>
      <c r="K2428" s="262" t="s">
        <v>4249</v>
      </c>
      <c r="N2428" s="262" t="s">
        <v>4249</v>
      </c>
    </row>
    <row r="2429" spans="1:14" ht="12.75" customHeight="1" x14ac:dyDescent="0.2">
      <c r="A2429" s="567" t="s">
        <v>2919</v>
      </c>
      <c r="B2429" s="567"/>
      <c r="C2429" s="567"/>
      <c r="D2429" s="567"/>
      <c r="E2429" s="567"/>
      <c r="F2429" s="567"/>
      <c r="G2429" s="568" t="s">
        <v>3562</v>
      </c>
      <c r="H2429" s="568" t="s">
        <v>340</v>
      </c>
      <c r="I2429" s="239" t="str">
        <f>IF(ISBLANK(global!I942),"",global!I942)</f>
        <v/>
      </c>
      <c r="K2429" s="262" t="s">
        <v>4249</v>
      </c>
      <c r="N2429" s="262" t="s">
        <v>4249</v>
      </c>
    </row>
    <row r="2430" spans="1:14" ht="12.75" customHeight="1" x14ac:dyDescent="0.2">
      <c r="A2430" s="567" t="s">
        <v>2922</v>
      </c>
      <c r="B2430" s="567"/>
      <c r="C2430" s="567"/>
      <c r="D2430" s="567"/>
      <c r="E2430" s="567"/>
      <c r="F2430" s="567"/>
      <c r="G2430" s="568" t="s">
        <v>3563</v>
      </c>
      <c r="H2430" s="568" t="s">
        <v>340</v>
      </c>
      <c r="I2430" s="239" t="str">
        <f>IF(ISBLANK(global!I943),"",global!I943)</f>
        <v/>
      </c>
      <c r="K2430" s="262" t="s">
        <v>4249</v>
      </c>
      <c r="N2430" s="262" t="s">
        <v>4249</v>
      </c>
    </row>
    <row r="2431" spans="1:14" ht="12.75" customHeight="1" x14ac:dyDescent="0.2">
      <c r="A2431" s="567" t="s">
        <v>2924</v>
      </c>
      <c r="B2431" s="567"/>
      <c r="C2431" s="567"/>
      <c r="D2431" s="567"/>
      <c r="E2431" s="567"/>
      <c r="F2431" s="567"/>
      <c r="G2431" s="568" t="s">
        <v>3564</v>
      </c>
      <c r="H2431" s="568" t="s">
        <v>340</v>
      </c>
      <c r="I2431" s="239" t="str">
        <f>IF(ISBLANK(global!I944),"",global!I944)</f>
        <v/>
      </c>
      <c r="K2431" s="262" t="s">
        <v>4249</v>
      </c>
      <c r="N2431" s="262" t="s">
        <v>4249</v>
      </c>
    </row>
    <row r="2432" spans="1:14" ht="12.75" customHeight="1" x14ac:dyDescent="0.2">
      <c r="A2432" s="567" t="s">
        <v>2926</v>
      </c>
      <c r="B2432" s="567"/>
      <c r="C2432" s="567"/>
      <c r="D2432" s="567"/>
      <c r="E2432" s="567"/>
      <c r="F2432" s="567"/>
      <c r="G2432" s="568" t="s">
        <v>3565</v>
      </c>
      <c r="H2432" s="568" t="s">
        <v>340</v>
      </c>
      <c r="I2432" s="239" t="str">
        <f>IF(ISBLANK(global!I945),"",global!I945)</f>
        <v/>
      </c>
      <c r="K2432" s="262" t="s">
        <v>4249</v>
      </c>
      <c r="N2432" s="262" t="s">
        <v>4249</v>
      </c>
    </row>
    <row r="2433" spans="1:14" ht="12.75" customHeight="1" x14ac:dyDescent="0.2">
      <c r="A2433" s="567" t="s">
        <v>2928</v>
      </c>
      <c r="B2433" s="567"/>
      <c r="C2433" s="567"/>
      <c r="D2433" s="567"/>
      <c r="E2433" s="567"/>
      <c r="F2433" s="567"/>
      <c r="G2433" s="568" t="s">
        <v>3566</v>
      </c>
      <c r="H2433" s="568" t="s">
        <v>340</v>
      </c>
      <c r="I2433" s="239" t="str">
        <f>IF(ISBLANK(global!I946),"",global!I946)</f>
        <v/>
      </c>
      <c r="K2433" s="262" t="s">
        <v>4249</v>
      </c>
      <c r="N2433" s="262" t="s">
        <v>4249</v>
      </c>
    </row>
    <row r="2434" spans="1:14" ht="12.75" customHeight="1" x14ac:dyDescent="0.2">
      <c r="A2434" s="567" t="s">
        <v>2930</v>
      </c>
      <c r="B2434" s="567"/>
      <c r="C2434" s="567"/>
      <c r="D2434" s="567"/>
      <c r="E2434" s="567"/>
      <c r="F2434" s="567"/>
      <c r="G2434" s="568" t="s">
        <v>3567</v>
      </c>
      <c r="H2434" s="568" t="s">
        <v>340</v>
      </c>
      <c r="I2434" s="239" t="str">
        <f>IF(ISBLANK(global!I947),"",global!I947)</f>
        <v/>
      </c>
      <c r="K2434" s="262" t="s">
        <v>4249</v>
      </c>
      <c r="N2434" s="262" t="s">
        <v>4249</v>
      </c>
    </row>
    <row r="2435" spans="1:14" ht="12.75" customHeight="1" x14ac:dyDescent="0.2">
      <c r="A2435" s="567" t="s">
        <v>2932</v>
      </c>
      <c r="B2435" s="567"/>
      <c r="C2435" s="567"/>
      <c r="D2435" s="567"/>
      <c r="E2435" s="567"/>
      <c r="F2435" s="567"/>
      <c r="G2435" s="568" t="s">
        <v>3568</v>
      </c>
      <c r="H2435" s="568" t="s">
        <v>340</v>
      </c>
      <c r="I2435" s="239" t="str">
        <f>IF(ISBLANK(global!I948),"",global!I948)</f>
        <v/>
      </c>
      <c r="K2435" s="262" t="s">
        <v>4249</v>
      </c>
      <c r="N2435" s="262" t="s">
        <v>4249</v>
      </c>
    </row>
    <row r="2436" spans="1:14" ht="12.75" customHeight="1" x14ac:dyDescent="0.2">
      <c r="A2436" s="567" t="s">
        <v>2934</v>
      </c>
      <c r="B2436" s="567"/>
      <c r="C2436" s="567"/>
      <c r="D2436" s="567"/>
      <c r="E2436" s="567"/>
      <c r="F2436" s="567"/>
      <c r="G2436" s="568" t="s">
        <v>3569</v>
      </c>
      <c r="H2436" s="568" t="s">
        <v>340</v>
      </c>
      <c r="I2436" s="239" t="str">
        <f>IF(ISBLANK(global!I949),"",global!I949)</f>
        <v/>
      </c>
      <c r="K2436" s="262" t="s">
        <v>4249</v>
      </c>
      <c r="N2436" s="262" t="s">
        <v>4249</v>
      </c>
    </row>
    <row r="2437" spans="1:14" ht="12.75" customHeight="1" x14ac:dyDescent="0.2">
      <c r="A2437" s="567" t="s">
        <v>2936</v>
      </c>
      <c r="B2437" s="567"/>
      <c r="C2437" s="567"/>
      <c r="D2437" s="567"/>
      <c r="E2437" s="567"/>
      <c r="F2437" s="567"/>
      <c r="G2437" s="568" t="s">
        <v>3570</v>
      </c>
      <c r="H2437" s="568" t="s">
        <v>340</v>
      </c>
      <c r="I2437" s="239" t="str">
        <f>IF(ISBLANK(global!I950),"",global!I950)</f>
        <v/>
      </c>
      <c r="K2437" s="262" t="s">
        <v>4249</v>
      </c>
      <c r="N2437" s="262" t="s">
        <v>4249</v>
      </c>
    </row>
    <row r="2438" spans="1:14" ht="12.75" customHeight="1" x14ac:dyDescent="0.2">
      <c r="A2438" s="567" t="s">
        <v>1867</v>
      </c>
      <c r="B2438" s="567"/>
      <c r="C2438" s="567"/>
      <c r="D2438" s="567"/>
      <c r="E2438" s="567"/>
      <c r="F2438" s="567"/>
      <c r="G2438" s="568" t="s">
        <v>3571</v>
      </c>
      <c r="H2438" s="568" t="s">
        <v>340</v>
      </c>
      <c r="I2438" s="239" t="str">
        <f>IF(ISBLANK(global!I951),"",global!I951)</f>
        <v/>
      </c>
      <c r="K2438" s="262" t="s">
        <v>4249</v>
      </c>
      <c r="N2438" s="262" t="s">
        <v>4249</v>
      </c>
    </row>
    <row r="2439" spans="1:14" ht="12.75" customHeight="1" x14ac:dyDescent="0.2">
      <c r="A2439" s="567" t="s">
        <v>1874</v>
      </c>
      <c r="B2439" s="567"/>
      <c r="C2439" s="567"/>
      <c r="D2439" s="567"/>
      <c r="E2439" s="567"/>
      <c r="F2439" s="567"/>
      <c r="G2439" s="568" t="s">
        <v>3572</v>
      </c>
      <c r="H2439" s="568" t="s">
        <v>340</v>
      </c>
      <c r="I2439" s="239" t="str">
        <f>IF(ISBLANK(global!I952),"",global!I952)</f>
        <v/>
      </c>
      <c r="K2439" s="262" t="s">
        <v>4249</v>
      </c>
      <c r="N2439" s="262" t="s">
        <v>4249</v>
      </c>
    </row>
    <row r="2440" spans="1:14" ht="12.75" customHeight="1" x14ac:dyDescent="0.2">
      <c r="A2440" s="567" t="s">
        <v>1880</v>
      </c>
      <c r="B2440" s="567"/>
      <c r="C2440" s="567"/>
      <c r="D2440" s="567"/>
      <c r="E2440" s="567"/>
      <c r="F2440" s="567"/>
      <c r="G2440" s="568" t="s">
        <v>3573</v>
      </c>
      <c r="H2440" s="568" t="s">
        <v>340</v>
      </c>
      <c r="I2440" s="239" t="str">
        <f>IF(ISBLANK(global!I953),"",global!I953)</f>
        <v/>
      </c>
      <c r="K2440" s="262" t="s">
        <v>4249</v>
      </c>
      <c r="N2440" s="262" t="s">
        <v>4249</v>
      </c>
    </row>
    <row r="2441" spans="1:14" ht="12.75" customHeight="1" x14ac:dyDescent="0.2">
      <c r="A2441" s="172" t="s">
        <v>3574</v>
      </c>
      <c r="I2441" s="239" t="str">
        <f>IF(ISBLANK(global!I954),"",global!I954)</f>
        <v/>
      </c>
      <c r="K2441" s="262" t="s">
        <v>4249</v>
      </c>
      <c r="N2441" s="262" t="s">
        <v>4249</v>
      </c>
    </row>
    <row r="2442" spans="1:14" ht="12.75" customHeight="1" x14ac:dyDescent="0.2">
      <c r="A2442" s="568" t="s">
        <v>1322</v>
      </c>
      <c r="B2442" s="567"/>
      <c r="C2442" s="567"/>
      <c r="D2442" s="567"/>
      <c r="E2442" s="567"/>
      <c r="F2442" s="567"/>
      <c r="G2442" s="568" t="s">
        <v>3575</v>
      </c>
      <c r="H2442" s="568" t="s">
        <v>624</v>
      </c>
      <c r="I2442" s="239" t="str">
        <f>IF(ISBLANK(global!I955),"",global!I955)</f>
        <v/>
      </c>
      <c r="K2442" s="262" t="s">
        <v>4249</v>
      </c>
      <c r="N2442" s="262" t="s">
        <v>4249</v>
      </c>
    </row>
    <row r="2443" spans="1:14" ht="12.75" customHeight="1" x14ac:dyDescent="0.2">
      <c r="A2443" s="568" t="s">
        <v>1322</v>
      </c>
      <c r="B2443" s="567"/>
      <c r="C2443" s="567"/>
      <c r="D2443" s="567"/>
      <c r="E2443" s="567"/>
      <c r="F2443" s="567"/>
      <c r="G2443" s="568" t="s">
        <v>3576</v>
      </c>
      <c r="H2443" s="568" t="s">
        <v>624</v>
      </c>
      <c r="I2443" s="239" t="str">
        <f>IF(ISBLANK(global!I956),"",global!I956)</f>
        <v/>
      </c>
      <c r="K2443" s="262" t="s">
        <v>4249</v>
      </c>
      <c r="N2443" s="262" t="s">
        <v>4249</v>
      </c>
    </row>
    <row r="2444" spans="1:14" ht="12.75" customHeight="1" x14ac:dyDescent="0.2">
      <c r="A2444" s="568" t="s">
        <v>1322</v>
      </c>
      <c r="B2444" s="567"/>
      <c r="C2444" s="567"/>
      <c r="D2444" s="567"/>
      <c r="E2444" s="567"/>
      <c r="F2444" s="567"/>
      <c r="G2444" s="568" t="s">
        <v>3577</v>
      </c>
      <c r="H2444" s="568" t="s">
        <v>624</v>
      </c>
      <c r="I2444" s="239" t="str">
        <f>IF(ISBLANK(global!I957),"",global!I957)</f>
        <v/>
      </c>
      <c r="K2444" s="262" t="s">
        <v>4249</v>
      </c>
      <c r="N2444" s="262" t="s">
        <v>4249</v>
      </c>
    </row>
    <row r="2445" spans="1:14" ht="12.75" customHeight="1" x14ac:dyDescent="0.2">
      <c r="A2445" s="568" t="s">
        <v>1324</v>
      </c>
      <c r="B2445" s="567"/>
      <c r="C2445" s="567"/>
      <c r="D2445" s="567"/>
      <c r="E2445" s="567"/>
      <c r="F2445" s="567"/>
      <c r="G2445" s="568" t="s">
        <v>3578</v>
      </c>
      <c r="H2445" s="568" t="s">
        <v>624</v>
      </c>
      <c r="I2445" s="239" t="str">
        <f>IF(ISBLANK(global!I958),"",global!I958)</f>
        <v/>
      </c>
      <c r="K2445" s="262" t="s">
        <v>4249</v>
      </c>
      <c r="N2445" s="262" t="s">
        <v>4249</v>
      </c>
    </row>
    <row r="2446" spans="1:14" ht="12.75" customHeight="1" x14ac:dyDescent="0.2">
      <c r="A2446" s="568" t="s">
        <v>1324</v>
      </c>
      <c r="B2446" s="567"/>
      <c r="C2446" s="567"/>
      <c r="D2446" s="567"/>
      <c r="E2446" s="567"/>
      <c r="F2446" s="567"/>
      <c r="G2446" s="568" t="s">
        <v>3579</v>
      </c>
      <c r="H2446" s="568" t="s">
        <v>624</v>
      </c>
      <c r="I2446" s="239" t="str">
        <f>IF(ISBLANK(global!I959),"",global!I959)</f>
        <v/>
      </c>
      <c r="K2446" s="262" t="s">
        <v>4249</v>
      </c>
      <c r="N2446" s="262" t="s">
        <v>4249</v>
      </c>
    </row>
    <row r="2447" spans="1:14" ht="12.75" customHeight="1" x14ac:dyDescent="0.2">
      <c r="A2447" s="568" t="s">
        <v>1324</v>
      </c>
      <c r="B2447" s="567"/>
      <c r="C2447" s="567"/>
      <c r="D2447" s="567"/>
      <c r="E2447" s="567"/>
      <c r="F2447" s="567"/>
      <c r="G2447" s="568" t="s">
        <v>3580</v>
      </c>
      <c r="H2447" s="568" t="s">
        <v>624</v>
      </c>
      <c r="I2447" s="239" t="str">
        <f>IF(ISBLANK(global!I960),"",global!I960)</f>
        <v/>
      </c>
      <c r="K2447" s="262" t="s">
        <v>4249</v>
      </c>
      <c r="N2447" s="262" t="s">
        <v>4249</v>
      </c>
    </row>
    <row r="2448" spans="1:14" ht="12.75" customHeight="1" x14ac:dyDescent="0.2">
      <c r="A2448" s="568" t="s">
        <v>1326</v>
      </c>
      <c r="B2448" s="567"/>
      <c r="C2448" s="567"/>
      <c r="D2448" s="567"/>
      <c r="E2448" s="567"/>
      <c r="F2448" s="567"/>
      <c r="G2448" s="568" t="s">
        <v>3581</v>
      </c>
      <c r="H2448" s="568" t="s">
        <v>624</v>
      </c>
      <c r="I2448" s="239" t="str">
        <f>IF(ISBLANK(global!I961),"",global!I961)</f>
        <v/>
      </c>
      <c r="K2448" s="262" t="s">
        <v>4249</v>
      </c>
      <c r="N2448" s="262" t="s">
        <v>4249</v>
      </c>
    </row>
    <row r="2449" spans="1:14" ht="12.75" customHeight="1" x14ac:dyDescent="0.2">
      <c r="A2449" s="568" t="s">
        <v>1326</v>
      </c>
      <c r="B2449" s="567"/>
      <c r="C2449" s="567"/>
      <c r="D2449" s="567"/>
      <c r="E2449" s="567"/>
      <c r="F2449" s="567"/>
      <c r="G2449" s="568" t="s">
        <v>3582</v>
      </c>
      <c r="H2449" s="568" t="s">
        <v>624</v>
      </c>
      <c r="I2449" s="239" t="str">
        <f>IF(ISBLANK(global!I962),"",global!I962)</f>
        <v/>
      </c>
      <c r="K2449" s="262" t="s">
        <v>4249</v>
      </c>
      <c r="N2449" s="262" t="s">
        <v>4249</v>
      </c>
    </row>
    <row r="2450" spans="1:14" ht="12.75" customHeight="1" x14ac:dyDescent="0.2">
      <c r="A2450" s="568" t="s">
        <v>1326</v>
      </c>
      <c r="B2450" s="567"/>
      <c r="C2450" s="567"/>
      <c r="D2450" s="567"/>
      <c r="E2450" s="567"/>
      <c r="F2450" s="567"/>
      <c r="G2450" s="568" t="s">
        <v>3583</v>
      </c>
      <c r="H2450" s="568" t="s">
        <v>624</v>
      </c>
      <c r="I2450" s="239" t="str">
        <f>IF(ISBLANK(global!I963),"",global!I963)</f>
        <v/>
      </c>
      <c r="K2450" s="262" t="s">
        <v>4249</v>
      </c>
      <c r="N2450" s="262" t="s">
        <v>4249</v>
      </c>
    </row>
    <row r="2451" spans="1:14" ht="12.75" customHeight="1" x14ac:dyDescent="0.2">
      <c r="A2451" s="568" t="s">
        <v>1330</v>
      </c>
      <c r="B2451" s="567"/>
      <c r="C2451" s="567"/>
      <c r="D2451" s="567"/>
      <c r="E2451" s="567"/>
      <c r="F2451" s="567"/>
      <c r="G2451" s="568" t="s">
        <v>3584</v>
      </c>
      <c r="H2451" s="568" t="s">
        <v>624</v>
      </c>
      <c r="I2451" s="239" t="str">
        <f>IF(ISBLANK(global!I964),"",global!I964)</f>
        <v/>
      </c>
      <c r="K2451" s="262" t="s">
        <v>4249</v>
      </c>
      <c r="N2451" s="262" t="s">
        <v>4249</v>
      </c>
    </row>
    <row r="2452" spans="1:14" ht="12.75" customHeight="1" x14ac:dyDescent="0.2">
      <c r="A2452" s="568" t="s">
        <v>1330</v>
      </c>
      <c r="B2452" s="567"/>
      <c r="C2452" s="567"/>
      <c r="D2452" s="567"/>
      <c r="E2452" s="567"/>
      <c r="F2452" s="567"/>
      <c r="G2452" s="568" t="s">
        <v>3585</v>
      </c>
      <c r="H2452" s="568" t="s">
        <v>624</v>
      </c>
      <c r="I2452" s="239" t="str">
        <f>IF(ISBLANK(global!I965),"",global!I965)</f>
        <v/>
      </c>
      <c r="K2452" s="262" t="s">
        <v>4249</v>
      </c>
      <c r="N2452" s="262" t="s">
        <v>4249</v>
      </c>
    </row>
    <row r="2453" spans="1:14" ht="12.75" customHeight="1" x14ac:dyDescent="0.2">
      <c r="A2453" s="568" t="s">
        <v>1330</v>
      </c>
      <c r="B2453" s="567"/>
      <c r="C2453" s="567"/>
      <c r="D2453" s="567"/>
      <c r="E2453" s="567"/>
      <c r="F2453" s="567"/>
      <c r="G2453" s="568" t="s">
        <v>3586</v>
      </c>
      <c r="H2453" s="568" t="s">
        <v>624</v>
      </c>
      <c r="I2453" s="239" t="str">
        <f>IF(ISBLANK(global!I966),"",global!I966)</f>
        <v/>
      </c>
      <c r="K2453" s="262" t="s">
        <v>4249</v>
      </c>
      <c r="N2453" s="262" t="s">
        <v>4249</v>
      </c>
    </row>
    <row r="2454" spans="1:14" ht="12.75" customHeight="1" x14ac:dyDescent="0.2">
      <c r="A2454" s="568" t="s">
        <v>1336</v>
      </c>
      <c r="B2454" s="567"/>
      <c r="C2454" s="567"/>
      <c r="D2454" s="567"/>
      <c r="E2454" s="567"/>
      <c r="F2454" s="567"/>
      <c r="G2454" s="568" t="s">
        <v>3587</v>
      </c>
      <c r="H2454" s="568" t="s">
        <v>624</v>
      </c>
      <c r="I2454" s="239" t="str">
        <f>IF(ISBLANK(global!I967),"",global!I967)</f>
        <v/>
      </c>
      <c r="K2454" s="262" t="s">
        <v>4249</v>
      </c>
      <c r="N2454" s="262" t="s">
        <v>4249</v>
      </c>
    </row>
    <row r="2455" spans="1:14" ht="12.75" customHeight="1" x14ac:dyDescent="0.2">
      <c r="A2455" s="568" t="s">
        <v>1336</v>
      </c>
      <c r="B2455" s="567"/>
      <c r="C2455" s="567"/>
      <c r="D2455" s="567"/>
      <c r="E2455" s="567"/>
      <c r="F2455" s="567"/>
      <c r="G2455" s="568" t="s">
        <v>3588</v>
      </c>
      <c r="H2455" s="568" t="s">
        <v>624</v>
      </c>
      <c r="I2455" s="239" t="str">
        <f>IF(ISBLANK(global!I968),"",global!I968)</f>
        <v/>
      </c>
      <c r="K2455" s="262" t="s">
        <v>4249</v>
      </c>
      <c r="N2455" s="262" t="s">
        <v>4249</v>
      </c>
    </row>
    <row r="2456" spans="1:14" ht="12.75" customHeight="1" x14ac:dyDescent="0.2">
      <c r="A2456" s="568" t="s">
        <v>1336</v>
      </c>
      <c r="B2456" s="567"/>
      <c r="C2456" s="567"/>
      <c r="D2456" s="567"/>
      <c r="E2456" s="567"/>
      <c r="F2456" s="567"/>
      <c r="G2456" s="568" t="s">
        <v>3589</v>
      </c>
      <c r="H2456" s="568" t="s">
        <v>624</v>
      </c>
      <c r="I2456" s="239" t="str">
        <f>IF(ISBLANK(global!I969),"",global!I969)</f>
        <v/>
      </c>
      <c r="K2456" s="262" t="s">
        <v>4249</v>
      </c>
      <c r="N2456" s="262" t="s">
        <v>4249</v>
      </c>
    </row>
    <row r="2457" spans="1:14" ht="12.75" customHeight="1" x14ac:dyDescent="0.2">
      <c r="A2457" s="567"/>
      <c r="B2457" s="567" t="s">
        <v>1919</v>
      </c>
      <c r="C2457" s="567"/>
      <c r="D2457" s="567"/>
      <c r="E2457" s="567"/>
      <c r="F2457" s="567"/>
      <c r="G2457" s="568" t="s">
        <v>3590</v>
      </c>
      <c r="H2457" s="568" t="s">
        <v>340</v>
      </c>
      <c r="I2457" s="239" t="str">
        <f>IF(ISBLANK(global!I970),"",global!I970)</f>
        <v/>
      </c>
      <c r="K2457" s="262" t="s">
        <v>4249</v>
      </c>
      <c r="N2457" s="262" t="s">
        <v>4249</v>
      </c>
    </row>
    <row r="2458" spans="1:14" ht="12.75" customHeight="1" x14ac:dyDescent="0.2">
      <c r="A2458" s="599"/>
      <c r="B2458" s="599" t="s">
        <v>1926</v>
      </c>
      <c r="C2458" s="599"/>
      <c r="D2458" s="599"/>
      <c r="E2458" s="599"/>
      <c r="F2458" s="599"/>
      <c r="G2458" s="602" t="s">
        <v>3591</v>
      </c>
      <c r="H2458" s="602" t="s">
        <v>340</v>
      </c>
      <c r="I2458" s="239" t="str">
        <f>IF(ISBLANK(global!I971),"",global!I971)</f>
        <v/>
      </c>
      <c r="K2458" s="262" t="s">
        <v>4249</v>
      </c>
      <c r="N2458" s="262" t="s">
        <v>4249</v>
      </c>
    </row>
  </sheetData>
  <phoneticPr fontId="6" type="noConversion"/>
  <conditionalFormatting sqref="J306:J307">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topLeftCell="A577" zoomScaleNormal="100" workbookViewId="0">
      <selection activeCell="B609" sqref="B609"/>
    </sheetView>
  </sheetViews>
  <sheetFormatPr defaultColWidth="9.140625" defaultRowHeight="12.75" x14ac:dyDescent="0.2"/>
  <cols>
    <col min="1" max="1" width="9.7109375" style="316" bestFit="1" customWidth="1" collapsed="1"/>
    <col min="2" max="2" width="64.28515625" style="316" customWidth="1" collapsed="1"/>
    <col min="3" max="16384" width="9.140625" style="316" collapsed="1"/>
  </cols>
  <sheetData>
    <row r="1" spans="1:3" s="328" customFormat="1" x14ac:dyDescent="0.2">
      <c r="A1" s="327" t="s">
        <v>4352</v>
      </c>
      <c r="B1" s="327" t="s">
        <v>4353</v>
      </c>
      <c r="C1" s="327" t="s">
        <v>279</v>
      </c>
    </row>
    <row r="2" spans="1:3" ht="15" x14ac:dyDescent="0.2">
      <c r="A2" s="317" t="s">
        <v>4354</v>
      </c>
      <c r="B2" s="318">
        <f>(kwsd.water.wC*kwsd.sed.sdC)/(kwsd.water.wC+kwsd.sed.sdC)*FRw.w1C*(SYSTEMAREA.C*AREAFRAC.w1C)</f>
        <v>2632.1138216525001</v>
      </c>
      <c r="C2" s="317" t="s">
        <v>1065</v>
      </c>
    </row>
    <row r="3" spans="1:3" ht="15" x14ac:dyDescent="0.2">
      <c r="A3" s="317" t="s">
        <v>4355</v>
      </c>
      <c r="B3" s="318" t="e">
        <f>(kwsd.water.wR*kwsd.sed.sdR)/(kwsd.water.wR+kwsd.sed.sdR)*FRw.w1R*(SYSTEMAREA.R*AREAFRAC.w1R)</f>
        <v>#NAME?</v>
      </c>
      <c r="C3" s="317" t="s">
        <v>1065</v>
      </c>
    </row>
    <row r="4" spans="1:3" ht="15" x14ac:dyDescent="0.2">
      <c r="A4" s="317" t="s">
        <v>4356</v>
      </c>
      <c r="B4" s="318">
        <f>(kwsd.water.wC*kwsd.sed.sdC)/(kwsd.water.wC+kwsd.sed.sdC)*FRw.w2C*(SYSTEMAREA.C*AREAFRAC.w2C)</f>
        <v>102063.6723737127</v>
      </c>
      <c r="C4" s="317" t="s">
        <v>1065</v>
      </c>
    </row>
    <row r="5" spans="1:3" ht="15" x14ac:dyDescent="0.2">
      <c r="A5" s="317" t="s">
        <v>4357</v>
      </c>
      <c r="B5" s="318" t="e">
        <f>(kwsd.water.wR*kwsd.sed.sdR)/(kwsd.water.wR+kwsd.sed.sdR)*FRw.w2R*(SYSTEMAREA.R*AREAFRAC.w2R)</f>
        <v>#NAME?</v>
      </c>
      <c r="C5" s="317" t="s">
        <v>1065</v>
      </c>
    </row>
    <row r="6" spans="1:3" ht="15" x14ac:dyDescent="0.2">
      <c r="A6" s="317" t="s">
        <v>4358</v>
      </c>
      <c r="B6" s="318">
        <f>(kwsd.water.wA*kwsd.sed.sdA)/(kwsd.water.wA+kwsd.sed.sdA)*FRw.w3A*(SYSTEMAREA.A*AREAFRAC.wA)</f>
        <v>700871.61006451584</v>
      </c>
      <c r="C6" s="321" t="s">
        <v>1065</v>
      </c>
    </row>
    <row r="7" spans="1:3" ht="15" x14ac:dyDescent="0.2">
      <c r="A7" s="317" t="s">
        <v>4359</v>
      </c>
      <c r="B7" s="318">
        <f>(kwsd.water.wM*kwsd.sed.sdM)/(kwsd.water.wM+kwsd.sed.sdM)*FRw.w3M*(SYSTEMAREA.M*AREAFRAC.wM)</f>
        <v>1066028.1925726347</v>
      </c>
      <c r="C7" s="321" t="s">
        <v>1065</v>
      </c>
    </row>
    <row r="8" spans="1:3" ht="15" x14ac:dyDescent="0.2">
      <c r="A8" s="317" t="s">
        <v>4360</v>
      </c>
      <c r="B8" s="318">
        <f>(kwsd.water.wT*kwsd.sed.sdT)/(kwsd.water.wT+kwsd.sed.sdT)*FRw.w3T*(SYSTEMAREA.T*AREAFRAC.wT)</f>
        <v>2453050.6352258055</v>
      </c>
      <c r="C8" s="321" t="s">
        <v>1065</v>
      </c>
    </row>
    <row r="9" spans="1:3" ht="15" x14ac:dyDescent="0.2">
      <c r="A9" s="319" t="s">
        <v>3049</v>
      </c>
      <c r="B9" s="318">
        <v>1E-3</v>
      </c>
      <c r="C9" s="320" t="s">
        <v>1202</v>
      </c>
    </row>
    <row r="10" spans="1:3" ht="15" x14ac:dyDescent="0.2">
      <c r="A10" s="319" t="s">
        <v>2112</v>
      </c>
      <c r="B10" s="318">
        <v>1E-3</v>
      </c>
      <c r="C10" s="319" t="s">
        <v>1202</v>
      </c>
    </row>
    <row r="11" spans="1:3" ht="15" x14ac:dyDescent="0.2">
      <c r="A11" s="319" t="s">
        <v>2672</v>
      </c>
      <c r="B11" s="318">
        <v>1E-3</v>
      </c>
      <c r="C11" s="320" t="s">
        <v>1202</v>
      </c>
    </row>
    <row r="12" spans="1:3" ht="15" x14ac:dyDescent="0.2">
      <c r="A12" s="319" t="s">
        <v>1208</v>
      </c>
      <c r="B12" s="318">
        <v>1E-3</v>
      </c>
      <c r="C12" s="319" t="s">
        <v>1202</v>
      </c>
    </row>
    <row r="13" spans="1:3" ht="15" x14ac:dyDescent="0.2">
      <c r="A13" s="319" t="s">
        <v>3363</v>
      </c>
      <c r="B13" s="321">
        <v>1E-3</v>
      </c>
      <c r="C13" s="320" t="s">
        <v>1202</v>
      </c>
    </row>
    <row r="14" spans="1:3" ht="15" x14ac:dyDescent="0.2">
      <c r="A14" s="317" t="s">
        <v>3047</v>
      </c>
      <c r="B14" s="318">
        <f>(FRaerw.aA+FRaers.aA)*(tdry.A+twet.A)/twet.A*RAINrate.A*COLLECTeff.A</f>
        <v>2.6424826653125975E-2</v>
      </c>
      <c r="C14" s="319" t="s">
        <v>1202</v>
      </c>
    </row>
    <row r="15" spans="1:3" ht="15" x14ac:dyDescent="0.2">
      <c r="A15" s="317" t="s">
        <v>2109</v>
      </c>
      <c r="B15" s="318">
        <f>(FRaerw.aC+FRaers.aC)*(tdry.C+twet.C)/twet.C*RAINrate.C*COLLECTeff.C</f>
        <v>7.3989514628752737E-2</v>
      </c>
      <c r="C15" s="319" t="s">
        <v>1202</v>
      </c>
    </row>
    <row r="16" spans="1:3" ht="15" x14ac:dyDescent="0.2">
      <c r="A16" s="317" t="s">
        <v>2670</v>
      </c>
      <c r="B16" s="318">
        <f>(FRaerw.aM+FRaers.aM)*(tdry.M+twet.M)/twet.M*RAINrate.M*COLLECTeff.M</f>
        <v>7.3989514628752737E-2</v>
      </c>
      <c r="C16" s="319" t="s">
        <v>1202</v>
      </c>
    </row>
    <row r="17" spans="1:3" ht="15" x14ac:dyDescent="0.2">
      <c r="A17" s="317" t="s">
        <v>1204</v>
      </c>
      <c r="B17" s="318">
        <f>(FRaerw.aR+FRaers.aR)*(tdry.R+twet.R)/twet.R*COLLECTeff.R*RAINrate.R</f>
        <v>7.3989514628752723E-2</v>
      </c>
      <c r="C17" s="319" t="s">
        <v>1202</v>
      </c>
    </row>
    <row r="18" spans="1:3" ht="15" x14ac:dyDescent="0.2">
      <c r="A18" s="317" t="s">
        <v>3360</v>
      </c>
      <c r="B18" s="318">
        <f>(FRaerw.aT+FRaers.aT)*(tdry.T+twet.T)/twet.T*RAINrate.T*COLLECTeff.T</f>
        <v>0.13740909859608266</v>
      </c>
      <c r="C18" s="319" t="s">
        <v>1202</v>
      </c>
    </row>
    <row r="19" spans="1:3" ht="15" x14ac:dyDescent="0.2">
      <c r="A19" s="317" t="s">
        <v>4361</v>
      </c>
      <c r="B19" s="318">
        <f>VOLUME.aA/TAU.aA</f>
        <v>29424519893.079891</v>
      </c>
      <c r="C19" s="321" t="s">
        <v>1065</v>
      </c>
    </row>
    <row r="20" spans="1:3" ht="15" x14ac:dyDescent="0.2">
      <c r="A20" s="317" t="s">
        <v>4362</v>
      </c>
      <c r="B20" s="318" t="e">
        <f>VOLUME.aC/TAU.aC-AIRflow.aC.aR</f>
        <v>#NAME?</v>
      </c>
      <c r="C20" s="321" t="s">
        <v>1065</v>
      </c>
    </row>
    <row r="21" spans="1:3" ht="15" x14ac:dyDescent="0.2">
      <c r="A21" s="317" t="s">
        <v>4363</v>
      </c>
      <c r="B21" s="318" t="e">
        <f>AIRflow.aR.aC</f>
        <v>#NAME?</v>
      </c>
      <c r="C21" s="321" t="s">
        <v>1065</v>
      </c>
    </row>
    <row r="22" spans="1:3" ht="15" x14ac:dyDescent="0.2">
      <c r="A22" s="317" t="s">
        <v>4364</v>
      </c>
      <c r="B22" s="318" t="e">
        <f>AIRflow.aA.aM</f>
        <v>#NAME?</v>
      </c>
      <c r="C22" s="321" t="s">
        <v>1065</v>
      </c>
    </row>
    <row r="23" spans="1:3" ht="15" x14ac:dyDescent="0.2">
      <c r="A23" s="317" t="s">
        <v>4365</v>
      </c>
      <c r="B23" s="318" t="e">
        <f>AIRflow.aC.aM</f>
        <v>#NAME?</v>
      </c>
      <c r="C23" s="321" t="s">
        <v>1065</v>
      </c>
    </row>
    <row r="24" spans="1:3" ht="15" x14ac:dyDescent="0.2">
      <c r="A24" s="317" t="s">
        <v>4366</v>
      </c>
      <c r="B24" s="318" t="e">
        <f>AIRflow.aT.aM</f>
        <v>#NAME?</v>
      </c>
      <c r="C24" s="321" t="s">
        <v>1065</v>
      </c>
    </row>
    <row r="25" spans="1:3" ht="15" x14ac:dyDescent="0.2">
      <c r="A25" s="317" t="s">
        <v>4367</v>
      </c>
      <c r="B25" s="318">
        <f>VOLUME.aR/TAU.aR</f>
        <v>2162581519.9666018</v>
      </c>
      <c r="C25" s="317" t="s">
        <v>1065</v>
      </c>
    </row>
    <row r="26" spans="1:3" ht="15" x14ac:dyDescent="0.2">
      <c r="A26" s="317" t="s">
        <v>4368</v>
      </c>
      <c r="B26" s="318">
        <f>VOLUME.aT/TAU.aT</f>
        <v>50964763443.135521</v>
      </c>
      <c r="C26" s="321" t="s">
        <v>1065</v>
      </c>
    </row>
    <row r="27" spans="1:3" x14ac:dyDescent="0.2">
      <c r="A27" s="319" t="s">
        <v>1951</v>
      </c>
      <c r="B27" s="318">
        <f>AREAland.C*FRACnatsoil.C/SYSTEMAREA.C</f>
        <v>0.13073261798103972</v>
      </c>
      <c r="C27" s="321" t="s">
        <v>296</v>
      </c>
    </row>
    <row r="28" spans="1:3" x14ac:dyDescent="0.2">
      <c r="A28" s="319" t="s">
        <v>987</v>
      </c>
      <c r="B28" s="318">
        <f>AREAland.R*FRACnatsoil.R/SYSTEMAREA.R</f>
        <v>0.26882388813869412</v>
      </c>
      <c r="C28" s="317" t="s">
        <v>296</v>
      </c>
    </row>
    <row r="29" spans="1:3" x14ac:dyDescent="0.2">
      <c r="A29" s="319" t="s">
        <v>1952</v>
      </c>
      <c r="B29" s="318">
        <f>AREAland.C*FRACagsoil.C/SYSTEMAREA.C</f>
        <v>0.2905169288467549</v>
      </c>
      <c r="C29" s="321" t="s">
        <v>296</v>
      </c>
    </row>
    <row r="30" spans="1:3" x14ac:dyDescent="0.2">
      <c r="A30" s="319" t="s">
        <v>989</v>
      </c>
      <c r="B30" s="318">
        <f>AREAland.R*FRACagsoil.R/SYSTEMAREA.R</f>
        <v>0.5973864180859868</v>
      </c>
      <c r="C30" s="317" t="s">
        <v>296</v>
      </c>
    </row>
    <row r="31" spans="1:3" x14ac:dyDescent="0.2">
      <c r="A31" s="319" t="s">
        <v>1953</v>
      </c>
      <c r="B31" s="318">
        <f>AREAland.C*FRACothersoil.C/SYSTEMAREA.C</f>
        <v>4.8419488141125809E-2</v>
      </c>
      <c r="C31" s="321" t="s">
        <v>296</v>
      </c>
    </row>
    <row r="32" spans="1:3" x14ac:dyDescent="0.2">
      <c r="A32" s="319" t="s">
        <v>991</v>
      </c>
      <c r="B32" s="318">
        <f>AREAland.R*FRACothersoil.R/SYSTEMAREA.R</f>
        <v>9.9564403014331143E-2</v>
      </c>
      <c r="C32" s="317" t="s">
        <v>296</v>
      </c>
    </row>
    <row r="33" spans="1:3" x14ac:dyDescent="0.2">
      <c r="A33" s="319" t="s">
        <v>2972</v>
      </c>
      <c r="B33" s="318">
        <f>1-AREAFRAC.wA</f>
        <v>0.4</v>
      </c>
      <c r="C33" s="321" t="s">
        <v>296</v>
      </c>
    </row>
    <row r="34" spans="1:3" x14ac:dyDescent="0.2">
      <c r="A34" s="319" t="s">
        <v>2547</v>
      </c>
      <c r="B34" s="318">
        <f>1-AREAFRAC.wM</f>
        <v>0.5</v>
      </c>
      <c r="C34" s="321" t="s">
        <v>296</v>
      </c>
    </row>
    <row r="35" spans="1:3" x14ac:dyDescent="0.2">
      <c r="A35" s="319" t="s">
        <v>3293</v>
      </c>
      <c r="B35" s="318">
        <f>1-AREAFRAC.wT</f>
        <v>0.30000000000000004</v>
      </c>
      <c r="C35" s="317" t="s">
        <v>296</v>
      </c>
    </row>
    <row r="36" spans="1:3" x14ac:dyDescent="0.2">
      <c r="A36" s="319" t="s">
        <v>1949</v>
      </c>
      <c r="B36" s="318">
        <f>AREAland.C*FRAClake.C/SYSTEMAREA.C</f>
        <v>1.2104872035281454E-3</v>
      </c>
      <c r="C36" s="317" t="s">
        <v>296</v>
      </c>
    </row>
    <row r="37" spans="1:3" x14ac:dyDescent="0.2">
      <c r="A37" s="319" t="s">
        <v>983</v>
      </c>
      <c r="B37" s="318">
        <f>AREAland.R*FRAClake.R/SYSTEMAREA.R</f>
        <v>2.4891100753582783E-3</v>
      </c>
      <c r="C37" s="317" t="s">
        <v>296</v>
      </c>
    </row>
    <row r="38" spans="1:3" x14ac:dyDescent="0.2">
      <c r="A38" s="319" t="s">
        <v>1950</v>
      </c>
      <c r="B38" s="318">
        <f>AREAland.C*FRACfresh.C/SYSTEMAREA.C</f>
        <v>1.3315359238809598E-2</v>
      </c>
      <c r="C38" s="321" t="s">
        <v>296</v>
      </c>
    </row>
    <row r="39" spans="1:3" x14ac:dyDescent="0.2">
      <c r="A39" s="319" t="s">
        <v>985</v>
      </c>
      <c r="B39" s="318">
        <f>AREAland.R*FRACfresh.R/SYSTEMAREA.R</f>
        <v>2.7380210828941064E-2</v>
      </c>
      <c r="C39" s="317" t="s">
        <v>296</v>
      </c>
    </row>
    <row r="40" spans="1:3" x14ac:dyDescent="0.2">
      <c r="A40" s="319" t="s">
        <v>1954</v>
      </c>
      <c r="B40" s="318">
        <f>1-AREAFRAC.w0C-AREAFRAC.w1C-AREAFRAC.s1C-AREAFRAC.s2C-AREAFRAC.s3C</f>
        <v>0.5158051185887419</v>
      </c>
      <c r="C40" s="321" t="s">
        <v>296</v>
      </c>
    </row>
    <row r="41" spans="1:3" x14ac:dyDescent="0.2">
      <c r="A41" s="319" t="s">
        <v>993</v>
      </c>
      <c r="B41" s="318">
        <f>1-AREAFRAC.w0R-AREAFRAC.w1R-AREAFRAC.s1R-AREAFRAC.s2R-AREAFRAC.s3R</f>
        <v>4.3559698566885963E-3</v>
      </c>
      <c r="C41" s="317" t="s">
        <v>296</v>
      </c>
    </row>
    <row r="42" spans="1:3" x14ac:dyDescent="0.2">
      <c r="A42" s="319" t="s">
        <v>2971</v>
      </c>
      <c r="B42" s="318">
        <v>0.6</v>
      </c>
      <c r="C42" s="321" t="s">
        <v>296</v>
      </c>
    </row>
    <row r="43" spans="1:3" x14ac:dyDescent="0.2">
      <c r="A43" s="319" t="s">
        <v>2545</v>
      </c>
      <c r="B43" s="318">
        <v>0.5</v>
      </c>
      <c r="C43" s="321" t="s">
        <v>296</v>
      </c>
    </row>
    <row r="44" spans="1:3" x14ac:dyDescent="0.2">
      <c r="A44" s="319" t="s">
        <v>3292</v>
      </c>
      <c r="B44" s="321">
        <v>0.7</v>
      </c>
      <c r="C44" s="317" t="s">
        <v>296</v>
      </c>
    </row>
    <row r="45" spans="1:3" ht="15" x14ac:dyDescent="0.2">
      <c r="A45" s="321" t="s">
        <v>739</v>
      </c>
      <c r="B45" s="321">
        <v>3714410</v>
      </c>
      <c r="C45" s="319" t="s">
        <v>679</v>
      </c>
    </row>
    <row r="46" spans="1:3" ht="15" x14ac:dyDescent="0.2">
      <c r="A46" s="321" t="s">
        <v>678</v>
      </c>
      <c r="B46" s="321">
        <v>228570</v>
      </c>
      <c r="C46" s="319" t="s">
        <v>679</v>
      </c>
    </row>
    <row r="47" spans="1:3" ht="15" x14ac:dyDescent="0.2">
      <c r="A47" s="321" t="s">
        <v>740</v>
      </c>
      <c r="B47" s="321">
        <v>3714410</v>
      </c>
      <c r="C47" s="319" t="s">
        <v>679</v>
      </c>
    </row>
    <row r="48" spans="1:3" ht="15" x14ac:dyDescent="0.2">
      <c r="A48" s="321" t="s">
        <v>682</v>
      </c>
      <c r="B48" s="321">
        <v>1000</v>
      </c>
      <c r="C48" s="319" t="s">
        <v>679</v>
      </c>
    </row>
    <row r="49" spans="1:3" ht="15" x14ac:dyDescent="0.2">
      <c r="A49" s="317" t="s">
        <v>643</v>
      </c>
      <c r="B49" s="321">
        <v>40000</v>
      </c>
      <c r="C49" s="317" t="s">
        <v>644</v>
      </c>
    </row>
    <row r="50" spans="1:3" x14ac:dyDescent="0.2">
      <c r="A50" s="319" t="s">
        <v>2195</v>
      </c>
      <c r="B50" s="318">
        <v>40000</v>
      </c>
      <c r="C50" s="317" t="s">
        <v>1359</v>
      </c>
    </row>
    <row r="51" spans="1:3" x14ac:dyDescent="0.2">
      <c r="A51" s="319" t="s">
        <v>1358</v>
      </c>
      <c r="B51" s="318">
        <v>40000</v>
      </c>
      <c r="C51" s="317" t="s">
        <v>1359</v>
      </c>
    </row>
    <row r="52" spans="1:3" x14ac:dyDescent="0.2">
      <c r="A52" s="319" t="s">
        <v>2196</v>
      </c>
      <c r="B52" s="318">
        <v>40000</v>
      </c>
      <c r="C52" s="317" t="s">
        <v>1359</v>
      </c>
    </row>
    <row r="53" spans="1:3" x14ac:dyDescent="0.2">
      <c r="A53" s="319" t="s">
        <v>1362</v>
      </c>
      <c r="B53" s="318">
        <v>40000</v>
      </c>
      <c r="C53" s="317" t="s">
        <v>1359</v>
      </c>
    </row>
    <row r="54" spans="1:3" x14ac:dyDescent="0.2">
      <c r="A54" s="319" t="s">
        <v>3092</v>
      </c>
      <c r="B54" s="318">
        <v>40000</v>
      </c>
      <c r="C54" s="317" t="s">
        <v>1359</v>
      </c>
    </row>
    <row r="55" spans="1:3" x14ac:dyDescent="0.2">
      <c r="A55" s="319" t="s">
        <v>2197</v>
      </c>
      <c r="B55" s="318">
        <v>40000</v>
      </c>
      <c r="C55" s="317" t="s">
        <v>1359</v>
      </c>
    </row>
    <row r="56" spans="1:3" x14ac:dyDescent="0.2">
      <c r="A56" s="319" t="s">
        <v>2737</v>
      </c>
      <c r="B56" s="318">
        <v>40000</v>
      </c>
      <c r="C56" s="317" t="s">
        <v>1359</v>
      </c>
    </row>
    <row r="57" spans="1:3" x14ac:dyDescent="0.2">
      <c r="A57" s="319" t="s">
        <v>1364</v>
      </c>
      <c r="B57" s="318">
        <v>40000</v>
      </c>
      <c r="C57" s="317" t="s">
        <v>1359</v>
      </c>
    </row>
    <row r="58" spans="1:3" x14ac:dyDescent="0.2">
      <c r="A58" s="319" t="s">
        <v>3404</v>
      </c>
      <c r="B58" s="321">
        <v>40000</v>
      </c>
      <c r="C58" s="317" t="s">
        <v>1359</v>
      </c>
    </row>
    <row r="59" spans="1:3" x14ac:dyDescent="0.2">
      <c r="A59" s="319" t="s">
        <v>3094</v>
      </c>
      <c r="B59" s="318">
        <v>40000</v>
      </c>
      <c r="C59" s="317" t="s">
        <v>1359</v>
      </c>
    </row>
    <row r="60" spans="1:3" x14ac:dyDescent="0.2">
      <c r="A60" s="319" t="s">
        <v>2739</v>
      </c>
      <c r="B60" s="318">
        <v>40000</v>
      </c>
      <c r="C60" s="317" t="s">
        <v>1359</v>
      </c>
    </row>
    <row r="61" spans="1:3" x14ac:dyDescent="0.2">
      <c r="A61" s="319" t="s">
        <v>3405</v>
      </c>
      <c r="B61" s="321">
        <v>40000</v>
      </c>
      <c r="C61" s="317" t="s">
        <v>1359</v>
      </c>
    </row>
    <row r="62" spans="1:3" x14ac:dyDescent="0.2">
      <c r="A62" s="317" t="s">
        <v>639</v>
      </c>
      <c r="B62" s="322" t="s">
        <v>641</v>
      </c>
      <c r="C62" s="317" t="s">
        <v>640</v>
      </c>
    </row>
    <row r="63" spans="1:3" ht="15" x14ac:dyDescent="0.2">
      <c r="A63" s="317" t="s">
        <v>4369</v>
      </c>
      <c r="B63" s="318">
        <f>NETsedrate.w1C*SYSTEMAREA.C*AREAFRAC.w1C</f>
        <v>8.265757754893718</v>
      </c>
      <c r="C63" s="317" t="s">
        <v>1065</v>
      </c>
    </row>
    <row r="64" spans="1:3" ht="15" x14ac:dyDescent="0.2">
      <c r="A64" s="317" t="s">
        <v>4370</v>
      </c>
      <c r="B64" s="318">
        <f>NETsedrate.w1R*SYSTEMAREA.R*AREAFRAC.w1R</f>
        <v>0.54598031594844021</v>
      </c>
      <c r="C64" s="317" t="s">
        <v>1065</v>
      </c>
    </row>
    <row r="65" spans="1:3" ht="15" x14ac:dyDescent="0.2">
      <c r="A65" s="317" t="s">
        <v>4371</v>
      </c>
      <c r="B65" s="318">
        <f>NETsedrate.w2C*SYSTEMAREA.C*AREAFRAC.w2C</f>
        <v>101.74743400000001</v>
      </c>
      <c r="C65" s="317" t="s">
        <v>1065</v>
      </c>
    </row>
    <row r="66" spans="1:3" ht="15" x14ac:dyDescent="0.2">
      <c r="A66" s="317" t="s">
        <v>4372</v>
      </c>
      <c r="B66" s="318">
        <f>NETsedrate.w2R*SYSTEMAREA.R*AREAFRAC.w2R</f>
        <v>2.7428797247595133E-2</v>
      </c>
      <c r="C66" s="317" t="s">
        <v>1065</v>
      </c>
    </row>
    <row r="67" spans="1:3" ht="15" x14ac:dyDescent="0.2">
      <c r="A67" s="317" t="s">
        <v>4373</v>
      </c>
      <c r="B67" s="318">
        <f>NETsedrate.wA*SYSTEMAREA.A*AREAFRAC.wA</f>
        <v>1.6171993911719766</v>
      </c>
      <c r="C67" s="317" t="s">
        <v>1065</v>
      </c>
    </row>
    <row r="68" spans="1:3" ht="15" x14ac:dyDescent="0.2">
      <c r="A68" s="317" t="s">
        <v>4374</v>
      </c>
      <c r="B68" s="318">
        <f>NETsedrate.wM*SYSTEMAREA.M*AREAFRAC.wM</f>
        <v>3.4720095874555419</v>
      </c>
      <c r="C68" s="317" t="s">
        <v>1065</v>
      </c>
    </row>
    <row r="69" spans="1:3" ht="15" x14ac:dyDescent="0.2">
      <c r="A69" s="317" t="s">
        <v>4375</v>
      </c>
      <c r="B69" s="318">
        <f>NETsedrate.wT*SYSTEMAREA.T*AREAFRAC.wT</f>
        <v>5.6601978691020065</v>
      </c>
      <c r="C69" s="317" t="s">
        <v>1065</v>
      </c>
    </row>
    <row r="70" spans="1:3" ht="15" x14ac:dyDescent="0.2">
      <c r="A70" s="317" t="s">
        <v>626</v>
      </c>
      <c r="B70" s="321">
        <v>500000</v>
      </c>
      <c r="C70" s="317" t="s">
        <v>627</v>
      </c>
    </row>
    <row r="71" spans="1:3" ht="15" x14ac:dyDescent="0.2">
      <c r="A71" s="317" t="s">
        <v>3088</v>
      </c>
      <c r="B71" s="318">
        <v>500000</v>
      </c>
      <c r="C71" s="317" t="s">
        <v>627</v>
      </c>
    </row>
    <row r="72" spans="1:3" ht="15" x14ac:dyDescent="0.2">
      <c r="A72" s="317" t="s">
        <v>2189</v>
      </c>
      <c r="B72" s="318">
        <v>500000</v>
      </c>
      <c r="C72" s="317" t="s">
        <v>627</v>
      </c>
    </row>
    <row r="73" spans="1:3" ht="15" x14ac:dyDescent="0.2">
      <c r="A73" s="317" t="s">
        <v>2730</v>
      </c>
      <c r="B73" s="318">
        <v>500000</v>
      </c>
      <c r="C73" s="317" t="s">
        <v>627</v>
      </c>
    </row>
    <row r="74" spans="1:3" ht="15" x14ac:dyDescent="0.2">
      <c r="A74" s="317" t="s">
        <v>1347</v>
      </c>
      <c r="B74" s="318">
        <v>500000</v>
      </c>
      <c r="C74" s="317" t="s">
        <v>627</v>
      </c>
    </row>
    <row r="75" spans="1:3" ht="15" x14ac:dyDescent="0.2">
      <c r="A75" s="317" t="s">
        <v>3400</v>
      </c>
      <c r="B75" s="318">
        <v>500000</v>
      </c>
      <c r="C75" s="317" t="s">
        <v>627</v>
      </c>
    </row>
    <row r="76" spans="1:3" x14ac:dyDescent="0.2">
      <c r="A76" s="319" t="s">
        <v>759</v>
      </c>
      <c r="B76" s="318">
        <v>1</v>
      </c>
      <c r="C76" s="317" t="s">
        <v>723</v>
      </c>
    </row>
    <row r="77" spans="1:3" x14ac:dyDescent="0.2">
      <c r="A77" s="319" t="s">
        <v>722</v>
      </c>
      <c r="B77" s="318">
        <v>1</v>
      </c>
      <c r="C77" s="317" t="s">
        <v>723</v>
      </c>
    </row>
    <row r="78" spans="1:3" x14ac:dyDescent="0.2">
      <c r="A78" s="319" t="s">
        <v>760</v>
      </c>
      <c r="B78" s="318">
        <v>1</v>
      </c>
      <c r="C78" s="317" t="s">
        <v>723</v>
      </c>
    </row>
    <row r="79" spans="1:3" x14ac:dyDescent="0.2">
      <c r="A79" s="319" t="s">
        <v>725</v>
      </c>
      <c r="B79" s="318">
        <v>1</v>
      </c>
      <c r="C79" s="317" t="s">
        <v>723</v>
      </c>
    </row>
    <row r="80" spans="1:3" x14ac:dyDescent="0.2">
      <c r="A80" s="319" t="s">
        <v>3023</v>
      </c>
      <c r="B80" s="318">
        <v>1</v>
      </c>
      <c r="C80" s="317" t="s">
        <v>723</v>
      </c>
    </row>
    <row r="81" spans="1:3" x14ac:dyDescent="0.2">
      <c r="A81" s="319" t="s">
        <v>761</v>
      </c>
      <c r="B81" s="318">
        <v>1</v>
      </c>
      <c r="C81" s="317" t="s">
        <v>723</v>
      </c>
    </row>
    <row r="82" spans="1:3" x14ac:dyDescent="0.2">
      <c r="A82" s="319" t="s">
        <v>2632</v>
      </c>
      <c r="B82" s="318">
        <v>1</v>
      </c>
      <c r="C82" s="317" t="s">
        <v>723</v>
      </c>
    </row>
    <row r="83" spans="1:3" x14ac:dyDescent="0.2">
      <c r="A83" s="319" t="s">
        <v>726</v>
      </c>
      <c r="B83" s="318">
        <v>1</v>
      </c>
      <c r="C83" s="317" t="s">
        <v>723</v>
      </c>
    </row>
    <row r="84" spans="1:3" x14ac:dyDescent="0.2">
      <c r="A84" s="319" t="s">
        <v>3339</v>
      </c>
      <c r="B84" s="318">
        <v>1</v>
      </c>
      <c r="C84" s="317" t="s">
        <v>723</v>
      </c>
    </row>
    <row r="85" spans="1:3" x14ac:dyDescent="0.2">
      <c r="A85" s="319" t="s">
        <v>3024</v>
      </c>
      <c r="B85" s="318">
        <v>1</v>
      </c>
      <c r="C85" s="317" t="s">
        <v>723</v>
      </c>
    </row>
    <row r="86" spans="1:3" x14ac:dyDescent="0.2">
      <c r="A86" s="319" t="s">
        <v>2634</v>
      </c>
      <c r="B86" s="318">
        <v>1</v>
      </c>
      <c r="C86" s="317" t="s">
        <v>723</v>
      </c>
    </row>
    <row r="87" spans="1:3" x14ac:dyDescent="0.2">
      <c r="A87" s="319" t="s">
        <v>3340</v>
      </c>
      <c r="B87" s="318">
        <v>1</v>
      </c>
      <c r="C87" s="317" t="s">
        <v>723</v>
      </c>
    </row>
    <row r="88" spans="1:3" x14ac:dyDescent="0.2">
      <c r="A88" s="319" t="s">
        <v>3051</v>
      </c>
      <c r="B88" s="318">
        <v>200000</v>
      </c>
      <c r="C88" s="317" t="s">
        <v>296</v>
      </c>
    </row>
    <row r="89" spans="1:3" x14ac:dyDescent="0.2">
      <c r="A89" s="319" t="s">
        <v>2113</v>
      </c>
      <c r="B89" s="318">
        <v>200000</v>
      </c>
      <c r="C89" s="317" t="s">
        <v>296</v>
      </c>
    </row>
    <row r="90" spans="1:3" x14ac:dyDescent="0.2">
      <c r="A90" s="319" t="s">
        <v>2676</v>
      </c>
      <c r="B90" s="318">
        <v>200000</v>
      </c>
      <c r="C90" s="317" t="s">
        <v>296</v>
      </c>
    </row>
    <row r="91" spans="1:3" x14ac:dyDescent="0.2">
      <c r="A91" s="319" t="s">
        <v>1210</v>
      </c>
      <c r="B91" s="318">
        <v>200000</v>
      </c>
      <c r="C91" s="317" t="s">
        <v>296</v>
      </c>
    </row>
    <row r="92" spans="1:3" x14ac:dyDescent="0.2">
      <c r="A92" s="319" t="s">
        <v>3365</v>
      </c>
      <c r="B92" s="321">
        <v>200000</v>
      </c>
      <c r="C92" s="317" t="s">
        <v>296</v>
      </c>
    </row>
    <row r="93" spans="1:3" x14ac:dyDescent="0.2">
      <c r="A93" s="319" t="s">
        <v>791</v>
      </c>
      <c r="B93" s="321">
        <v>0.02</v>
      </c>
      <c r="C93" s="317" t="s">
        <v>296</v>
      </c>
    </row>
    <row r="94" spans="1:3" x14ac:dyDescent="0.2">
      <c r="A94" s="319" t="s">
        <v>2060</v>
      </c>
      <c r="B94" s="318">
        <v>0.02</v>
      </c>
      <c r="C94" s="317" t="s">
        <v>296</v>
      </c>
    </row>
    <row r="95" spans="1:3" x14ac:dyDescent="0.2">
      <c r="A95" s="319" t="s">
        <v>1141</v>
      </c>
      <c r="B95" s="318">
        <v>0.02</v>
      </c>
      <c r="C95" s="317" t="s">
        <v>296</v>
      </c>
    </row>
    <row r="96" spans="1:3" x14ac:dyDescent="0.2">
      <c r="A96" s="319" t="s">
        <v>2067</v>
      </c>
      <c r="B96" s="318">
        <v>0.02</v>
      </c>
      <c r="C96" s="317" t="s">
        <v>296</v>
      </c>
    </row>
    <row r="97" spans="1:3" x14ac:dyDescent="0.2">
      <c r="A97" s="319" t="s">
        <v>1151</v>
      </c>
      <c r="B97" s="318">
        <v>0.02</v>
      </c>
      <c r="C97" s="317" t="s">
        <v>296</v>
      </c>
    </row>
    <row r="98" spans="1:3" x14ac:dyDescent="0.2">
      <c r="A98" s="319" t="s">
        <v>2074</v>
      </c>
      <c r="B98" s="318">
        <v>0.02</v>
      </c>
      <c r="C98" s="317" t="s">
        <v>296</v>
      </c>
    </row>
    <row r="99" spans="1:3" x14ac:dyDescent="0.2">
      <c r="A99" s="319" t="s">
        <v>1161</v>
      </c>
      <c r="B99" s="318">
        <v>0.02</v>
      </c>
      <c r="C99" s="317" t="s">
        <v>296</v>
      </c>
    </row>
    <row r="100" spans="1:3" x14ac:dyDescent="0.2">
      <c r="A100" s="319" t="s">
        <v>3032</v>
      </c>
      <c r="B100" s="318">
        <v>0.02</v>
      </c>
      <c r="C100" s="317" t="s">
        <v>296</v>
      </c>
    </row>
    <row r="101" spans="1:3" x14ac:dyDescent="0.2">
      <c r="A101" s="319" t="s">
        <v>2050</v>
      </c>
      <c r="B101" s="318">
        <v>0.05</v>
      </c>
      <c r="C101" s="317" t="s">
        <v>296</v>
      </c>
    </row>
    <row r="102" spans="1:3" x14ac:dyDescent="0.2">
      <c r="A102" s="319" t="s">
        <v>1125</v>
      </c>
      <c r="B102" s="318">
        <v>0.05</v>
      </c>
      <c r="C102" s="317" t="s">
        <v>296</v>
      </c>
    </row>
    <row r="103" spans="1:3" x14ac:dyDescent="0.2">
      <c r="A103" s="319" t="s">
        <v>2053</v>
      </c>
      <c r="B103" s="318">
        <v>0.05</v>
      </c>
      <c r="C103" s="317" t="s">
        <v>296</v>
      </c>
    </row>
    <row r="104" spans="1:3" x14ac:dyDescent="0.2">
      <c r="A104" s="319" t="s">
        <v>1131</v>
      </c>
      <c r="B104" s="318">
        <v>0.05</v>
      </c>
      <c r="C104" s="317" t="s">
        <v>296</v>
      </c>
    </row>
    <row r="105" spans="1:3" x14ac:dyDescent="0.2">
      <c r="A105" s="319" t="s">
        <v>3027</v>
      </c>
      <c r="B105" s="318">
        <v>0.05</v>
      </c>
      <c r="C105" s="317" t="s">
        <v>296</v>
      </c>
    </row>
    <row r="106" spans="1:3" x14ac:dyDescent="0.2">
      <c r="A106" s="319" t="s">
        <v>2640</v>
      </c>
      <c r="B106" s="318">
        <v>0.05</v>
      </c>
      <c r="C106" s="317" t="s">
        <v>296</v>
      </c>
    </row>
    <row r="107" spans="1:3" x14ac:dyDescent="0.2">
      <c r="A107" s="319" t="s">
        <v>3343</v>
      </c>
      <c r="B107" s="318">
        <v>0.05</v>
      </c>
      <c r="C107" s="317" t="s">
        <v>296</v>
      </c>
    </row>
    <row r="108" spans="1:3" x14ac:dyDescent="0.2">
      <c r="A108" s="319" t="s">
        <v>2650</v>
      </c>
      <c r="B108" s="318">
        <v>0.02</v>
      </c>
      <c r="C108" s="317" t="s">
        <v>296</v>
      </c>
    </row>
    <row r="109" spans="1:3" x14ac:dyDescent="0.2">
      <c r="A109" s="319" t="s">
        <v>3348</v>
      </c>
      <c r="B109" s="318">
        <v>0.02</v>
      </c>
      <c r="C109" s="317" t="s">
        <v>296</v>
      </c>
    </row>
    <row r="110" spans="1:3" x14ac:dyDescent="0.2">
      <c r="A110" s="319" t="s">
        <v>2033</v>
      </c>
      <c r="B110" s="318">
        <v>0.1</v>
      </c>
      <c r="C110" s="317" t="s">
        <v>296</v>
      </c>
    </row>
    <row r="111" spans="1:3" x14ac:dyDescent="0.2">
      <c r="A111" s="319" t="s">
        <v>1100</v>
      </c>
      <c r="B111" s="318">
        <v>0.1</v>
      </c>
      <c r="C111" s="317" t="s">
        <v>296</v>
      </c>
    </row>
    <row r="112" spans="1:3" x14ac:dyDescent="0.2">
      <c r="A112" s="319" t="s">
        <v>2038</v>
      </c>
      <c r="B112" s="318">
        <v>0.1</v>
      </c>
      <c r="C112" s="317" t="s">
        <v>296</v>
      </c>
    </row>
    <row r="113" spans="1:3" x14ac:dyDescent="0.2">
      <c r="A113" s="319" t="s">
        <v>1107</v>
      </c>
      <c r="B113" s="318">
        <v>0.1</v>
      </c>
      <c r="C113" s="317" t="s">
        <v>296</v>
      </c>
    </row>
    <row r="114" spans="1:3" x14ac:dyDescent="0.2">
      <c r="A114" s="319" t="s">
        <v>3017</v>
      </c>
      <c r="B114" s="318">
        <v>0.1</v>
      </c>
      <c r="C114" s="317" t="s">
        <v>296</v>
      </c>
    </row>
    <row r="115" spans="1:3" x14ac:dyDescent="0.2">
      <c r="A115" s="319" t="s">
        <v>2043</v>
      </c>
      <c r="B115" s="318">
        <v>0.1</v>
      </c>
      <c r="C115" s="317" t="s">
        <v>296</v>
      </c>
    </row>
    <row r="116" spans="1:3" x14ac:dyDescent="0.2">
      <c r="A116" s="319" t="s">
        <v>2620</v>
      </c>
      <c r="B116" s="318">
        <v>0.1</v>
      </c>
      <c r="C116" s="317" t="s">
        <v>296</v>
      </c>
    </row>
    <row r="117" spans="1:3" x14ac:dyDescent="0.2">
      <c r="A117" s="319" t="s">
        <v>1112</v>
      </c>
      <c r="B117" s="318">
        <v>0.1</v>
      </c>
      <c r="C117" s="317" t="s">
        <v>296</v>
      </c>
    </row>
    <row r="118" spans="1:3" x14ac:dyDescent="0.2">
      <c r="A118" s="319" t="s">
        <v>3333</v>
      </c>
      <c r="B118" s="323">
        <v>0.1</v>
      </c>
      <c r="C118" s="317" t="s">
        <v>296</v>
      </c>
    </row>
    <row r="119" spans="1:3" x14ac:dyDescent="0.2">
      <c r="A119" s="319" t="s">
        <v>3018</v>
      </c>
      <c r="B119" s="318">
        <v>0.1</v>
      </c>
      <c r="C119" s="317" t="s">
        <v>296</v>
      </c>
    </row>
    <row r="120" spans="1:3" x14ac:dyDescent="0.2">
      <c r="A120" s="319" t="s">
        <v>2622</v>
      </c>
      <c r="B120" s="318">
        <v>0.1</v>
      </c>
      <c r="C120" s="317" t="s">
        <v>296</v>
      </c>
    </row>
    <row r="121" spans="1:3" x14ac:dyDescent="0.2">
      <c r="A121" s="319" t="s">
        <v>3334</v>
      </c>
      <c r="B121" s="323">
        <v>0.1</v>
      </c>
      <c r="C121" s="317" t="s">
        <v>296</v>
      </c>
    </row>
    <row r="122" spans="1:3" x14ac:dyDescent="0.2">
      <c r="A122" s="321" t="s">
        <v>789</v>
      </c>
      <c r="B122" s="318">
        <v>0.1</v>
      </c>
      <c r="C122" s="321" t="s">
        <v>296</v>
      </c>
    </row>
    <row r="123" spans="1:3" x14ac:dyDescent="0.2">
      <c r="A123" s="317" t="s">
        <v>2209</v>
      </c>
      <c r="B123" s="318" t="e">
        <f>(EXP((-1/0.1)*DEPTHdrain.s1C)*(1/0.1)*DEPTH.s1C/(1-EXP((-1/0.1)*DEPTH.s1C)))</f>
        <v>#NAME?</v>
      </c>
      <c r="C123" s="321" t="s">
        <v>296</v>
      </c>
    </row>
    <row r="124" spans="1:3" x14ac:dyDescent="0.2">
      <c r="A124" s="317" t="s">
        <v>1385</v>
      </c>
      <c r="B124" s="318" t="e">
        <f>(EXP((-1/0.1)*DEPTHdrain.s1R)*(1/0.1)*DEPTH.s1R/(1-EXP((-1/0.1)*DEPTH.s1R)))</f>
        <v>#NAME?</v>
      </c>
      <c r="C124" s="321" t="s">
        <v>296</v>
      </c>
    </row>
    <row r="125" spans="1:3" x14ac:dyDescent="0.2">
      <c r="A125" s="317" t="s">
        <v>2210</v>
      </c>
      <c r="B125" s="318" t="e">
        <f>(EXP((-1/0.1)*DEPTHdrain.s2C)*(1/0.1)*DEPTH.s2C/(1-EXP((-1/0.1)*DEPTH.s2C)))</f>
        <v>#NAME?</v>
      </c>
      <c r="C125" s="321" t="s">
        <v>296</v>
      </c>
    </row>
    <row r="126" spans="1:3" x14ac:dyDescent="0.2">
      <c r="A126" s="317" t="s">
        <v>1386</v>
      </c>
      <c r="B126" s="318" t="e">
        <f>(EXP((-1/0.1)*DEPTHdrain.s2R)*(1/0.1)*DEPTH.s2R/(1-EXP((-1/0.1)*DEPTH.s2R)))</f>
        <v>#NAME?</v>
      </c>
      <c r="C126" s="321" t="s">
        <v>296</v>
      </c>
    </row>
    <row r="127" spans="1:3" x14ac:dyDescent="0.2">
      <c r="A127" s="317" t="s">
        <v>2211</v>
      </c>
      <c r="B127" s="318" t="e">
        <f>(EXP((-1/0.1)*DEPTHdrain.s3C)*(1/0.1)*DEPTH.s3C/(1-EXP((-1/0.1)*DEPTH.s3C)))</f>
        <v>#NAME?</v>
      </c>
      <c r="C127" s="321" t="s">
        <v>296</v>
      </c>
    </row>
    <row r="128" spans="1:3" x14ac:dyDescent="0.2">
      <c r="A128" s="317" t="s">
        <v>1387</v>
      </c>
      <c r="B128" s="318" t="e">
        <f>(EXP((-1/0.1)*DEPTHdrain.s3R)*(1/0.1)*DEPTH.s3R/(1-EXP((-1/0.1)*DEPTH.s3R)))</f>
        <v>#NAME?</v>
      </c>
      <c r="C128" s="321" t="s">
        <v>296</v>
      </c>
    </row>
    <row r="129" spans="1:3" x14ac:dyDescent="0.2">
      <c r="A129" s="317" t="s">
        <v>3099</v>
      </c>
      <c r="B129" s="318">
        <f>CORRvolat.sA*EXP((-1/0.1)*DEPTH.sA)</f>
        <v>0.77074704126839921</v>
      </c>
      <c r="C129" s="321" t="s">
        <v>296</v>
      </c>
    </row>
    <row r="130" spans="1:3" x14ac:dyDescent="0.2">
      <c r="A130" s="317" t="s">
        <v>2747</v>
      </c>
      <c r="B130" s="318">
        <f>CORRvolat.sM*EXP((-1/0.1)*DEPTH.sM)</f>
        <v>0.77074704126839921</v>
      </c>
      <c r="C130" s="321" t="s">
        <v>296</v>
      </c>
    </row>
    <row r="131" spans="1:3" x14ac:dyDescent="0.2">
      <c r="A131" s="317" t="s">
        <v>3410</v>
      </c>
      <c r="B131" s="318">
        <f>CORRvolat.sT*EXP((-1/0.1)*DEPTH.sT)</f>
        <v>0.77074704126839921</v>
      </c>
      <c r="C131" s="321" t="s">
        <v>296</v>
      </c>
    </row>
    <row r="132" spans="1:3" ht="63.75" x14ac:dyDescent="0.2">
      <c r="A132" s="317" t="s">
        <v>2173</v>
      </c>
      <c r="B132" s="324" t="s">
        <v>4376</v>
      </c>
      <c r="C132" s="321" t="s">
        <v>296</v>
      </c>
    </row>
    <row r="133" spans="1:3" ht="63.75" x14ac:dyDescent="0.2">
      <c r="A133" s="317" t="s">
        <v>1318</v>
      </c>
      <c r="B133" s="324" t="s">
        <v>4377</v>
      </c>
      <c r="C133" s="321" t="s">
        <v>296</v>
      </c>
    </row>
    <row r="134" spans="1:3" ht="63.75" x14ac:dyDescent="0.2">
      <c r="A134" s="317" t="s">
        <v>2174</v>
      </c>
      <c r="B134" s="324" t="s">
        <v>4378</v>
      </c>
      <c r="C134" s="321" t="s">
        <v>296</v>
      </c>
    </row>
    <row r="135" spans="1:3" ht="63.75" x14ac:dyDescent="0.2">
      <c r="A135" s="317" t="s">
        <v>1319</v>
      </c>
      <c r="B135" s="324" t="s">
        <v>4379</v>
      </c>
      <c r="C135" s="321" t="s">
        <v>296</v>
      </c>
    </row>
    <row r="136" spans="1:3" ht="63.75" x14ac:dyDescent="0.2">
      <c r="A136" s="317" t="s">
        <v>2175</v>
      </c>
      <c r="B136" s="324" t="s">
        <v>4380</v>
      </c>
      <c r="C136" s="321" t="s">
        <v>296</v>
      </c>
    </row>
    <row r="137" spans="1:3" ht="63.75" x14ac:dyDescent="0.2">
      <c r="A137" s="317" t="s">
        <v>1320</v>
      </c>
      <c r="B137" s="324" t="s">
        <v>4381</v>
      </c>
      <c r="C137" s="321" t="s">
        <v>296</v>
      </c>
    </row>
    <row r="138" spans="1:3" x14ac:dyDescent="0.2">
      <c r="A138" s="317" t="s">
        <v>3079</v>
      </c>
      <c r="B138" s="318" t="e">
        <f>SURFfrac.sA*CORRvolat.sA+SUBSURFfrac.sA*(EXP((-1/FRACs.sdA)*DEPTHsubsurf.sA*(1/FRACs.sdA)*DEPTH.sA)/(1-EXP((-1/0.1)*DEPTH.sA)))</f>
        <v>#NAME?</v>
      </c>
      <c r="C138" s="321" t="s">
        <v>296</v>
      </c>
    </row>
    <row r="139" spans="1:3" x14ac:dyDescent="0.2">
      <c r="A139" s="317" t="s">
        <v>2717</v>
      </c>
      <c r="B139" s="318" t="e">
        <f>SURFfrac.sM*CORRvolat.sM+SUBSURFfrac.sM*(EXP((-1/FRACs.sdM)*DEPTHsubsurf.sM*(1/FRACs.sdM)*DEPTH.sM)/(1-EXP((-1/0.1)*DEPTH.sM)))</f>
        <v>#NAME?</v>
      </c>
      <c r="C139" s="321" t="s">
        <v>296</v>
      </c>
    </row>
    <row r="140" spans="1:3" x14ac:dyDescent="0.2">
      <c r="A140" s="317" t="s">
        <v>3391</v>
      </c>
      <c r="B140" s="318" t="e">
        <f>SURFfrac.sT*CORRvolat.sT+SUBSURFfrac.sT*(EXP((-1/FRACs.sdT)*DEPTHsubsurf.sT*(1/FRACs.sdT)*DEPTH.sT)/(1-EXP((-1/0.1)*DEPTH.sT)))</f>
        <v>#NAME?</v>
      </c>
      <c r="C140" s="321" t="s">
        <v>296</v>
      </c>
    </row>
    <row r="141" spans="1:3" x14ac:dyDescent="0.2">
      <c r="A141" s="317" t="s">
        <v>2131</v>
      </c>
      <c r="B141" s="318">
        <f>(1/0.1)*DEPTH.s1C/(1-EXP((-1/0.1)*DEPTH.s1C))</f>
        <v>1.2707470412683992</v>
      </c>
      <c r="C141" s="321" t="s">
        <v>296</v>
      </c>
    </row>
    <row r="142" spans="1:3" x14ac:dyDescent="0.2">
      <c r="A142" s="317" t="s">
        <v>1237</v>
      </c>
      <c r="B142" s="318">
        <f>(1/0.1)*DEPTH.s1R/(1-EXP((-1/0.1)*DEPTH.s1R))</f>
        <v>1.2707470412683992</v>
      </c>
      <c r="C142" s="321" t="s">
        <v>296</v>
      </c>
    </row>
    <row r="143" spans="1:3" x14ac:dyDescent="0.2">
      <c r="A143" s="317" t="s">
        <v>2132</v>
      </c>
      <c r="B143" s="318">
        <f>(1/0.1)*DEPTH.s2C/(1-EXP((-1/0.1)*DEPTH.s2C))</f>
        <v>2.3130352854993315</v>
      </c>
      <c r="C143" s="321" t="s">
        <v>296</v>
      </c>
    </row>
    <row r="144" spans="1:3" x14ac:dyDescent="0.2">
      <c r="A144" s="317" t="s">
        <v>1239</v>
      </c>
      <c r="B144" s="318">
        <f>(1/0.1)*DEPTH.s2R/(1-EXP((-1/0.1)*DEPTH.s2R))</f>
        <v>2.3130352854993315</v>
      </c>
      <c r="C144" s="321" t="s">
        <v>296</v>
      </c>
    </row>
    <row r="145" spans="1:3" x14ac:dyDescent="0.2">
      <c r="A145" s="317" t="s">
        <v>2133</v>
      </c>
      <c r="B145" s="318">
        <f>(1/0.1)*DEPTH.s3C/(1-EXP((-1/0.1)*DEPTH.s3C))</f>
        <v>1.2707470412683992</v>
      </c>
      <c r="C145" s="321" t="s">
        <v>296</v>
      </c>
    </row>
    <row r="146" spans="1:3" x14ac:dyDescent="0.2">
      <c r="A146" s="317" t="s">
        <v>1240</v>
      </c>
      <c r="B146" s="318">
        <f>(1/0.1)*DEPTH.s3R/(1-EXP((-1/0.1)*DEPTH.s3R))</f>
        <v>1.2707470412683992</v>
      </c>
      <c r="C146" s="321" t="s">
        <v>296</v>
      </c>
    </row>
    <row r="147" spans="1:3" x14ac:dyDescent="0.2">
      <c r="A147" s="317" t="s">
        <v>3061</v>
      </c>
      <c r="B147" s="318">
        <f>(1/0.1)*DEPTH.sA/(1-EXP((-1/0.1)*DEPTH.sA))</f>
        <v>1.2707470412683992</v>
      </c>
      <c r="C147" s="321" t="s">
        <v>296</v>
      </c>
    </row>
    <row r="148" spans="1:3" x14ac:dyDescent="0.2">
      <c r="A148" s="317" t="s">
        <v>2689</v>
      </c>
      <c r="B148" s="318">
        <f>(1/0.1)*DEPTH.sM/(1-EXP((-1/0.1)*DEPTH.sM))</f>
        <v>1.2707470412683992</v>
      </c>
      <c r="C148" s="321" t="s">
        <v>296</v>
      </c>
    </row>
    <row r="149" spans="1:3" x14ac:dyDescent="0.2">
      <c r="A149" s="317" t="s">
        <v>3375</v>
      </c>
      <c r="B149" s="318">
        <f>(1/0.1)*DEPTH.sT/(1-EXP((-1/0.1)*DEPTH.sT))</f>
        <v>1.2707470412683992</v>
      </c>
      <c r="C149" s="321" t="s">
        <v>296</v>
      </c>
    </row>
    <row r="150" spans="1:3" ht="38.25" x14ac:dyDescent="0.2">
      <c r="A150" s="317" t="s">
        <v>550</v>
      </c>
      <c r="B150" s="324" t="s">
        <v>4382</v>
      </c>
      <c r="C150" s="317" t="s">
        <v>296</v>
      </c>
    </row>
    <row r="151" spans="1:3" ht="15" x14ac:dyDescent="0.2">
      <c r="A151" s="317" t="s">
        <v>4383</v>
      </c>
      <c r="B151" s="318">
        <f>(KDEPmean.A*HEIGHT.aA)*(SYSTEMAREA.A*AREAFRAC.sA)</f>
        <v>136287040991.93057</v>
      </c>
      <c r="C151" s="321" t="s">
        <v>1065</v>
      </c>
    </row>
    <row r="152" spans="1:3" ht="15" x14ac:dyDescent="0.2">
      <c r="A152" s="317" t="s">
        <v>4384</v>
      </c>
      <c r="B152" s="318">
        <f>(KDEPmean.A*HEIGHT.aA)*(SYSTEMAREA.A*AREAFRAC.wA)</f>
        <v>204430561487.89584</v>
      </c>
      <c r="C152" s="321" t="s">
        <v>1065</v>
      </c>
    </row>
    <row r="153" spans="1:3" ht="15" x14ac:dyDescent="0.2">
      <c r="A153" s="317" t="s">
        <v>4385</v>
      </c>
      <c r="B153" s="318" t="e">
        <f>(KDEPmean.C*HEIGHT.aC)*(SYSTEMAREA.C*AREAFRAC.s1C)</f>
        <v>#NAME?</v>
      </c>
      <c r="C153" s="317" t="s">
        <v>1065</v>
      </c>
    </row>
    <row r="154" spans="1:3" ht="15" x14ac:dyDescent="0.2">
      <c r="A154" s="317" t="s">
        <v>4386</v>
      </c>
      <c r="B154" s="318" t="e">
        <f>(KDEPmean.C*HEIGHT.aC)*(SYSTEMAREA.C*AREAFRAC.s2C)</f>
        <v>#NAME?</v>
      </c>
      <c r="C154" s="317" t="s">
        <v>1065</v>
      </c>
    </row>
    <row r="155" spans="1:3" ht="15" x14ac:dyDescent="0.2">
      <c r="A155" s="317" t="s">
        <v>4387</v>
      </c>
      <c r="B155" s="318" t="e">
        <f>(KDEPmean.C*HEIGHT.aC)*(SYSTEMAREA.C*AREAFRAC.s3C)</f>
        <v>#NAME?</v>
      </c>
      <c r="C155" s="317" t="s">
        <v>1065</v>
      </c>
    </row>
    <row r="156" spans="1:3" ht="15" x14ac:dyDescent="0.2">
      <c r="A156" s="317" t="s">
        <v>4388</v>
      </c>
      <c r="B156" s="318" t="e">
        <f>(KDEPmean.C*HEIGHT.aC)*(SYSTEMAREA.C*AREAFRAC.w0C)</f>
        <v>#NAME?</v>
      </c>
      <c r="C156" s="317" t="s">
        <v>1065</v>
      </c>
    </row>
    <row r="157" spans="1:3" ht="15" x14ac:dyDescent="0.2">
      <c r="A157" s="317" t="s">
        <v>4389</v>
      </c>
      <c r="B157" s="318" t="e">
        <f>(KDEPmean.C*HEIGHT.aC)*(SYSTEMAREA.C*AREAFRAC.w1C)</f>
        <v>#NAME?</v>
      </c>
      <c r="C157" s="317" t="s">
        <v>1065</v>
      </c>
    </row>
    <row r="158" spans="1:3" ht="15" x14ac:dyDescent="0.2">
      <c r="A158" s="317" t="s">
        <v>4390</v>
      </c>
      <c r="B158" s="318" t="e">
        <f>(KDEPmean.C*HEIGHT.aC)*(SYSTEMAREA.C*AREAFRAC.w2C)</f>
        <v>#NAME?</v>
      </c>
      <c r="C158" s="317" t="s">
        <v>1065</v>
      </c>
    </row>
    <row r="159" spans="1:3" ht="15" x14ac:dyDescent="0.2">
      <c r="A159" s="317" t="s">
        <v>4391</v>
      </c>
      <c r="B159" s="318">
        <f>(KDEPmean.M*HEIGHT.aM)*(SYSTEMAREA.M*AREAFRAC.sM)</f>
        <v>306734653218.51788</v>
      </c>
      <c r="C159" s="321" t="s">
        <v>1065</v>
      </c>
    </row>
    <row r="160" spans="1:3" ht="15" x14ac:dyDescent="0.2">
      <c r="A160" s="317" t="s">
        <v>4392</v>
      </c>
      <c r="B160" s="318">
        <f>(KDEPmean.M*HEIGHT.aM)*(SYSTEMAREA.M*AREAFRAC.wM)</f>
        <v>306734653218.51788</v>
      </c>
      <c r="C160" s="321" t="s">
        <v>1065</v>
      </c>
    </row>
    <row r="161" spans="1:3" ht="15" x14ac:dyDescent="0.2">
      <c r="A161" s="317" t="s">
        <v>4393</v>
      </c>
      <c r="B161" s="325" t="e">
        <f>(KDEPmean.R*HEIGHT.aR)*(SYSTEMAREA.R*AREAFRAC.s1R)</f>
        <v>#NAME?</v>
      </c>
      <c r="C161" s="317" t="s">
        <v>1065</v>
      </c>
    </row>
    <row r="162" spans="1:3" ht="15" x14ac:dyDescent="0.2">
      <c r="A162" s="317" t="s">
        <v>4394</v>
      </c>
      <c r="B162" s="325" t="e">
        <f>(KDEPmean.R*HEIGHT.aR)*(SYSTEMAREA.R*AREAFRAC.s2R)</f>
        <v>#NAME?</v>
      </c>
      <c r="C162" s="317" t="s">
        <v>1065</v>
      </c>
    </row>
    <row r="163" spans="1:3" ht="15" x14ac:dyDescent="0.2">
      <c r="A163" s="317" t="s">
        <v>4395</v>
      </c>
      <c r="B163" s="325" t="e">
        <f>(KDEPmean.R*HEIGHT.aR)*(SYSTEMAREA.R*AREAFRAC.s3R)</f>
        <v>#NAME?</v>
      </c>
      <c r="C163" s="317" t="s">
        <v>1065</v>
      </c>
    </row>
    <row r="164" spans="1:3" ht="15" x14ac:dyDescent="0.2">
      <c r="A164" s="317" t="s">
        <v>4396</v>
      </c>
      <c r="B164" s="325" t="e">
        <f>(KDEPmean.R*HEIGHT.aR)*(SYSTEMAREA.R*AREAFRAC.w0R)</f>
        <v>#NAME?</v>
      </c>
      <c r="C164" s="317" t="s">
        <v>1065</v>
      </c>
    </row>
    <row r="165" spans="1:3" ht="15" x14ac:dyDescent="0.2">
      <c r="A165" s="317" t="s">
        <v>4397</v>
      </c>
      <c r="B165" s="325" t="e">
        <f>(KDEPmean.R*HEIGHT.aR)*(SYSTEMAREA.R*AREAFRAC.w1R)</f>
        <v>#NAME?</v>
      </c>
      <c r="C165" s="317" t="s">
        <v>1065</v>
      </c>
    </row>
    <row r="166" spans="1:3" ht="15" x14ac:dyDescent="0.2">
      <c r="A166" s="317" t="s">
        <v>4398</v>
      </c>
      <c r="B166" s="325" t="e">
        <f>(KDEPmean.R*HEIGHT.aR)*(SYSTEMAREA.R*AREAFRAC.w2R)</f>
        <v>#NAME?</v>
      </c>
      <c r="C166" s="317" t="s">
        <v>1065</v>
      </c>
    </row>
    <row r="167" spans="1:3" ht="15" x14ac:dyDescent="0.2">
      <c r="A167" s="317" t="s">
        <v>4399</v>
      </c>
      <c r="B167" s="318">
        <f>(KDEPmean.T*HEIGHT.aT)*(SYSTEMAREA.T*AREAFRAC.sT)</f>
        <v>309305706614.81989</v>
      </c>
      <c r="C167" s="321" t="s">
        <v>1065</v>
      </c>
    </row>
    <row r="168" spans="1:3" ht="15" x14ac:dyDescent="0.2">
      <c r="A168" s="317" t="s">
        <v>4400</v>
      </c>
      <c r="B168" s="318">
        <f>(KDEPmean.T*HEIGHT.aT)*(SYSTEMAREA.T*AREAFRAC.wT)</f>
        <v>721713315434.57959</v>
      </c>
      <c r="C168" s="321" t="s">
        <v>1065</v>
      </c>
    </row>
    <row r="169" spans="1:3" x14ac:dyDescent="0.2">
      <c r="A169" s="319" t="s">
        <v>1963</v>
      </c>
      <c r="B169" s="318">
        <v>0.05</v>
      </c>
      <c r="C169" s="321" t="s">
        <v>820</v>
      </c>
    </row>
    <row r="170" spans="1:3" x14ac:dyDescent="0.2">
      <c r="A170" s="319" t="s">
        <v>1010</v>
      </c>
      <c r="B170" s="321">
        <v>0.05</v>
      </c>
      <c r="C170" s="317" t="s">
        <v>820</v>
      </c>
    </row>
    <row r="171" spans="1:3" x14ac:dyDescent="0.2">
      <c r="A171" s="319" t="s">
        <v>1965</v>
      </c>
      <c r="B171" s="318">
        <v>0.2</v>
      </c>
      <c r="C171" s="321" t="s">
        <v>820</v>
      </c>
    </row>
    <row r="172" spans="1:3" x14ac:dyDescent="0.2">
      <c r="A172" s="319" t="s">
        <v>1012</v>
      </c>
      <c r="B172" s="321">
        <v>0.2</v>
      </c>
      <c r="C172" s="317" t="s">
        <v>820</v>
      </c>
    </row>
    <row r="173" spans="1:3" x14ac:dyDescent="0.2">
      <c r="A173" s="319" t="s">
        <v>1966</v>
      </c>
      <c r="B173" s="318">
        <v>0.05</v>
      </c>
      <c r="C173" s="321" t="s">
        <v>820</v>
      </c>
    </row>
    <row r="174" spans="1:3" x14ac:dyDescent="0.2">
      <c r="A174" s="319" t="s">
        <v>1014</v>
      </c>
      <c r="B174" s="321">
        <v>0.05</v>
      </c>
      <c r="C174" s="317" t="s">
        <v>820</v>
      </c>
    </row>
    <row r="175" spans="1:3" x14ac:dyDescent="0.2">
      <c r="A175" s="319" t="s">
        <v>2979</v>
      </c>
      <c r="B175" s="318">
        <v>0.05</v>
      </c>
      <c r="C175" s="317" t="s">
        <v>820</v>
      </c>
    </row>
    <row r="176" spans="1:3" x14ac:dyDescent="0.2">
      <c r="A176" s="319" t="s">
        <v>1961</v>
      </c>
      <c r="B176" s="318">
        <v>3</v>
      </c>
      <c r="C176" s="321" t="s">
        <v>1004</v>
      </c>
    </row>
    <row r="177" spans="1:3" x14ac:dyDescent="0.2">
      <c r="A177" s="319" t="s">
        <v>1006</v>
      </c>
      <c r="B177" s="318">
        <v>3</v>
      </c>
      <c r="C177" s="317" t="s">
        <v>1004</v>
      </c>
    </row>
    <row r="178" spans="1:3" x14ac:dyDescent="0.2">
      <c r="A178" s="319" t="s">
        <v>1962</v>
      </c>
      <c r="B178" s="318">
        <v>3</v>
      </c>
      <c r="C178" s="321" t="s">
        <v>1004</v>
      </c>
    </row>
    <row r="179" spans="1:3" x14ac:dyDescent="0.2">
      <c r="A179" s="319" t="s">
        <v>1008</v>
      </c>
      <c r="B179" s="318">
        <v>3</v>
      </c>
      <c r="C179" s="317" t="s">
        <v>1004</v>
      </c>
    </row>
    <row r="180" spans="1:3" x14ac:dyDescent="0.2">
      <c r="A180" s="319" t="s">
        <v>2978</v>
      </c>
      <c r="B180" s="318">
        <v>3</v>
      </c>
      <c r="C180" s="317" t="s">
        <v>1004</v>
      </c>
    </row>
    <row r="181" spans="1:3" x14ac:dyDescent="0.2">
      <c r="A181" s="319" t="s">
        <v>2554</v>
      </c>
      <c r="B181" s="318">
        <v>3</v>
      </c>
      <c r="C181" s="317" t="s">
        <v>1004</v>
      </c>
    </row>
    <row r="182" spans="1:3" x14ac:dyDescent="0.2">
      <c r="A182" s="319" t="s">
        <v>3297</v>
      </c>
      <c r="B182" s="321">
        <v>3</v>
      </c>
      <c r="C182" s="317" t="s">
        <v>1004</v>
      </c>
    </row>
    <row r="183" spans="1:3" x14ac:dyDescent="0.2">
      <c r="A183" s="319" t="s">
        <v>2556</v>
      </c>
      <c r="B183" s="318">
        <v>0.05</v>
      </c>
      <c r="C183" s="317" t="s">
        <v>820</v>
      </c>
    </row>
    <row r="184" spans="1:3" x14ac:dyDescent="0.2">
      <c r="A184" s="319" t="s">
        <v>3298</v>
      </c>
      <c r="B184" s="318">
        <v>0.05</v>
      </c>
      <c r="C184" s="317" t="s">
        <v>820</v>
      </c>
    </row>
    <row r="185" spans="1:3" x14ac:dyDescent="0.2">
      <c r="A185" s="319" t="s">
        <v>1956</v>
      </c>
      <c r="B185" s="318">
        <f>DEPTHlake.C</f>
        <v>100</v>
      </c>
      <c r="C185" s="317" t="s">
        <v>820</v>
      </c>
    </row>
    <row r="186" spans="1:3" x14ac:dyDescent="0.2">
      <c r="A186" s="319" t="s">
        <v>997</v>
      </c>
      <c r="B186" s="318">
        <f>DEPTHlake.R</f>
        <v>100</v>
      </c>
      <c r="C186" s="317" t="s">
        <v>820</v>
      </c>
    </row>
    <row r="187" spans="1:3" x14ac:dyDescent="0.2">
      <c r="A187" s="319" t="s">
        <v>1957</v>
      </c>
      <c r="B187" s="318">
        <f>DEPTHfreshwater.C</f>
        <v>3</v>
      </c>
      <c r="C187" s="321" t="s">
        <v>820</v>
      </c>
    </row>
    <row r="188" spans="1:3" x14ac:dyDescent="0.2">
      <c r="A188" s="319" t="s">
        <v>999</v>
      </c>
      <c r="B188" s="318">
        <f>DEPTHfreshwater.R</f>
        <v>3</v>
      </c>
      <c r="C188" s="317" t="s">
        <v>820</v>
      </c>
    </row>
    <row r="189" spans="1:3" x14ac:dyDescent="0.2">
      <c r="A189" s="319" t="s">
        <v>2975</v>
      </c>
      <c r="B189" s="318">
        <v>100</v>
      </c>
      <c r="C189" s="317" t="s">
        <v>820</v>
      </c>
    </row>
    <row r="190" spans="1:3" x14ac:dyDescent="0.2">
      <c r="A190" s="319" t="s">
        <v>1958</v>
      </c>
      <c r="B190" s="318">
        <v>100</v>
      </c>
      <c r="C190" s="321" t="s">
        <v>820</v>
      </c>
    </row>
    <row r="191" spans="1:3" x14ac:dyDescent="0.2">
      <c r="A191" s="319" t="s">
        <v>2550</v>
      </c>
      <c r="B191" s="318">
        <v>100</v>
      </c>
      <c r="C191" s="317" t="s">
        <v>820</v>
      </c>
    </row>
    <row r="192" spans="1:3" x14ac:dyDescent="0.2">
      <c r="A192" s="319" t="s">
        <v>1001</v>
      </c>
      <c r="B192" s="318">
        <v>10</v>
      </c>
      <c r="C192" s="317" t="s">
        <v>820</v>
      </c>
    </row>
    <row r="193" spans="1:3" x14ac:dyDescent="0.2">
      <c r="A193" s="319" t="s">
        <v>3295</v>
      </c>
      <c r="B193" s="321">
        <v>100</v>
      </c>
      <c r="C193" s="317" t="s">
        <v>820</v>
      </c>
    </row>
    <row r="194" spans="1:3" x14ac:dyDescent="0.2">
      <c r="A194" s="319" t="s">
        <v>2977</v>
      </c>
      <c r="B194" s="318">
        <v>3000</v>
      </c>
      <c r="C194" s="317" t="s">
        <v>820</v>
      </c>
    </row>
    <row r="195" spans="1:3" x14ac:dyDescent="0.2">
      <c r="A195" s="319" t="s">
        <v>2552</v>
      </c>
      <c r="B195" s="318">
        <v>3000</v>
      </c>
      <c r="C195" s="317" t="s">
        <v>820</v>
      </c>
    </row>
    <row r="196" spans="1:3" x14ac:dyDescent="0.2">
      <c r="A196" s="319" t="s">
        <v>3296</v>
      </c>
      <c r="B196" s="318">
        <v>3000</v>
      </c>
      <c r="C196" s="317" t="s">
        <v>820</v>
      </c>
    </row>
    <row r="197" spans="1:3" x14ac:dyDescent="0.2">
      <c r="A197" s="317" t="s">
        <v>4401</v>
      </c>
      <c r="B197" s="318">
        <v>0.5</v>
      </c>
      <c r="C197" s="319" t="s">
        <v>820</v>
      </c>
    </row>
    <row r="198" spans="1:3" x14ac:dyDescent="0.2">
      <c r="A198" s="317" t="s">
        <v>4402</v>
      </c>
      <c r="B198" s="318">
        <v>0.5</v>
      </c>
      <c r="C198" s="319" t="s">
        <v>820</v>
      </c>
    </row>
    <row r="199" spans="1:3" x14ac:dyDescent="0.2">
      <c r="A199" s="317" t="s">
        <v>4403</v>
      </c>
      <c r="B199" s="318">
        <v>0.5</v>
      </c>
      <c r="C199" s="319" t="s">
        <v>820</v>
      </c>
    </row>
    <row r="200" spans="1:3" x14ac:dyDescent="0.2">
      <c r="A200" s="317" t="s">
        <v>4404</v>
      </c>
      <c r="B200" s="318">
        <v>0.5</v>
      </c>
      <c r="C200" s="319" t="s">
        <v>820</v>
      </c>
    </row>
    <row r="201" spans="1:3" x14ac:dyDescent="0.2">
      <c r="A201" s="317" t="s">
        <v>4405</v>
      </c>
      <c r="B201" s="318">
        <v>0.5</v>
      </c>
      <c r="C201" s="319" t="s">
        <v>820</v>
      </c>
    </row>
    <row r="202" spans="1:3" x14ac:dyDescent="0.2">
      <c r="A202" s="317" t="s">
        <v>4406</v>
      </c>
      <c r="B202" s="318">
        <v>0.5</v>
      </c>
      <c r="C202" s="319" t="s">
        <v>820</v>
      </c>
    </row>
    <row r="203" spans="1:3" x14ac:dyDescent="0.2">
      <c r="A203" s="321" t="s">
        <v>750</v>
      </c>
      <c r="B203" s="321">
        <v>3</v>
      </c>
      <c r="C203" s="321" t="s">
        <v>284</v>
      </c>
    </row>
    <row r="204" spans="1:3" x14ac:dyDescent="0.2">
      <c r="A204" s="321" t="s">
        <v>704</v>
      </c>
      <c r="B204" s="321">
        <v>3</v>
      </c>
      <c r="C204" s="321" t="s">
        <v>284</v>
      </c>
    </row>
    <row r="205" spans="1:3" x14ac:dyDescent="0.2">
      <c r="A205" s="321" t="s">
        <v>749</v>
      </c>
      <c r="B205" s="321">
        <v>100</v>
      </c>
      <c r="C205" s="321" t="s">
        <v>284</v>
      </c>
    </row>
    <row r="206" spans="1:3" x14ac:dyDescent="0.2">
      <c r="A206" s="321" t="s">
        <v>702</v>
      </c>
      <c r="B206" s="321">
        <v>100</v>
      </c>
      <c r="C206" s="321" t="s">
        <v>284</v>
      </c>
    </row>
    <row r="207" spans="1:3" x14ac:dyDescent="0.2">
      <c r="A207" s="317" t="s">
        <v>4407</v>
      </c>
      <c r="B207" s="318">
        <v>0.1</v>
      </c>
      <c r="C207" s="319" t="s">
        <v>820</v>
      </c>
    </row>
    <row r="208" spans="1:3" x14ac:dyDescent="0.2">
      <c r="A208" s="317" t="s">
        <v>4408</v>
      </c>
      <c r="B208" s="318">
        <v>0.1</v>
      </c>
      <c r="C208" s="319" t="s">
        <v>820</v>
      </c>
    </row>
    <row r="209" spans="1:3" x14ac:dyDescent="0.2">
      <c r="A209" s="317" t="s">
        <v>4409</v>
      </c>
      <c r="B209" s="318">
        <v>0.1</v>
      </c>
      <c r="C209" s="319" t="s">
        <v>820</v>
      </c>
    </row>
    <row r="210" spans="1:3" x14ac:dyDescent="0.2">
      <c r="A210" s="317" t="s">
        <v>4410</v>
      </c>
      <c r="B210" s="318">
        <v>0.1</v>
      </c>
      <c r="C210" s="319" t="s">
        <v>820</v>
      </c>
    </row>
    <row r="211" spans="1:3" x14ac:dyDescent="0.2">
      <c r="A211" s="317" t="s">
        <v>4411</v>
      </c>
      <c r="B211" s="318">
        <v>0.1</v>
      </c>
      <c r="C211" s="319" t="s">
        <v>820</v>
      </c>
    </row>
    <row r="212" spans="1:3" x14ac:dyDescent="0.2">
      <c r="A212" s="317" t="s">
        <v>4412</v>
      </c>
      <c r="B212" s="318">
        <v>0.1</v>
      </c>
      <c r="C212" s="319" t="s">
        <v>820</v>
      </c>
    </row>
    <row r="213" spans="1:3" x14ac:dyDescent="0.2">
      <c r="A213" s="317" t="s">
        <v>4413</v>
      </c>
      <c r="B213" s="318">
        <v>0.1</v>
      </c>
      <c r="C213" s="317" t="s">
        <v>296</v>
      </c>
    </row>
    <row r="214" spans="1:3" x14ac:dyDescent="0.2">
      <c r="A214" s="317" t="s">
        <v>4414</v>
      </c>
      <c r="B214" s="318">
        <v>0.1</v>
      </c>
      <c r="C214" s="317" t="s">
        <v>296</v>
      </c>
    </row>
    <row r="215" spans="1:3" x14ac:dyDescent="0.2">
      <c r="A215" s="317" t="s">
        <v>4415</v>
      </c>
      <c r="B215" s="318">
        <v>0.1</v>
      </c>
      <c r="C215" s="317" t="s">
        <v>296</v>
      </c>
    </row>
    <row r="216" spans="1:3" ht="15" x14ac:dyDescent="0.2">
      <c r="A216" s="317" t="s">
        <v>4416</v>
      </c>
      <c r="B216" s="318">
        <f>((kwsd.water.wC*kwsd.sed.sdC)/(kwsd.water.wC+kwsd.sed.sdC))/Ksdw1.C*(SYSTEMAREA.C*AREAFRAC.w1C)</f>
        <v>102.19538982270321</v>
      </c>
      <c r="C216" s="317" t="s">
        <v>1065</v>
      </c>
    </row>
    <row r="217" spans="1:3" ht="15" x14ac:dyDescent="0.2">
      <c r="A217" s="317" t="s">
        <v>4417</v>
      </c>
      <c r="B217" s="318">
        <f>((kwsd.water.wR*kwsd.sed.sdR)/(kwsd.water.wR+kwsd.sed.sdR))/Ksdw1.R*(SYSTEMAREA.R*AREAFRAC.w1R)</f>
        <v>6.7010534768593155</v>
      </c>
      <c r="C217" s="317" t="s">
        <v>1065</v>
      </c>
    </row>
    <row r="218" spans="1:3" ht="15" x14ac:dyDescent="0.2">
      <c r="A218" s="317" t="s">
        <v>4418</v>
      </c>
      <c r="B218" s="318">
        <f>((kwsd.water.wC*kwsd.sed.sdC)/(kwsd.water.wC+kwsd.sed.sdC))/Ksdw2.C*(SYSTEMAREA.C*AREAFRAC.w2C)</f>
        <v>3958.8045820861162</v>
      </c>
      <c r="C218" s="317" t="s">
        <v>1065</v>
      </c>
    </row>
    <row r="219" spans="1:3" ht="15" x14ac:dyDescent="0.2">
      <c r="A219" s="317" t="s">
        <v>4419</v>
      </c>
      <c r="B219" s="318">
        <f>((kwsd.water.wR*kwsd.sed.sdR)/(kwsd.water.wR+kwsd.sed.sdR))/Ksdw2.R*(SYSTEMAREA.R*AREAFRAC.w2R)</f>
        <v>1.0660833525213</v>
      </c>
      <c r="C219" s="317" t="s">
        <v>1065</v>
      </c>
    </row>
    <row r="220" spans="1:3" ht="15" x14ac:dyDescent="0.2">
      <c r="A220" s="317" t="s">
        <v>4420</v>
      </c>
      <c r="B220" s="318">
        <f>((kwsd.water.wA*kwsd.sed.sdA)/(kwsd.water.wA+kwsd.sed.sdA))/Ksdw.A*(SYSTEMAREA.A*AREAFRAC.wA)</f>
        <v>27185.125489293117</v>
      </c>
      <c r="C220" s="321" t="s">
        <v>1065</v>
      </c>
    </row>
    <row r="221" spans="1:3" ht="15" x14ac:dyDescent="0.2">
      <c r="A221" s="317" t="s">
        <v>4421</v>
      </c>
      <c r="B221" s="318">
        <f>((kwsd.water.wM*kwsd.sed.sdM)/(kwsd.water.wM+kwsd.sed.sdM))/Ksdw.M*(SYSTEMAREA.M*AREAFRAC.wM)</f>
        <v>41348.67181671656</v>
      </c>
      <c r="C221" s="321" t="s">
        <v>1065</v>
      </c>
    </row>
    <row r="222" spans="1:3" ht="15" x14ac:dyDescent="0.2">
      <c r="A222" s="317" t="s">
        <v>4422</v>
      </c>
      <c r="B222" s="318">
        <f>((kwsd.water.wT*kwsd.sed.sdT)/(kwsd.water.wT+kwsd.sed.sdT))/Ksdw.T*(SYSTEMAREA.T*AREAFRAC.wT)</f>
        <v>95147.939212525918</v>
      </c>
      <c r="C222" s="321" t="s">
        <v>1065</v>
      </c>
    </row>
    <row r="223" spans="1:3" ht="15" x14ac:dyDescent="0.2">
      <c r="A223" s="317" t="s">
        <v>783</v>
      </c>
      <c r="B223" s="321">
        <f>0.0000257*SQRT(18)/SQRT(Molweight*1000)</f>
        <v>1.5842781631137075E-5</v>
      </c>
      <c r="C223" s="319" t="s">
        <v>784</v>
      </c>
    </row>
    <row r="224" spans="1:3" ht="15" x14ac:dyDescent="0.2">
      <c r="A224" s="317" t="s">
        <v>787</v>
      </c>
      <c r="B224" s="321">
        <f>0.000000002*SQRT(32)/SQRT(Molweight*1000)</f>
        <v>1.6438683923358837E-9</v>
      </c>
      <c r="C224" s="319" t="s">
        <v>784</v>
      </c>
    </row>
    <row r="225" spans="1:3" x14ac:dyDescent="0.2">
      <c r="A225" s="317" t="s">
        <v>4423</v>
      </c>
      <c r="B225" s="318">
        <v>0.25</v>
      </c>
      <c r="C225" s="317" t="s">
        <v>296</v>
      </c>
    </row>
    <row r="226" spans="1:3" x14ac:dyDescent="0.2">
      <c r="A226" s="317" t="s">
        <v>4424</v>
      </c>
      <c r="B226" s="318">
        <v>0.25</v>
      </c>
      <c r="C226" s="317" t="s">
        <v>296</v>
      </c>
    </row>
    <row r="227" spans="1:3" x14ac:dyDescent="0.2">
      <c r="A227" s="317" t="s">
        <v>4425</v>
      </c>
      <c r="B227" s="318">
        <v>0.25</v>
      </c>
      <c r="C227" s="317" t="s">
        <v>296</v>
      </c>
    </row>
    <row r="228" spans="1:3" x14ac:dyDescent="0.2">
      <c r="A228" s="317" t="s">
        <v>4426</v>
      </c>
      <c r="B228" s="318">
        <v>0.25</v>
      </c>
      <c r="C228" s="317" t="s">
        <v>296</v>
      </c>
    </row>
    <row r="229" spans="1:3" x14ac:dyDescent="0.2">
      <c r="A229" s="317" t="s">
        <v>4427</v>
      </c>
      <c r="B229" s="318">
        <v>0.25</v>
      </c>
      <c r="C229" s="317" t="s">
        <v>296</v>
      </c>
    </row>
    <row r="230" spans="1:3" x14ac:dyDescent="0.2">
      <c r="A230" s="317" t="s">
        <v>4428</v>
      </c>
      <c r="B230" s="318">
        <v>0.25</v>
      </c>
      <c r="C230" s="317" t="s">
        <v>296</v>
      </c>
    </row>
    <row r="231" spans="1:3" ht="15" x14ac:dyDescent="0.2">
      <c r="A231" s="319" t="s">
        <v>3046</v>
      </c>
      <c r="B231" s="318">
        <f>AEROSOLdeprate.A*(FRaerw.aA+FRaers.aA)</f>
        <v>9.9999999999957675E-4</v>
      </c>
      <c r="C231" s="320" t="s">
        <v>1202</v>
      </c>
    </row>
    <row r="232" spans="1:3" ht="15" x14ac:dyDescent="0.2">
      <c r="A232" s="319" t="s">
        <v>2108</v>
      </c>
      <c r="B232" s="318">
        <f>AEROSOLdeprate.C*(FRaerw.aC+FRaers.aC)</f>
        <v>9.9999999999957675E-4</v>
      </c>
      <c r="C232" s="319" t="s">
        <v>1202</v>
      </c>
    </row>
    <row r="233" spans="1:3" ht="15" x14ac:dyDescent="0.2">
      <c r="A233" s="319" t="s">
        <v>2669</v>
      </c>
      <c r="B233" s="318">
        <f>AEROSOLdeprate.M*(FRaerw.aM+FRaers.aM)</f>
        <v>9.9999999999957675E-4</v>
      </c>
      <c r="C233" s="320" t="s">
        <v>1202</v>
      </c>
    </row>
    <row r="234" spans="1:3" ht="15" x14ac:dyDescent="0.2">
      <c r="A234" s="319" t="s">
        <v>1201</v>
      </c>
      <c r="B234" s="318">
        <f>AEROSOLdeprate.R*(FRaerw.aR+FRaers.aR)</f>
        <v>9.9999999999957675E-4</v>
      </c>
      <c r="C234" s="319" t="s">
        <v>1202</v>
      </c>
    </row>
    <row r="235" spans="1:3" ht="15" x14ac:dyDescent="0.2">
      <c r="A235" s="319" t="s">
        <v>3359</v>
      </c>
      <c r="B235" s="318">
        <f>AEROSOLdeprate.T*(FRaerw.aT+FRaers.aT)</f>
        <v>9.9999999999832211E-4</v>
      </c>
      <c r="C235" s="320" t="s">
        <v>1202</v>
      </c>
    </row>
    <row r="236" spans="1:3" ht="15" x14ac:dyDescent="0.2">
      <c r="A236" s="317" t="s">
        <v>4429</v>
      </c>
      <c r="B236" s="321">
        <v>0</v>
      </c>
      <c r="C236" s="317" t="s">
        <v>494</v>
      </c>
    </row>
    <row r="237" spans="1:3" ht="15" x14ac:dyDescent="0.2">
      <c r="A237" s="317" t="s">
        <v>4430</v>
      </c>
      <c r="B237" s="321">
        <v>0</v>
      </c>
      <c r="C237" s="317" t="s">
        <v>494</v>
      </c>
    </row>
    <row r="238" spans="1:3" ht="15" x14ac:dyDescent="0.2">
      <c r="A238" s="317" t="s">
        <v>4431</v>
      </c>
      <c r="B238" s="321">
        <v>0</v>
      </c>
      <c r="C238" s="317" t="s">
        <v>494</v>
      </c>
    </row>
    <row r="239" spans="1:3" ht="15" x14ac:dyDescent="0.2">
      <c r="A239" s="317" t="s">
        <v>4432</v>
      </c>
      <c r="B239" s="321">
        <v>10000</v>
      </c>
      <c r="C239" s="317" t="s">
        <v>494</v>
      </c>
    </row>
    <row r="240" spans="1:3" ht="15" x14ac:dyDescent="0.2">
      <c r="A240" s="317" t="s">
        <v>4433</v>
      </c>
      <c r="B240" s="321">
        <v>0</v>
      </c>
      <c r="C240" s="317" t="s">
        <v>494</v>
      </c>
    </row>
    <row r="241" spans="1:3" ht="15" x14ac:dyDescent="0.2">
      <c r="A241" s="317" t="s">
        <v>4434</v>
      </c>
      <c r="B241" s="321">
        <v>0</v>
      </c>
      <c r="C241" s="317" t="s">
        <v>494</v>
      </c>
    </row>
    <row r="242" spans="1:3" ht="15" x14ac:dyDescent="0.2">
      <c r="A242" s="317" t="s">
        <v>4435</v>
      </c>
      <c r="B242" s="321">
        <v>0</v>
      </c>
      <c r="C242" s="317" t="s">
        <v>494</v>
      </c>
    </row>
    <row r="243" spans="1:3" ht="15" x14ac:dyDescent="0.2">
      <c r="A243" s="317" t="s">
        <v>4436</v>
      </c>
      <c r="B243" s="321">
        <v>0</v>
      </c>
      <c r="C243" s="317" t="s">
        <v>494</v>
      </c>
    </row>
    <row r="244" spans="1:3" ht="15" x14ac:dyDescent="0.2">
      <c r="A244" s="317" t="s">
        <v>4437</v>
      </c>
      <c r="B244" s="321">
        <v>10000</v>
      </c>
      <c r="C244" s="317" t="s">
        <v>494</v>
      </c>
    </row>
    <row r="245" spans="1:3" ht="15" x14ac:dyDescent="0.2">
      <c r="A245" s="317" t="s">
        <v>4438</v>
      </c>
      <c r="B245" s="321">
        <v>0</v>
      </c>
      <c r="C245" s="317" t="s">
        <v>494</v>
      </c>
    </row>
    <row r="246" spans="1:3" ht="15" x14ac:dyDescent="0.2">
      <c r="A246" s="317" t="s">
        <v>4439</v>
      </c>
      <c r="B246" s="321">
        <v>0</v>
      </c>
      <c r="C246" s="317" t="s">
        <v>494</v>
      </c>
    </row>
    <row r="247" spans="1:3" ht="15" x14ac:dyDescent="0.2">
      <c r="A247" s="317" t="s">
        <v>4440</v>
      </c>
      <c r="B247" s="321">
        <v>0</v>
      </c>
      <c r="C247" s="317" t="s">
        <v>494</v>
      </c>
    </row>
    <row r="248" spans="1:3" ht="15" x14ac:dyDescent="0.2">
      <c r="A248" s="317" t="s">
        <v>4441</v>
      </c>
      <c r="B248" s="321">
        <v>0</v>
      </c>
      <c r="C248" s="317" t="s">
        <v>494</v>
      </c>
    </row>
    <row r="249" spans="1:3" ht="15" x14ac:dyDescent="0.2">
      <c r="A249" s="317" t="s">
        <v>4442</v>
      </c>
      <c r="B249" s="321">
        <v>0</v>
      </c>
      <c r="C249" s="317" t="s">
        <v>494</v>
      </c>
    </row>
    <row r="250" spans="1:3" ht="15" x14ac:dyDescent="0.2">
      <c r="A250" s="317" t="s">
        <v>4443</v>
      </c>
      <c r="B250" s="321">
        <v>0</v>
      </c>
      <c r="C250" s="317" t="s">
        <v>494</v>
      </c>
    </row>
    <row r="251" spans="1:3" ht="15" x14ac:dyDescent="0.2">
      <c r="A251" s="317" t="s">
        <v>4444</v>
      </c>
      <c r="B251" s="321">
        <v>10000</v>
      </c>
      <c r="C251" s="317" t="s">
        <v>494</v>
      </c>
    </row>
    <row r="252" spans="1:3" ht="15" x14ac:dyDescent="0.2">
      <c r="A252" s="317" t="s">
        <v>4445</v>
      </c>
      <c r="B252" s="321">
        <v>0</v>
      </c>
      <c r="C252" s="317" t="s">
        <v>494</v>
      </c>
    </row>
    <row r="253" spans="1:3" ht="15" x14ac:dyDescent="0.2">
      <c r="A253" s="317" t="s">
        <v>4446</v>
      </c>
      <c r="B253" s="321">
        <v>0</v>
      </c>
      <c r="C253" s="317" t="s">
        <v>494</v>
      </c>
    </row>
    <row r="254" spans="1:3" ht="15" x14ac:dyDescent="0.2">
      <c r="A254" s="317" t="s">
        <v>4447</v>
      </c>
      <c r="B254" s="321">
        <v>0</v>
      </c>
      <c r="C254" s="317" t="s">
        <v>494</v>
      </c>
    </row>
    <row r="255" spans="1:3" ht="15" x14ac:dyDescent="0.2">
      <c r="A255" s="317" t="s">
        <v>4448</v>
      </c>
      <c r="B255" s="321">
        <v>0</v>
      </c>
      <c r="C255" s="317" t="s">
        <v>494</v>
      </c>
    </row>
    <row r="256" spans="1:3" ht="15" x14ac:dyDescent="0.2">
      <c r="A256" s="317" t="s">
        <v>4449</v>
      </c>
      <c r="B256" s="321">
        <v>0</v>
      </c>
      <c r="C256" s="317" t="s">
        <v>494</v>
      </c>
    </row>
    <row r="257" spans="1:3" x14ac:dyDescent="0.2">
      <c r="A257" s="317" t="s">
        <v>634</v>
      </c>
      <c r="B257" s="321">
        <v>6</v>
      </c>
      <c r="C257" s="317" t="s">
        <v>635</v>
      </c>
    </row>
    <row r="258" spans="1:3" ht="15" x14ac:dyDescent="0.2">
      <c r="A258" s="321" t="s">
        <v>755</v>
      </c>
      <c r="B258" s="321">
        <v>0.03</v>
      </c>
      <c r="C258" s="321" t="s">
        <v>700</v>
      </c>
    </row>
    <row r="259" spans="1:3" ht="15" x14ac:dyDescent="0.2">
      <c r="A259" s="321" t="s">
        <v>712</v>
      </c>
      <c r="B259" s="321">
        <v>0.03</v>
      </c>
      <c r="C259" s="321" t="s">
        <v>700</v>
      </c>
    </row>
    <row r="260" spans="1:3" ht="15" x14ac:dyDescent="0.2">
      <c r="A260" s="319" t="s">
        <v>2167</v>
      </c>
      <c r="B260" s="318">
        <v>0.03</v>
      </c>
      <c r="C260" s="319" t="s">
        <v>2675</v>
      </c>
    </row>
    <row r="261" spans="1:3" ht="15" x14ac:dyDescent="0.2">
      <c r="A261" s="319" t="s">
        <v>1307</v>
      </c>
      <c r="B261" s="318">
        <v>0.03</v>
      </c>
      <c r="C261" s="319" t="s">
        <v>2675</v>
      </c>
    </row>
    <row r="262" spans="1:3" ht="15" x14ac:dyDescent="0.2">
      <c r="A262" s="319" t="s">
        <v>2168</v>
      </c>
      <c r="B262" s="318">
        <v>0.03</v>
      </c>
      <c r="C262" s="319" t="s">
        <v>2675</v>
      </c>
    </row>
    <row r="263" spans="1:3" ht="15" x14ac:dyDescent="0.2">
      <c r="A263" s="319" t="s">
        <v>1309</v>
      </c>
      <c r="B263" s="318">
        <v>0.03</v>
      </c>
      <c r="C263" s="319" t="s">
        <v>2675</v>
      </c>
    </row>
    <row r="264" spans="1:3" ht="15" x14ac:dyDescent="0.2">
      <c r="A264" s="319" t="s">
        <v>2169</v>
      </c>
      <c r="B264" s="318">
        <v>0.03</v>
      </c>
      <c r="C264" s="319" t="s">
        <v>2675</v>
      </c>
    </row>
    <row r="265" spans="1:3" ht="15" x14ac:dyDescent="0.2">
      <c r="A265" s="319" t="s">
        <v>1311</v>
      </c>
      <c r="B265" s="318">
        <v>0.03</v>
      </c>
      <c r="C265" s="319" t="s">
        <v>2675</v>
      </c>
    </row>
    <row r="266" spans="1:3" ht="15" x14ac:dyDescent="0.2">
      <c r="A266" s="319" t="s">
        <v>3077</v>
      </c>
      <c r="B266" s="318">
        <v>0.03</v>
      </c>
      <c r="C266" s="319" t="s">
        <v>2675</v>
      </c>
    </row>
    <row r="267" spans="1:3" ht="15" x14ac:dyDescent="0.2">
      <c r="A267" s="319" t="s">
        <v>2714</v>
      </c>
      <c r="B267" s="318">
        <v>0.03</v>
      </c>
      <c r="C267" s="319" t="s">
        <v>2675</v>
      </c>
    </row>
    <row r="268" spans="1:3" ht="15" x14ac:dyDescent="0.2">
      <c r="A268" s="319" t="s">
        <v>3389</v>
      </c>
      <c r="B268" s="321">
        <v>0.03</v>
      </c>
      <c r="C268" s="319" t="s">
        <v>2675</v>
      </c>
    </row>
    <row r="269" spans="1:3" x14ac:dyDescent="0.2">
      <c r="A269" s="321" t="s">
        <v>752</v>
      </c>
      <c r="B269" s="321">
        <v>0</v>
      </c>
      <c r="C269" s="321" t="s">
        <v>297</v>
      </c>
    </row>
    <row r="270" spans="1:3" x14ac:dyDescent="0.2">
      <c r="A270" s="321" t="s">
        <v>706</v>
      </c>
      <c r="B270" s="321">
        <v>0</v>
      </c>
      <c r="C270" s="321" t="s">
        <v>297</v>
      </c>
    </row>
    <row r="271" spans="1:3" x14ac:dyDescent="0.2">
      <c r="A271" s="319" t="s">
        <v>1970</v>
      </c>
      <c r="B271" s="318">
        <v>0.2</v>
      </c>
      <c r="C271" s="321" t="s">
        <v>1017</v>
      </c>
    </row>
    <row r="272" spans="1:3" x14ac:dyDescent="0.2">
      <c r="A272" s="319" t="s">
        <v>1025</v>
      </c>
      <c r="B272" s="318">
        <v>0.2</v>
      </c>
      <c r="C272" s="317" t="s">
        <v>1017</v>
      </c>
    </row>
    <row r="273" spans="1:3" x14ac:dyDescent="0.2">
      <c r="A273" s="319" t="s">
        <v>1973</v>
      </c>
      <c r="B273" s="318">
        <v>0.2</v>
      </c>
      <c r="C273" s="321" t="s">
        <v>1017</v>
      </c>
    </row>
    <row r="274" spans="1:3" x14ac:dyDescent="0.2">
      <c r="A274" s="319" t="s">
        <v>1031</v>
      </c>
      <c r="B274" s="318">
        <v>0.2</v>
      </c>
      <c r="C274" s="317" t="s">
        <v>1017</v>
      </c>
    </row>
    <row r="275" spans="1:3" x14ac:dyDescent="0.2">
      <c r="A275" s="319" t="s">
        <v>1976</v>
      </c>
      <c r="B275" s="318">
        <v>0.2</v>
      </c>
      <c r="C275" s="321" t="s">
        <v>1017</v>
      </c>
    </row>
    <row r="276" spans="1:3" x14ac:dyDescent="0.2">
      <c r="A276" s="319" t="s">
        <v>1037</v>
      </c>
      <c r="B276" s="318">
        <v>0.2</v>
      </c>
      <c r="C276" s="317" t="s">
        <v>1017</v>
      </c>
    </row>
    <row r="277" spans="1:3" x14ac:dyDescent="0.2">
      <c r="A277" s="319" t="s">
        <v>2983</v>
      </c>
      <c r="B277" s="318">
        <v>0.2</v>
      </c>
      <c r="C277" s="317" t="s">
        <v>1017</v>
      </c>
    </row>
    <row r="278" spans="1:3" x14ac:dyDescent="0.2">
      <c r="A278" s="319" t="s">
        <v>2561</v>
      </c>
      <c r="B278" s="318">
        <v>0.2</v>
      </c>
      <c r="C278" s="317" t="s">
        <v>1017</v>
      </c>
    </row>
    <row r="279" spans="1:3" x14ac:dyDescent="0.2">
      <c r="A279" s="319" t="s">
        <v>3302</v>
      </c>
      <c r="B279" s="321">
        <v>0.2</v>
      </c>
      <c r="C279" s="317" t="s">
        <v>1017</v>
      </c>
    </row>
    <row r="280" spans="1:3" x14ac:dyDescent="0.2">
      <c r="A280" s="317" t="s">
        <v>2981</v>
      </c>
      <c r="B280" s="318">
        <v>1.9999999999999999E-11</v>
      </c>
      <c r="C280" s="317" t="s">
        <v>1017</v>
      </c>
    </row>
    <row r="281" spans="1:3" x14ac:dyDescent="0.2">
      <c r="A281" s="317" t="s">
        <v>1968</v>
      </c>
      <c r="B281" s="318">
        <v>1.9999999999999999E-11</v>
      </c>
      <c r="C281" s="317" t="s">
        <v>1017</v>
      </c>
    </row>
    <row r="282" spans="1:3" x14ac:dyDescent="0.2">
      <c r="A282" s="317" t="s">
        <v>2558</v>
      </c>
      <c r="B282" s="318">
        <v>1.9999999999999999E-11</v>
      </c>
      <c r="C282" s="317" t="s">
        <v>1017</v>
      </c>
    </row>
    <row r="283" spans="1:3" x14ac:dyDescent="0.2">
      <c r="A283" s="317" t="s">
        <v>4450</v>
      </c>
      <c r="B283" s="318">
        <v>1.9999999999999999E-11</v>
      </c>
      <c r="C283" s="317" t="s">
        <v>1017</v>
      </c>
    </row>
    <row r="284" spans="1:3" x14ac:dyDescent="0.2">
      <c r="A284" s="317" t="s">
        <v>3300</v>
      </c>
      <c r="B284" s="318">
        <v>1.9999999999999999E-11</v>
      </c>
      <c r="C284" s="317" t="s">
        <v>1017</v>
      </c>
    </row>
    <row r="285" spans="1:3" x14ac:dyDescent="0.2">
      <c r="A285" s="317" t="s">
        <v>2982</v>
      </c>
      <c r="B285" s="318">
        <v>1.9999999999999999E-11</v>
      </c>
      <c r="C285" s="317" t="s">
        <v>1017</v>
      </c>
    </row>
    <row r="286" spans="1:3" x14ac:dyDescent="0.2">
      <c r="A286" s="317" t="s">
        <v>1969</v>
      </c>
      <c r="B286" s="318">
        <v>1.9999999999999999E-11</v>
      </c>
      <c r="C286" s="317" t="s">
        <v>1017</v>
      </c>
    </row>
    <row r="287" spans="1:3" x14ac:dyDescent="0.2">
      <c r="A287" s="317" t="s">
        <v>2559</v>
      </c>
      <c r="B287" s="318">
        <v>1.9999999999999999E-11</v>
      </c>
      <c r="C287" s="317" t="s">
        <v>1017</v>
      </c>
    </row>
    <row r="288" spans="1:3" x14ac:dyDescent="0.2">
      <c r="A288" s="317" t="s">
        <v>1023</v>
      </c>
      <c r="B288" s="318">
        <v>1.9999999999999999E-11</v>
      </c>
      <c r="C288" s="317" t="s">
        <v>1017</v>
      </c>
    </row>
    <row r="289" spans="1:3" x14ac:dyDescent="0.2">
      <c r="A289" s="317" t="s">
        <v>3301</v>
      </c>
      <c r="B289" s="318">
        <v>1.9999999999999999E-11</v>
      </c>
      <c r="C289" s="317" t="s">
        <v>1017</v>
      </c>
    </row>
    <row r="290" spans="1:3" x14ac:dyDescent="0.2">
      <c r="A290" s="321" t="s">
        <v>744</v>
      </c>
      <c r="B290" s="321">
        <v>0.6</v>
      </c>
      <c r="C290" s="321" t="s">
        <v>297</v>
      </c>
    </row>
    <row r="291" spans="1:3" x14ac:dyDescent="0.2">
      <c r="A291" s="321" t="s">
        <v>690</v>
      </c>
      <c r="B291" s="321">
        <v>0.6</v>
      </c>
      <c r="C291" s="321" t="s">
        <v>297</v>
      </c>
    </row>
    <row r="292" spans="1:3" x14ac:dyDescent="0.2">
      <c r="A292" s="317" t="s">
        <v>2980</v>
      </c>
      <c r="B292" s="318">
        <v>2.9999999999999999E-7</v>
      </c>
      <c r="C292" s="317" t="s">
        <v>1017</v>
      </c>
    </row>
    <row r="293" spans="1:3" x14ac:dyDescent="0.2">
      <c r="A293" s="317" t="s">
        <v>1967</v>
      </c>
      <c r="B293" s="318">
        <v>2.9999999999999999E-7</v>
      </c>
      <c r="C293" s="317" t="s">
        <v>1017</v>
      </c>
    </row>
    <row r="294" spans="1:3" x14ac:dyDescent="0.2">
      <c r="A294" s="317" t="s">
        <v>2557</v>
      </c>
      <c r="B294" s="318">
        <v>2.9999999999999999E-7</v>
      </c>
      <c r="C294" s="317" t="s">
        <v>1017</v>
      </c>
    </row>
    <row r="295" spans="1:3" x14ac:dyDescent="0.2">
      <c r="A295" s="317" t="s">
        <v>1016</v>
      </c>
      <c r="B295" s="318">
        <v>2.9999999999999999E-7</v>
      </c>
      <c r="C295" s="317" t="s">
        <v>1017</v>
      </c>
    </row>
    <row r="296" spans="1:3" x14ac:dyDescent="0.2">
      <c r="A296" s="317" t="s">
        <v>3299</v>
      </c>
      <c r="B296" s="318">
        <v>2.9999999999999999E-7</v>
      </c>
      <c r="C296" s="317" t="s">
        <v>1017</v>
      </c>
    </row>
    <row r="297" spans="1:3" x14ac:dyDescent="0.2">
      <c r="A297" s="321" t="s">
        <v>742</v>
      </c>
      <c r="B297" s="321">
        <v>2.75E-2</v>
      </c>
      <c r="C297" s="321" t="s">
        <v>297</v>
      </c>
    </row>
    <row r="298" spans="1:3" x14ac:dyDescent="0.2">
      <c r="A298" s="321" t="s">
        <v>686</v>
      </c>
      <c r="B298" s="321">
        <v>2.75E-2</v>
      </c>
      <c r="C298" s="321" t="s">
        <v>297</v>
      </c>
    </row>
    <row r="299" spans="1:3" x14ac:dyDescent="0.2">
      <c r="A299" s="321" t="s">
        <v>753</v>
      </c>
      <c r="B299" s="321">
        <v>0.25</v>
      </c>
      <c r="C299" s="321" t="s">
        <v>297</v>
      </c>
    </row>
    <row r="300" spans="1:3" x14ac:dyDescent="0.2">
      <c r="A300" s="321" t="s">
        <v>710</v>
      </c>
      <c r="B300" s="321">
        <v>0.25</v>
      </c>
      <c r="C300" s="321" t="s">
        <v>297</v>
      </c>
    </row>
    <row r="301" spans="1:3" x14ac:dyDescent="0.2">
      <c r="A301" s="319" t="s">
        <v>2206</v>
      </c>
      <c r="B301" s="318">
        <f>FRACinf.C</f>
        <v>0.25</v>
      </c>
      <c r="C301" s="317" t="s">
        <v>296</v>
      </c>
    </row>
    <row r="302" spans="1:3" x14ac:dyDescent="0.2">
      <c r="A302" s="319" t="s">
        <v>1380</v>
      </c>
      <c r="B302" s="318">
        <f>FRACinf.R</f>
        <v>0.25</v>
      </c>
      <c r="C302" s="317" t="s">
        <v>296</v>
      </c>
    </row>
    <row r="303" spans="1:3" x14ac:dyDescent="0.2">
      <c r="A303" s="319" t="s">
        <v>2207</v>
      </c>
      <c r="B303" s="318">
        <f>FRACinf.C</f>
        <v>0.25</v>
      </c>
      <c r="C303" s="317" t="s">
        <v>296</v>
      </c>
    </row>
    <row r="304" spans="1:3" x14ac:dyDescent="0.2">
      <c r="A304" s="319" t="s">
        <v>1382</v>
      </c>
      <c r="B304" s="318">
        <f>FRACinf.R</f>
        <v>0.25</v>
      </c>
      <c r="C304" s="317" t="s">
        <v>296</v>
      </c>
    </row>
    <row r="305" spans="1:3" x14ac:dyDescent="0.2">
      <c r="A305" s="319" t="s">
        <v>2208</v>
      </c>
      <c r="B305" s="318">
        <f>FRACinf.C</f>
        <v>0.25</v>
      </c>
      <c r="C305" s="317" t="s">
        <v>296</v>
      </c>
    </row>
    <row r="306" spans="1:3" x14ac:dyDescent="0.2">
      <c r="A306" s="319" t="s">
        <v>1384</v>
      </c>
      <c r="B306" s="318">
        <f>FRACinf.R</f>
        <v>0.25</v>
      </c>
      <c r="C306" s="317" t="s">
        <v>296</v>
      </c>
    </row>
    <row r="307" spans="1:3" x14ac:dyDescent="0.2">
      <c r="A307" s="319" t="s">
        <v>3098</v>
      </c>
      <c r="B307" s="318">
        <v>0.25</v>
      </c>
      <c r="C307" s="317" t="s">
        <v>296</v>
      </c>
    </row>
    <row r="308" spans="1:3" x14ac:dyDescent="0.2">
      <c r="A308" s="319" t="s">
        <v>2746</v>
      </c>
      <c r="B308" s="318">
        <v>0.25</v>
      </c>
      <c r="C308" s="317" t="s">
        <v>296</v>
      </c>
    </row>
    <row r="309" spans="1:3" x14ac:dyDescent="0.2">
      <c r="A309" s="319" t="s">
        <v>3409</v>
      </c>
      <c r="B309" s="321">
        <v>0.25</v>
      </c>
      <c r="C309" s="317" t="s">
        <v>296</v>
      </c>
    </row>
    <row r="310" spans="1:3" x14ac:dyDescent="0.2">
      <c r="A310" s="321" t="s">
        <v>741</v>
      </c>
      <c r="B310" s="321">
        <v>2.5000000000000001E-3</v>
      </c>
      <c r="C310" s="321" t="s">
        <v>297</v>
      </c>
    </row>
    <row r="311" spans="1:3" x14ac:dyDescent="0.2">
      <c r="A311" s="321" t="s">
        <v>684</v>
      </c>
      <c r="B311" s="321">
        <v>2.5000000000000001E-3</v>
      </c>
      <c r="C311" s="321" t="s">
        <v>297</v>
      </c>
    </row>
    <row r="312" spans="1:3" x14ac:dyDescent="0.2">
      <c r="A312" s="321" t="s">
        <v>743</v>
      </c>
      <c r="B312" s="321">
        <v>0.27</v>
      </c>
      <c r="C312" s="321" t="s">
        <v>297</v>
      </c>
    </row>
    <row r="313" spans="1:3" x14ac:dyDescent="0.2">
      <c r="A313" s="321" t="s">
        <v>688</v>
      </c>
      <c r="B313" s="321">
        <v>0.27</v>
      </c>
      <c r="C313" s="321" t="s">
        <v>297</v>
      </c>
    </row>
    <row r="314" spans="1:3" x14ac:dyDescent="0.2">
      <c r="A314" s="321" t="s">
        <v>745</v>
      </c>
      <c r="B314" s="321">
        <v>0.1</v>
      </c>
      <c r="C314" s="321" t="s">
        <v>297</v>
      </c>
    </row>
    <row r="315" spans="1:3" x14ac:dyDescent="0.2">
      <c r="A315" s="321" t="s">
        <v>692</v>
      </c>
      <c r="B315" s="321">
        <v>0.1</v>
      </c>
      <c r="C315" s="321" t="s">
        <v>297</v>
      </c>
    </row>
    <row r="316" spans="1:3" x14ac:dyDescent="0.2">
      <c r="A316" s="321" t="s">
        <v>754</v>
      </c>
      <c r="B316" s="321">
        <v>0.25</v>
      </c>
      <c r="C316" s="321" t="s">
        <v>297</v>
      </c>
    </row>
    <row r="317" spans="1:3" x14ac:dyDescent="0.2">
      <c r="A317" s="321" t="s">
        <v>708</v>
      </c>
      <c r="B317" s="321">
        <v>0.25</v>
      </c>
      <c r="C317" s="321" t="s">
        <v>297</v>
      </c>
    </row>
    <row r="318" spans="1:3" x14ac:dyDescent="0.2">
      <c r="A318" s="319" t="s">
        <v>2170</v>
      </c>
      <c r="B318" s="318">
        <f>FRACrun.C</f>
        <v>0.25</v>
      </c>
      <c r="C318" s="317" t="s">
        <v>296</v>
      </c>
    </row>
    <row r="319" spans="1:3" x14ac:dyDescent="0.2">
      <c r="A319" s="319" t="s">
        <v>1313</v>
      </c>
      <c r="B319" s="318">
        <f>FRACrun.R</f>
        <v>0.25</v>
      </c>
      <c r="C319" s="317" t="s">
        <v>296</v>
      </c>
    </row>
    <row r="320" spans="1:3" x14ac:dyDescent="0.2">
      <c r="A320" s="319" t="s">
        <v>2171</v>
      </c>
      <c r="B320" s="318">
        <f>FRACrun.C</f>
        <v>0.25</v>
      </c>
      <c r="C320" s="317" t="s">
        <v>296</v>
      </c>
    </row>
    <row r="321" spans="1:3" x14ac:dyDescent="0.2">
      <c r="A321" s="319" t="s">
        <v>1315</v>
      </c>
      <c r="B321" s="318">
        <f>FRACrun.R</f>
        <v>0.25</v>
      </c>
      <c r="C321" s="317" t="s">
        <v>296</v>
      </c>
    </row>
    <row r="322" spans="1:3" x14ac:dyDescent="0.2">
      <c r="A322" s="319" t="s">
        <v>2172</v>
      </c>
      <c r="B322" s="318">
        <f>FRACrun.C</f>
        <v>0.25</v>
      </c>
      <c r="C322" s="317" t="s">
        <v>296</v>
      </c>
    </row>
    <row r="323" spans="1:3" x14ac:dyDescent="0.2">
      <c r="A323" s="319" t="s">
        <v>1317</v>
      </c>
      <c r="B323" s="318">
        <f>FRACrun.R</f>
        <v>0.25</v>
      </c>
      <c r="C323" s="317" t="s">
        <v>296</v>
      </c>
    </row>
    <row r="324" spans="1:3" x14ac:dyDescent="0.2">
      <c r="A324" s="319" t="s">
        <v>3078</v>
      </c>
      <c r="B324" s="318">
        <v>0.25</v>
      </c>
      <c r="C324" s="317" t="s">
        <v>296</v>
      </c>
    </row>
    <row r="325" spans="1:3" x14ac:dyDescent="0.2">
      <c r="A325" s="319" t="s">
        <v>2716</v>
      </c>
      <c r="B325" s="318">
        <v>0.25</v>
      </c>
      <c r="C325" s="317" t="s">
        <v>296</v>
      </c>
    </row>
    <row r="326" spans="1:3" x14ac:dyDescent="0.2">
      <c r="A326" s="319" t="s">
        <v>3390</v>
      </c>
      <c r="B326" s="321">
        <v>0.25</v>
      </c>
      <c r="C326" s="317" t="s">
        <v>296</v>
      </c>
    </row>
    <row r="327" spans="1:3" x14ac:dyDescent="0.2">
      <c r="A327" s="319" t="s">
        <v>1972</v>
      </c>
      <c r="B327" s="318">
        <f>1-FRACa.s1C-FRACw.s1C</f>
        <v>0.60000000000000009</v>
      </c>
      <c r="C327" s="321" t="s">
        <v>1017</v>
      </c>
    </row>
    <row r="328" spans="1:3" x14ac:dyDescent="0.2">
      <c r="A328" s="319" t="s">
        <v>1029</v>
      </c>
      <c r="B328" s="318">
        <f>1-FRACa.s1R-FRACw.s1R</f>
        <v>0.60000000000000009</v>
      </c>
      <c r="C328" s="317" t="s">
        <v>1017</v>
      </c>
    </row>
    <row r="329" spans="1:3" x14ac:dyDescent="0.2">
      <c r="A329" s="319" t="s">
        <v>1975</v>
      </c>
      <c r="B329" s="318">
        <f>1-FRACa.s2C-FRACw.s2C</f>
        <v>0.60000000000000009</v>
      </c>
      <c r="C329" s="321" t="s">
        <v>1017</v>
      </c>
    </row>
    <row r="330" spans="1:3" x14ac:dyDescent="0.2">
      <c r="A330" s="319" t="s">
        <v>1035</v>
      </c>
      <c r="B330" s="318">
        <f>1-FRACa.s2R-FRACw.s2R</f>
        <v>0.60000000000000009</v>
      </c>
      <c r="C330" s="317" t="s">
        <v>1017</v>
      </c>
    </row>
    <row r="331" spans="1:3" x14ac:dyDescent="0.2">
      <c r="A331" s="319" t="s">
        <v>1978</v>
      </c>
      <c r="B331" s="318">
        <f>1-FRACa.s3C-FRACw.s3C</f>
        <v>0.60000000000000009</v>
      </c>
      <c r="C331" s="321" t="s">
        <v>1017</v>
      </c>
    </row>
    <row r="332" spans="1:3" x14ac:dyDescent="0.2">
      <c r="A332" s="319" t="s">
        <v>1041</v>
      </c>
      <c r="B332" s="318">
        <f>1-FRACa.s3R-FRACw.s3R</f>
        <v>0.60000000000000009</v>
      </c>
      <c r="C332" s="317" t="s">
        <v>1017</v>
      </c>
    </row>
    <row r="333" spans="1:3" x14ac:dyDescent="0.2">
      <c r="A333" s="319" t="s">
        <v>2985</v>
      </c>
      <c r="B333" s="318">
        <f>1-FRACa.sA-FRACw.sA</f>
        <v>0.60000000000000009</v>
      </c>
      <c r="C333" s="317" t="s">
        <v>1017</v>
      </c>
    </row>
    <row r="334" spans="1:3" x14ac:dyDescent="0.2">
      <c r="A334" s="319" t="s">
        <v>2988</v>
      </c>
      <c r="B334" s="318">
        <f>1-FRACw.sdA</f>
        <v>0.19999999999999996</v>
      </c>
      <c r="C334" s="317" t="s">
        <v>1017</v>
      </c>
    </row>
    <row r="335" spans="1:3" x14ac:dyDescent="0.2">
      <c r="A335" s="319" t="s">
        <v>1980</v>
      </c>
      <c r="B335" s="318">
        <f>1-FRACw.sdC</f>
        <v>0.19999999999999996</v>
      </c>
      <c r="C335" s="321" t="s">
        <v>1017</v>
      </c>
    </row>
    <row r="336" spans="1:3" x14ac:dyDescent="0.2">
      <c r="A336" s="319" t="s">
        <v>2567</v>
      </c>
      <c r="B336" s="321">
        <f>1-FRACw.sdM</f>
        <v>0.19999999999999996</v>
      </c>
      <c r="C336" s="317" t="s">
        <v>1017</v>
      </c>
    </row>
    <row r="337" spans="1:3" x14ac:dyDescent="0.2">
      <c r="A337" s="319" t="s">
        <v>1045</v>
      </c>
      <c r="B337" s="318">
        <f>1-FRACw.sdR</f>
        <v>0.19999999999999996</v>
      </c>
      <c r="C337" s="317" t="s">
        <v>1017</v>
      </c>
    </row>
    <row r="338" spans="1:3" x14ac:dyDescent="0.2">
      <c r="A338" s="319" t="s">
        <v>3306</v>
      </c>
      <c r="B338" s="318">
        <f>1-FRACw.sdT</f>
        <v>0.19999999999999996</v>
      </c>
      <c r="C338" s="317" t="s">
        <v>1017</v>
      </c>
    </row>
    <row r="339" spans="1:3" x14ac:dyDescent="0.2">
      <c r="A339" s="319" t="s">
        <v>2565</v>
      </c>
      <c r="B339" s="318">
        <f>1-FRACa.sM-FRACw.sM</f>
        <v>0.60000000000000009</v>
      </c>
      <c r="C339" s="317" t="s">
        <v>1017</v>
      </c>
    </row>
    <row r="340" spans="1:3" x14ac:dyDescent="0.2">
      <c r="A340" s="319" t="s">
        <v>3304</v>
      </c>
      <c r="B340" s="318">
        <f>1-FRACa.sT-FRACw.sT</f>
        <v>0.60000000000000009</v>
      </c>
      <c r="C340" s="317" t="s">
        <v>1017</v>
      </c>
    </row>
    <row r="341" spans="1:3" x14ac:dyDescent="0.2">
      <c r="A341" s="319" t="s">
        <v>1971</v>
      </c>
      <c r="B341" s="318">
        <v>0.2</v>
      </c>
      <c r="C341" s="321" t="s">
        <v>1017</v>
      </c>
    </row>
    <row r="342" spans="1:3" x14ac:dyDescent="0.2">
      <c r="A342" s="319" t="s">
        <v>1027</v>
      </c>
      <c r="B342" s="318">
        <v>0.2</v>
      </c>
      <c r="C342" s="317" t="s">
        <v>1017</v>
      </c>
    </row>
    <row r="343" spans="1:3" x14ac:dyDescent="0.2">
      <c r="A343" s="319" t="s">
        <v>1974</v>
      </c>
      <c r="B343" s="318">
        <v>0.2</v>
      </c>
      <c r="C343" s="321" t="s">
        <v>1017</v>
      </c>
    </row>
    <row r="344" spans="1:3" x14ac:dyDescent="0.2">
      <c r="A344" s="319" t="s">
        <v>1033</v>
      </c>
      <c r="B344" s="318">
        <v>0.2</v>
      </c>
      <c r="C344" s="317" t="s">
        <v>1017</v>
      </c>
    </row>
    <row r="345" spans="1:3" x14ac:dyDescent="0.2">
      <c r="A345" s="319" t="s">
        <v>1977</v>
      </c>
      <c r="B345" s="318">
        <v>0.2</v>
      </c>
      <c r="C345" s="321" t="s">
        <v>1017</v>
      </c>
    </row>
    <row r="346" spans="1:3" x14ac:dyDescent="0.2">
      <c r="A346" s="319" t="s">
        <v>1039</v>
      </c>
      <c r="B346" s="318">
        <v>0.2</v>
      </c>
      <c r="C346" s="317" t="s">
        <v>1017</v>
      </c>
    </row>
    <row r="347" spans="1:3" x14ac:dyDescent="0.2">
      <c r="A347" s="319" t="s">
        <v>2984</v>
      </c>
      <c r="B347" s="318">
        <v>0.2</v>
      </c>
      <c r="C347" s="317" t="s">
        <v>1017</v>
      </c>
    </row>
    <row r="348" spans="1:3" x14ac:dyDescent="0.2">
      <c r="A348" s="319" t="s">
        <v>2986</v>
      </c>
      <c r="B348" s="318">
        <v>0.8</v>
      </c>
      <c r="C348" s="317" t="s">
        <v>1017</v>
      </c>
    </row>
    <row r="349" spans="1:3" x14ac:dyDescent="0.2">
      <c r="A349" s="319" t="s">
        <v>1979</v>
      </c>
      <c r="B349" s="318">
        <v>0.8</v>
      </c>
      <c r="C349" s="321" t="s">
        <v>1017</v>
      </c>
    </row>
    <row r="350" spans="1:3" x14ac:dyDescent="0.2">
      <c r="A350" s="319" t="s">
        <v>2566</v>
      </c>
      <c r="B350" s="318">
        <v>0.8</v>
      </c>
      <c r="C350" s="317" t="s">
        <v>1017</v>
      </c>
    </row>
    <row r="351" spans="1:3" x14ac:dyDescent="0.2">
      <c r="A351" s="319" t="s">
        <v>1043</v>
      </c>
      <c r="B351" s="318">
        <v>0.8</v>
      </c>
      <c r="C351" s="317" t="s">
        <v>1017</v>
      </c>
    </row>
    <row r="352" spans="1:3" x14ac:dyDescent="0.2">
      <c r="A352" s="319" t="s">
        <v>3305</v>
      </c>
      <c r="B352" s="321">
        <v>0.8</v>
      </c>
      <c r="C352" s="317" t="s">
        <v>1017</v>
      </c>
    </row>
    <row r="353" spans="1:3" x14ac:dyDescent="0.2">
      <c r="A353" s="319" t="s">
        <v>2563</v>
      </c>
      <c r="B353" s="318">
        <v>0.2</v>
      </c>
      <c r="C353" s="317" t="s">
        <v>1017</v>
      </c>
    </row>
    <row r="354" spans="1:3" x14ac:dyDescent="0.2">
      <c r="A354" s="319" t="s">
        <v>3303</v>
      </c>
      <c r="B354" s="321">
        <v>0.2</v>
      </c>
      <c r="C354" s="317" t="s">
        <v>1017</v>
      </c>
    </row>
    <row r="355" spans="1:3" ht="51" x14ac:dyDescent="0.2">
      <c r="A355" s="321" t="s">
        <v>3007</v>
      </c>
      <c r="B355" s="329" t="s">
        <v>4451</v>
      </c>
      <c r="C355" s="321" t="s">
        <v>296</v>
      </c>
    </row>
    <row r="356" spans="1:3" ht="51" x14ac:dyDescent="0.2">
      <c r="A356" s="321" t="s">
        <v>2023</v>
      </c>
      <c r="B356" s="329" t="s">
        <v>4452</v>
      </c>
      <c r="C356" s="321" t="s">
        <v>296</v>
      </c>
    </row>
    <row r="357" spans="1:3" ht="63.75" x14ac:dyDescent="0.2">
      <c r="A357" s="321" t="s">
        <v>2603</v>
      </c>
      <c r="B357" s="329" t="s">
        <v>4453</v>
      </c>
      <c r="C357" s="321" t="s">
        <v>296</v>
      </c>
    </row>
    <row r="358" spans="1:3" ht="51" x14ac:dyDescent="0.2">
      <c r="A358" s="321" t="s">
        <v>1082</v>
      </c>
      <c r="B358" s="329" t="s">
        <v>4454</v>
      </c>
      <c r="C358" s="321" t="s">
        <v>296</v>
      </c>
    </row>
    <row r="359" spans="1:3" ht="51" x14ac:dyDescent="0.2">
      <c r="A359" s="321" t="s">
        <v>3323</v>
      </c>
      <c r="B359" s="329" t="s">
        <v>4455</v>
      </c>
      <c r="C359" s="321" t="s">
        <v>296</v>
      </c>
    </row>
    <row r="360" spans="1:3" x14ac:dyDescent="0.2">
      <c r="A360" s="321" t="s">
        <v>3006</v>
      </c>
      <c r="B360" s="323" t="e">
        <f>IF(ChemClass="neutral", 0, FRACaerw.aA*Kaerw.aA/(1+FRACaerw.aA*Kaerw.aA+FRACaers.aA*Kaers.aA+FRACcldw.aA*Kcldw.aA))</f>
        <v>#NAME?</v>
      </c>
      <c r="C360" s="321" t="s">
        <v>296</v>
      </c>
    </row>
    <row r="361" spans="1:3" x14ac:dyDescent="0.2">
      <c r="A361" s="321" t="s">
        <v>2021</v>
      </c>
      <c r="B361" s="323" t="e">
        <f>IF(ChemClass="neutral", 0, FRACaerw.aC*Kaerw.aC/(1+FRACaerw.aC*Kaerw.aC+FRACaers.aC*Kaers.aC+FRACcldw.aC*Kcldw.aC))</f>
        <v>#NAME?</v>
      </c>
      <c r="C361" s="321" t="s">
        <v>296</v>
      </c>
    </row>
    <row r="362" spans="1:3" x14ac:dyDescent="0.2">
      <c r="A362" s="321" t="s">
        <v>2602</v>
      </c>
      <c r="B362" s="323" t="e">
        <f>IF(ChemClass="neutral", 0, FRACaerw.aM*Kaerw.aM/(1+FRACaerw.aM*Kaerw.aM+FRACaers.aM*Kaers.aM+FRACcldw.aM*Kcldw.aM))</f>
        <v>#NAME?</v>
      </c>
      <c r="C362" s="321" t="s">
        <v>296</v>
      </c>
    </row>
    <row r="363" spans="1:3" x14ac:dyDescent="0.2">
      <c r="A363" s="321" t="s">
        <v>1079</v>
      </c>
      <c r="B363" s="323" t="e">
        <f>IF(ChemClass="neutral", 0, FRACaerw.aR*Kaerw.aR/(1+FRACaerw.aR*Kaerw.aR+FRACaers.aR*Kaers.aR+FRACcldw.aR*Kcldw.aR))</f>
        <v>#NAME?</v>
      </c>
      <c r="C363" s="321" t="s">
        <v>296</v>
      </c>
    </row>
    <row r="364" spans="1:3" x14ac:dyDescent="0.2">
      <c r="A364" s="321" t="s">
        <v>3322</v>
      </c>
      <c r="B364" s="323" t="e">
        <f>IF(ChemClass="neutral", 0, FRACaerw.aT*Kaerw.aT/(1+FRACaerw.aT*Kaerw.aT+FRACaers.aT*Kaers.aT+FRACcldw.aT*Kcldw.aT))</f>
        <v>#NAME?</v>
      </c>
      <c r="C364" s="321" t="s">
        <v>296</v>
      </c>
    </row>
    <row r="365" spans="1:3" x14ac:dyDescent="0.2">
      <c r="A365" s="321" t="s">
        <v>4456</v>
      </c>
      <c r="B365" s="323" t="e">
        <f>IF(ChemClass="neutral", 0, FRACcldw.aA *Kcldw.aA/(1+FRACaerw.aA*Kaerw.aA+FRACaers.aA*Kaers.aA+FRACcldw.aA*Kcldw.aA))</f>
        <v>#NAME?</v>
      </c>
      <c r="C365" s="321" t="s">
        <v>296</v>
      </c>
    </row>
    <row r="366" spans="1:3" x14ac:dyDescent="0.2">
      <c r="A366" s="321" t="s">
        <v>4457</v>
      </c>
      <c r="B366" s="323" t="e">
        <f>IF(ChemClass="neutral", 0, FRACcldw.aC *Kcldw.aC/(1+FRACaerw.aC*Kaerw.aC+FRACaers.aC*Kaers.aC+FRACcldw.aC*Kcldw.aC))</f>
        <v>#NAME?</v>
      </c>
      <c r="C366" s="321" t="s">
        <v>296</v>
      </c>
    </row>
    <row r="367" spans="1:3" x14ac:dyDescent="0.2">
      <c r="A367" s="321" t="s">
        <v>4458</v>
      </c>
      <c r="B367" s="323" t="e">
        <f>IF(ChemClass="neutral", 0, FRACcldw.aM *Kcldw.aM/(1+FRACaerw.aM*Kaerw.aM+FRACaers.aM*Kaers.aM+FRACcldw.aM*Kcldw.aM))</f>
        <v>#NAME?</v>
      </c>
      <c r="C367" s="321" t="s">
        <v>296</v>
      </c>
    </row>
    <row r="368" spans="1:3" x14ac:dyDescent="0.2">
      <c r="A368" s="321" t="s">
        <v>4459</v>
      </c>
      <c r="B368" s="323" t="e">
        <f>IF(ChemClass="neutral", 0, FRACcldw.aR*Kcldw.aR/(1+FRACaerw.aR*Kaerw.aR+FRACaers.aR*Kaers.aR+FRACcldw.aR*Kcldw.aR))</f>
        <v>#NAME?</v>
      </c>
      <c r="C368" s="321" t="s">
        <v>296</v>
      </c>
    </row>
    <row r="369" spans="1:3" x14ac:dyDescent="0.2">
      <c r="A369" s="321" t="s">
        <v>4460</v>
      </c>
      <c r="B369" s="323" t="e">
        <f>IF(ChemClass="neutral", 0, FRACcldw.aT *Kcldw.aT/(1+FRACaerw.aT*Kaerw.aT+FRACaers.aT*Kaers.aT+FRACcldw.aT*Kcldw.aT))</f>
        <v>#NAME?</v>
      </c>
      <c r="C369" s="321" t="s">
        <v>296</v>
      </c>
    </row>
    <row r="370" spans="1:3" x14ac:dyDescent="0.2">
      <c r="A370" s="317" t="s">
        <v>3005</v>
      </c>
      <c r="B370" s="323" t="e">
        <f>1-FRaerw.aA-FRaers.aA-FRcldw.aA</f>
        <v>#NAME?</v>
      </c>
      <c r="C370" s="317" t="s">
        <v>296</v>
      </c>
    </row>
    <row r="371" spans="1:3" x14ac:dyDescent="0.2">
      <c r="A371" s="317" t="s">
        <v>2019</v>
      </c>
      <c r="B371" s="323" t="e">
        <f>1-FRaerw.aC-FRaers.aC-FRcldw.aC</f>
        <v>#NAME?</v>
      </c>
      <c r="C371" s="317" t="s">
        <v>296</v>
      </c>
    </row>
    <row r="372" spans="1:3" x14ac:dyDescent="0.2">
      <c r="A372" s="317" t="s">
        <v>2601</v>
      </c>
      <c r="B372" s="323" t="e">
        <f>1-FRaerw.aM-FRaers.aM-FRcldw.aM</f>
        <v>#NAME?</v>
      </c>
      <c r="C372" s="317" t="s">
        <v>296</v>
      </c>
    </row>
    <row r="373" spans="1:3" x14ac:dyDescent="0.2">
      <c r="A373" s="321" t="s">
        <v>1077</v>
      </c>
      <c r="B373" s="323" t="e">
        <f>1-FRaerw.aR-FRaers.aR-FRcldw.aR</f>
        <v>#NAME?</v>
      </c>
      <c r="C373" s="321" t="s">
        <v>296</v>
      </c>
    </row>
    <row r="374" spans="1:3" x14ac:dyDescent="0.2">
      <c r="A374" s="317" t="s">
        <v>3321</v>
      </c>
      <c r="B374" s="323" t="e">
        <f>1-FRaerw.aT-FRaers.aT-FRcldw.aT</f>
        <v>#NAME?</v>
      </c>
      <c r="C374" s="317" t="s">
        <v>296</v>
      </c>
    </row>
    <row r="375" spans="1:3" x14ac:dyDescent="0.2">
      <c r="A375" s="317" t="s">
        <v>555</v>
      </c>
      <c r="B375" s="318">
        <f>IF(ChemClass="Acid",1/(1+10^(pH.aerw-pKa)),IF(ChemClass="Base",1/(1+10^(pKa-pH.aerw)),1))</f>
        <v>1</v>
      </c>
      <c r="C375" s="317" t="s">
        <v>296</v>
      </c>
    </row>
    <row r="376" spans="1:3" x14ac:dyDescent="0.2">
      <c r="A376" s="317" t="s">
        <v>553</v>
      </c>
      <c r="B376" s="318">
        <f>IF(ChemClass="Acid",1/(1+10^(pH.cldw-pKa)),IF(ChemClass="Base",1/(1+10^(pKa-pH.cldw)),1))</f>
        <v>1</v>
      </c>
      <c r="C376" s="317" t="s">
        <v>296</v>
      </c>
    </row>
    <row r="377" spans="1:3" x14ac:dyDescent="0.2">
      <c r="A377" s="317" t="s">
        <v>565</v>
      </c>
      <c r="B377" s="318">
        <f>IF(ChemClass="Acid",1/(1+10^(pH.s1-0.6-pKa)),IF(ChemClass="Base",1/(1+10^(pKa-4.5)),1))</f>
        <v>1</v>
      </c>
      <c r="C377" s="317" t="s">
        <v>296</v>
      </c>
    </row>
    <row r="378" spans="1:3" x14ac:dyDescent="0.2">
      <c r="A378" s="317" t="s">
        <v>567</v>
      </c>
      <c r="B378" s="318">
        <f>IF(ChemClass="Acid",1/(1+10^(pH.s1-pKa)),IF(ChemClass="Base",1/(1+10^(pKa-pH.s1)),1))</f>
        <v>1</v>
      </c>
      <c r="C378" s="317" t="s">
        <v>296</v>
      </c>
    </row>
    <row r="379" spans="1:3" x14ac:dyDescent="0.2">
      <c r="A379" s="317" t="s">
        <v>569</v>
      </c>
      <c r="B379" s="318">
        <f>IF(ChemClass="Acid",1/(1+10^(pH.s2-0.6-pKa)),IF(ChemClass="Base",1/(1+10^(pKa-4.5)),1))</f>
        <v>1</v>
      </c>
      <c r="C379" s="317" t="s">
        <v>296</v>
      </c>
    </row>
    <row r="380" spans="1:3" x14ac:dyDescent="0.2">
      <c r="A380" s="317" t="s">
        <v>571</v>
      </c>
      <c r="B380" s="318">
        <f>IF(ChemClass="Acid",1/(1+10^(pH.s2-pKa)),IF(ChemClass="Base",1/(1+10^(pKa-pH.s2)),1))</f>
        <v>1</v>
      </c>
      <c r="C380" s="317" t="s">
        <v>296</v>
      </c>
    </row>
    <row r="381" spans="1:3" x14ac:dyDescent="0.2">
      <c r="A381" s="317" t="s">
        <v>573</v>
      </c>
      <c r="B381" s="318">
        <f>IF(ChemClass="Acid",1/(1+10^(pH.s3-0.6-pKa)),IF(ChemClass="Base",1/(1+10^(pKa-4.5)),1))</f>
        <v>1</v>
      </c>
      <c r="C381" s="317" t="s">
        <v>296</v>
      </c>
    </row>
    <row r="382" spans="1:3" x14ac:dyDescent="0.2">
      <c r="A382" s="317" t="s">
        <v>575</v>
      </c>
      <c r="B382" s="318">
        <f>IF(ChemClass="Acid",1/(1+10^(pH.s3-pKa)),IF(ChemClass="Base",1/(1+10^(pKa-pH.s3)),1))</f>
        <v>1</v>
      </c>
      <c r="C382" s="317" t="s">
        <v>296</v>
      </c>
    </row>
    <row r="383" spans="1:3" x14ac:dyDescent="0.2">
      <c r="A383" s="317" t="s">
        <v>559</v>
      </c>
      <c r="B383" s="318">
        <f>IF(ChemClass="Acid",1/(1+10^(pH.w1-0.6-pKa)),IF(ChemClass="Base",1/(1+10^(pKa-4.5)),1))</f>
        <v>1</v>
      </c>
      <c r="C383" s="317" t="s">
        <v>296</v>
      </c>
    </row>
    <row r="384" spans="1:3" x14ac:dyDescent="0.2">
      <c r="A384" s="317" t="s">
        <v>563</v>
      </c>
      <c r="B384" s="318">
        <f>IF(ChemClass="Acid",1/(1+10^(pH.w2-0.6-pKa)),IF(ChemClass="Base",1/(1+10^(pKa-4.5)),1))</f>
        <v>1</v>
      </c>
      <c r="C384" s="317"/>
    </row>
    <row r="385" spans="1:3" x14ac:dyDescent="0.2">
      <c r="A385" s="317" t="s">
        <v>557</v>
      </c>
      <c r="B385" s="318">
        <f>IF(ChemClass="Acid",1/(1+10^(pH.w1-pKa)),IF(ChemClass="Base",1/(1+10^(pKa-pH.w1)),1))</f>
        <v>1</v>
      </c>
      <c r="C385" s="317" t="s">
        <v>296</v>
      </c>
    </row>
    <row r="386" spans="1:3" x14ac:dyDescent="0.2">
      <c r="A386" s="317" t="s">
        <v>561</v>
      </c>
      <c r="B386" s="318">
        <f>IF(ChemClass="Acid",1/(1+10^(pH.w2-pKa)),IF(ChemClass="Base",1/(1+10^(pKa-pH.w2)),1))</f>
        <v>1</v>
      </c>
      <c r="C386" s="317" t="s">
        <v>296</v>
      </c>
    </row>
    <row r="387" spans="1:3" x14ac:dyDescent="0.2">
      <c r="A387" s="319" t="s">
        <v>2058</v>
      </c>
      <c r="B387" s="318">
        <f>FRACs.s1C / (FRACa.s1C*Kaw.C*FRorig.s1w/(Kp.s1C*RHOsolid/1000)+FRACw.s1C /(Kp.s1C*RHOsolid/1000)+FRACs.s1C )</f>
        <v>0.99337748344370858</v>
      </c>
      <c r="C387" s="317" t="s">
        <v>296</v>
      </c>
    </row>
    <row r="388" spans="1:3" x14ac:dyDescent="0.2">
      <c r="A388" s="319" t="s">
        <v>1137</v>
      </c>
      <c r="B388" s="323">
        <v>0.99999298250538582</v>
      </c>
      <c r="C388" s="317" t="s">
        <v>296</v>
      </c>
    </row>
    <row r="389" spans="1:3" x14ac:dyDescent="0.2">
      <c r="A389" s="319" t="s">
        <v>2065</v>
      </c>
      <c r="B389" s="318">
        <f>FRACs.s2C / (FRACa.s2C*Kaw.C*FRorig.s2w/(Kp.s2C*RHOsolid/1000)+FRACw.s2C /(Kp.s2C*RHOsolid/1000)+FRACs.s2C )</f>
        <v>0.99337748344370858</v>
      </c>
      <c r="C389" s="317" t="s">
        <v>296</v>
      </c>
    </row>
    <row r="390" spans="1:3" x14ac:dyDescent="0.2">
      <c r="A390" s="319" t="s">
        <v>1147</v>
      </c>
      <c r="B390" s="323">
        <v>0.99999298250538582</v>
      </c>
      <c r="C390" s="317" t="s">
        <v>296</v>
      </c>
    </row>
    <row r="391" spans="1:3" x14ac:dyDescent="0.2">
      <c r="A391" s="319" t="s">
        <v>2072</v>
      </c>
      <c r="B391" s="318">
        <f>FRACs.s3C / (FRACa.s3C*Kaw.C*FRorig.s3w/(Kp.s3C*RHOsolid/1000)+FRACw.s3C /(Kp.s3C*RHOsolid/1000)+FRACs.s3C )</f>
        <v>0.99337748344370858</v>
      </c>
      <c r="C391" s="317" t="s">
        <v>296</v>
      </c>
    </row>
    <row r="392" spans="1:3" x14ac:dyDescent="0.2">
      <c r="A392" s="319" t="s">
        <v>1157</v>
      </c>
      <c r="B392" s="323">
        <v>0.99999298250538582</v>
      </c>
      <c r="C392" s="317" t="s">
        <v>296</v>
      </c>
    </row>
    <row r="393" spans="1:3" x14ac:dyDescent="0.2">
      <c r="A393" s="319" t="s">
        <v>3030</v>
      </c>
      <c r="B393" s="318">
        <f>FRACs.sA/ (FRACa.sA*Kaw.A*FRorig.s1w/(Kp.sA*RHOsolid/1000)+FRACw.sA/(Kp.sA*RHOsolid/1000)+FRACs.sA )</f>
        <v>0.99337748344370858</v>
      </c>
      <c r="C393" s="317" t="s">
        <v>296</v>
      </c>
    </row>
    <row r="394" spans="1:3" x14ac:dyDescent="0.2">
      <c r="A394" s="319" t="s">
        <v>2646</v>
      </c>
      <c r="B394" s="318">
        <f>FRACs.sM / (FRACa.sM*Kaw.M*FRorig.s1w/(Kp.sM*RHOsolid/1000)+FRACw.sM/(Kp.sM*RHOsolid/1000)+FRACs.sM )</f>
        <v>0.99337748344370858</v>
      </c>
      <c r="C394" s="317" t="s">
        <v>296</v>
      </c>
    </row>
    <row r="395" spans="1:3" x14ac:dyDescent="0.2">
      <c r="A395" s="319" t="s">
        <v>3346</v>
      </c>
      <c r="B395" s="318">
        <f>FRACs.sT/ (FRACa.sT*Kaw.T*FRorig.s1w/(Kp.sT*RHOsolid/1000)+FRACw.sT/(Kp.sT*RHOsolid/1000)+FRACs.sT )</f>
        <v>0.99337748344370858</v>
      </c>
      <c r="C395" s="317" t="s">
        <v>296</v>
      </c>
    </row>
    <row r="396" spans="1:3" x14ac:dyDescent="0.2">
      <c r="A396" s="319" t="s">
        <v>2056</v>
      </c>
      <c r="B396" s="318">
        <f>FRACw.s1C/(FRACa.s1C*(Kaw.C*FRorig.s1w)+FRACw.s1C+FRACs.s1C*Kp.s1C*RHOsolid/1000)</f>
        <v>6.6225165562913907E-3</v>
      </c>
      <c r="C396" s="317" t="s">
        <v>296</v>
      </c>
    </row>
    <row r="397" spans="1:3" x14ac:dyDescent="0.2">
      <c r="A397" s="319" t="s">
        <v>4461</v>
      </c>
      <c r="B397" s="323">
        <v>7.0174946140728833E-6</v>
      </c>
      <c r="C397" s="317" t="s">
        <v>296</v>
      </c>
    </row>
    <row r="398" spans="1:3" x14ac:dyDescent="0.2">
      <c r="A398" s="319" t="s">
        <v>2063</v>
      </c>
      <c r="B398" s="318">
        <f>FRACw.s2C/(FRACa.s2C*(Kaw.C*FRorig.s2w)+FRACw.s2C+FRACs.s2C*Kp.s2C*RHOsolid/1000)</f>
        <v>6.6225165562913907E-3</v>
      </c>
      <c r="C398" s="317" t="s">
        <v>296</v>
      </c>
    </row>
    <row r="399" spans="1:3" x14ac:dyDescent="0.2">
      <c r="A399" s="319" t="s">
        <v>4462</v>
      </c>
      <c r="B399" s="323">
        <v>7.0174946140728833E-6</v>
      </c>
      <c r="C399" s="317" t="s">
        <v>296</v>
      </c>
    </row>
    <row r="400" spans="1:3" x14ac:dyDescent="0.2">
      <c r="A400" s="319" t="s">
        <v>2070</v>
      </c>
      <c r="B400" s="318">
        <f>FRACw.s3C/(FRACa.s3C*(Kaw.C*FRorig.s3w)+FRACw.s3C+FRACs.s3C*Kp.s3C*RHOsolid/1000)</f>
        <v>6.6225165562913907E-3</v>
      </c>
      <c r="C400" s="317" t="s">
        <v>296</v>
      </c>
    </row>
    <row r="401" spans="1:3" x14ac:dyDescent="0.2">
      <c r="A401" s="319" t="s">
        <v>4463</v>
      </c>
      <c r="B401" s="323">
        <v>7.0174946140728833E-6</v>
      </c>
      <c r="C401" s="317" t="s">
        <v>296</v>
      </c>
    </row>
    <row r="402" spans="1:3" x14ac:dyDescent="0.2">
      <c r="A402" s="319" t="s">
        <v>3029</v>
      </c>
      <c r="B402" s="318">
        <f>FRACw.sA/(FRACa.sA*(Kaw.A*FRorig.s1w)+FRACw.sA+FRACs.sA*Kp.sA*RHOsolid/1000)</f>
        <v>6.6225165562913907E-3</v>
      </c>
      <c r="C402" s="317" t="s">
        <v>296</v>
      </c>
    </row>
    <row r="403" spans="1:3" x14ac:dyDescent="0.2">
      <c r="A403" s="319" t="s">
        <v>2644</v>
      </c>
      <c r="B403" s="318">
        <f>FRACw.sM/(FRACa.sM*(Kaw.M*FRorig.s1w)+FRACw.sM+FRACs.sM*Kp.sM*RHOsolid/1000)</f>
        <v>6.6225165562913907E-3</v>
      </c>
      <c r="C403" s="317" t="s">
        <v>296</v>
      </c>
    </row>
    <row r="404" spans="1:3" x14ac:dyDescent="0.2">
      <c r="A404" s="319" t="s">
        <v>3345</v>
      </c>
      <c r="B404" s="318">
        <f>FRACw.sT/(FRACa.sT*(Kaw.T*FRorig.s1w)+FRACw.sT+FRACs.sT*Kp.sT*RHOsolid/1000)</f>
        <v>6.6225165562913907E-3</v>
      </c>
      <c r="C404" s="317" t="s">
        <v>296</v>
      </c>
    </row>
    <row r="405" spans="1:3" x14ac:dyDescent="0.2">
      <c r="A405" s="319" t="s">
        <v>2031</v>
      </c>
      <c r="B405" s="323">
        <f>1/(1+Kp.susp0C*SUSP.w0C/1000+Kp.col0C*COL.w0C/1000)</f>
        <v>0.99973007288032212</v>
      </c>
      <c r="C405" s="317" t="s">
        <v>296</v>
      </c>
    </row>
    <row r="406" spans="1:3" x14ac:dyDescent="0.2">
      <c r="A406" s="319" t="s">
        <v>4464</v>
      </c>
      <c r="B406" s="323">
        <f>1/(1+Kp.susp0R*SUSP.w0R/1000+Kp.col0R*COL.w0R/1000)</f>
        <v>0.99973007288032212</v>
      </c>
      <c r="C406" s="317" t="s">
        <v>296</v>
      </c>
    </row>
    <row r="407" spans="1:3" x14ac:dyDescent="0.2">
      <c r="A407" s="319" t="s">
        <v>2036</v>
      </c>
      <c r="B407" s="323">
        <f>1/(1+Kp.susp1C*SUSP.w1C/1000+Kp.col1C*COL.w1C/1000)</f>
        <v>0.99828295332028893</v>
      </c>
      <c r="C407" s="317" t="s">
        <v>296</v>
      </c>
    </row>
    <row r="408" spans="1:3" x14ac:dyDescent="0.2">
      <c r="A408" s="319" t="s">
        <v>4465</v>
      </c>
      <c r="B408" s="323">
        <f>1/(1+Kp.susp1R*SUSP.w1R/1000+Kp.col1R*COL.w1R/1000)</f>
        <v>0.99828295332028893</v>
      </c>
      <c r="C408" s="317" t="s">
        <v>296</v>
      </c>
    </row>
    <row r="409" spans="1:3" x14ac:dyDescent="0.2">
      <c r="A409" s="317" t="s">
        <v>3013</v>
      </c>
      <c r="B409" s="318">
        <f>1/(1+Kp.susp2A*SUSP.w2A/1000+Kp.col2A*COL.w2A/1000)</f>
        <v>0.99928051802702045</v>
      </c>
      <c r="C409" s="317" t="s">
        <v>296</v>
      </c>
    </row>
    <row r="410" spans="1:3" x14ac:dyDescent="0.2">
      <c r="A410" s="319" t="s">
        <v>2041</v>
      </c>
      <c r="B410" s="323">
        <f>1/(1+Kp.susp2C*SUSP.w2C/1000+Kp.col2C*COL.w2C/1000)</f>
        <v>0.99928051802702045</v>
      </c>
      <c r="C410" s="317" t="s">
        <v>296</v>
      </c>
    </row>
    <row r="411" spans="1:3" x14ac:dyDescent="0.2">
      <c r="A411" s="317" t="s">
        <v>2612</v>
      </c>
      <c r="B411" s="318">
        <f>1/(1+Kp.susp2M*SUSP.w2M/1000+Kp.col2M*COL.w2M/1000)</f>
        <v>0.99928051802702045</v>
      </c>
      <c r="C411" s="317" t="s">
        <v>296</v>
      </c>
    </row>
    <row r="412" spans="1:3" x14ac:dyDescent="0.2">
      <c r="A412" s="319" t="s">
        <v>4466</v>
      </c>
      <c r="B412" s="318">
        <f>1/(1+Kp.susp2R*SUSP.w2R/1000+Kp.col2R*COL.w2R/1000)</f>
        <v>0.99928051802702045</v>
      </c>
      <c r="C412" s="317" t="s">
        <v>296</v>
      </c>
    </row>
    <row r="413" spans="1:3" x14ac:dyDescent="0.2">
      <c r="A413" s="317" t="s">
        <v>3329</v>
      </c>
      <c r="B413" s="323">
        <f>1/(1+Kp.susp2T*SUSP.w2T/1000+Kp.col2T*COL.w2T/1000)</f>
        <v>0.99928051802702045</v>
      </c>
      <c r="C413" s="317" t="s">
        <v>296</v>
      </c>
    </row>
    <row r="414" spans="1:3" x14ac:dyDescent="0.2">
      <c r="A414" s="317" t="s">
        <v>3014</v>
      </c>
      <c r="B414" s="318">
        <f>1/(1+Kp.susp3A*SUSP.w3A/1000+Kp.col3A*COL.w3A/1000)</f>
        <v>0.99928051802702045</v>
      </c>
      <c r="C414" s="317" t="s">
        <v>296</v>
      </c>
    </row>
    <row r="415" spans="1:3" x14ac:dyDescent="0.2">
      <c r="A415" s="317" t="s">
        <v>2614</v>
      </c>
      <c r="B415" s="318">
        <f>1/(1+Kp.susp3M*SUSP.w3M/1000+Kp.col3M*COL.w3M/1000)</f>
        <v>0.99928051802702045</v>
      </c>
      <c r="C415" s="317" t="s">
        <v>296</v>
      </c>
    </row>
    <row r="416" spans="1:3" x14ac:dyDescent="0.2">
      <c r="A416" s="317" t="s">
        <v>3330</v>
      </c>
      <c r="B416" s="323">
        <f>1/(1+Kp.susp3T*SUSP.w3T/1000+Kp.col3T*COL.w3T/1000)</f>
        <v>0.99928051802702045</v>
      </c>
      <c r="C416" s="317" t="s">
        <v>296</v>
      </c>
    </row>
    <row r="417" spans="1:3" ht="15" x14ac:dyDescent="0.2">
      <c r="A417" s="317" t="s">
        <v>4467</v>
      </c>
      <c r="B417" s="318">
        <f>FRgas.aA*(MTCas.air.aA*MTCas.soil.sA/(FRorig.s1*MTCas.air.aA*Kaw.A+MTCas.soil.sA))*SYSTEMAREA.A*AREAFRAC.sA</f>
        <v>7.5392840637606073E-3</v>
      </c>
      <c r="C417" s="321" t="s">
        <v>1065</v>
      </c>
    </row>
    <row r="418" spans="1:3" ht="15" x14ac:dyDescent="0.2">
      <c r="A418" s="317" t="s">
        <v>4468</v>
      </c>
      <c r="B418" s="318">
        <f>FRgas.aA*(MTCaw.air.aA*MTCaw.water.wA/(FRorig.w1*MTCaw.air.aA*Kaw.A+MTCaw.water.wA))*SYSTEMAREA.A*AREAFRAC.wA</f>
        <v>7.0248109584373386E-2</v>
      </c>
      <c r="C418" s="321" t="s">
        <v>1065</v>
      </c>
    </row>
    <row r="419" spans="1:3" ht="15" x14ac:dyDescent="0.2">
      <c r="A419" s="317" t="s">
        <v>4469</v>
      </c>
      <c r="B419" s="318">
        <f>FRgas.aC*(MTCas.air.aC*MTCas.soil.sC)/(MTCas.air.aC*((Kaw.C*FRorig.s1w)/Ks1w.C)+MTCas.soil.sC)*(SYSTEMAREA.C*AREAFRAC.s1C)</f>
        <v>4.173995526705262E-4</v>
      </c>
      <c r="C419" s="317" t="s">
        <v>1065</v>
      </c>
    </row>
    <row r="420" spans="1:3" ht="15" x14ac:dyDescent="0.2">
      <c r="A420" s="317" t="s">
        <v>4470</v>
      </c>
      <c r="B420" s="318">
        <f>FRgas.aC*(MTCas.air.aC*MTCas.soil.sC)/(MTCas.air.aC*((Kaw.C*FRorig.s2w)/Ks2w.C)+MTCas.soil.sC)*(SYSTEMAREA.C*AREAFRAC.s2C)</f>
        <v>9.2755456149005804E-4</v>
      </c>
      <c r="C420" s="317" t="s">
        <v>1065</v>
      </c>
    </row>
    <row r="421" spans="1:3" ht="15" x14ac:dyDescent="0.2">
      <c r="A421" s="317" t="s">
        <v>4471</v>
      </c>
      <c r="B421" s="318">
        <f>FRgas.aC*(MTCas.air.aC*MTCas.soil.sC)/(MTCas.air.aC*((Kaw.C*FRorig.s3w)/Ks3w.C)+MTCas.soil.sC)*(SYSTEMAREA.C*AREAFRAC.s3C)</f>
        <v>1.5459242691500966E-4</v>
      </c>
      <c r="C421" s="317" t="s">
        <v>1065</v>
      </c>
    </row>
    <row r="422" spans="1:3" ht="15" x14ac:dyDescent="0.2">
      <c r="A422" s="317" t="s">
        <v>4472</v>
      </c>
      <c r="B422" s="318">
        <f>FRgas.aC*(MTCaw.air.aC*MTCaw.water.wC/(FRorig.w1*MTCaw.air.aC*Kaw.C+MTCaw.water.wC))*SYSTEMAREA.C*AREAFRAC.w0C</f>
        <v>2.4007222579763938E-5</v>
      </c>
      <c r="C422" s="317" t="s">
        <v>1065</v>
      </c>
    </row>
    <row r="423" spans="1:3" ht="15" x14ac:dyDescent="0.2">
      <c r="A423" s="317" t="s">
        <v>4473</v>
      </c>
      <c r="B423" s="318">
        <f>FRgas.aC*(MTCaw.air.aC*MTCaw.water.wC/(FRorig.w1*MTCaw.air.aC*Kaw.C+MTCaw.water.wC))*SYSTEMAREA.C*AREAFRAC.w1C</f>
        <v>2.6407944837740331E-4</v>
      </c>
      <c r="C423" s="317" t="s">
        <v>1065</v>
      </c>
    </row>
    <row r="424" spans="1:3" ht="15" x14ac:dyDescent="0.2">
      <c r="A424" s="317" t="s">
        <v>4474</v>
      </c>
      <c r="B424" s="318">
        <f>FRgas.aC*(MTCaw.air.aC*MTCaw.water.wC/(FRorig.w2*MTCaw.air.aC*Kaw.C+MTCaw.water.wC))*SYSTEMAREA.C*AREAFRAC.w2C</f>
        <v>1.0229805200459137E-2</v>
      </c>
      <c r="C424" s="317" t="s">
        <v>1065</v>
      </c>
    </row>
    <row r="425" spans="1:3" ht="15" x14ac:dyDescent="0.2">
      <c r="A425" s="317" t="s">
        <v>4475</v>
      </c>
      <c r="B425" s="318">
        <f>FRgas.aM*(MTCas.air.aM*MTCas.soil.sM/(FRorig.s1*MTCas.air.aM*Kaw.M+MTCas.soil.sM))*SYSTEMAREA.M*AREAFRAC.sM</f>
        <v>1.7200414601785306E-2</v>
      </c>
      <c r="C425" s="321" t="s">
        <v>1065</v>
      </c>
    </row>
    <row r="426" spans="1:3" ht="15" x14ac:dyDescent="0.2">
      <c r="A426" s="317" t="s">
        <v>4476</v>
      </c>
      <c r="B426" s="318">
        <f>FRgas.aM*(MTCaw.air.aM*MTCaw.water.wM/(FRorig.w1*MTCaw.air.aM*Kaw.M+MTCaw.water.wM))*SYSTEMAREA.M*AREAFRAC.wM</f>
        <v>0.10684762261233635</v>
      </c>
      <c r="C426" s="321" t="s">
        <v>1065</v>
      </c>
    </row>
    <row r="427" spans="1:3" ht="15" x14ac:dyDescent="0.2">
      <c r="A427" s="317" t="s">
        <v>4477</v>
      </c>
      <c r="B427" s="318">
        <v>7.8792811842481737E-5</v>
      </c>
      <c r="C427" s="317" t="s">
        <v>1065</v>
      </c>
    </row>
    <row r="428" spans="1:3" ht="15" x14ac:dyDescent="0.2">
      <c r="A428" s="317" t="s">
        <v>4478</v>
      </c>
      <c r="B428" s="318">
        <v>1.7509513742773714E-4</v>
      </c>
      <c r="C428" s="317" t="s">
        <v>1065</v>
      </c>
    </row>
    <row r="429" spans="1:3" ht="15" x14ac:dyDescent="0.2">
      <c r="A429" s="317" t="s">
        <v>4479</v>
      </c>
      <c r="B429" s="318">
        <v>2.918252290462286E-5</v>
      </c>
      <c r="C429" s="317" t="s">
        <v>1065</v>
      </c>
    </row>
    <row r="430" spans="1:3" ht="15" x14ac:dyDescent="0.2">
      <c r="A430" s="317" t="s">
        <v>4480</v>
      </c>
      <c r="B430" s="318">
        <v>3.4399598469625707E-6</v>
      </c>
      <c r="C430" s="317" t="s">
        <v>1065</v>
      </c>
    </row>
    <row r="431" spans="1:3" ht="15" x14ac:dyDescent="0.2">
      <c r="A431" s="317" t="s">
        <v>4481</v>
      </c>
      <c r="B431" s="318">
        <v>3.7839558316588276E-5</v>
      </c>
      <c r="C431" s="317" t="s">
        <v>1065</v>
      </c>
    </row>
    <row r="432" spans="1:3" ht="15" x14ac:dyDescent="0.2">
      <c r="A432" s="317" t="s">
        <v>4482</v>
      </c>
      <c r="B432" s="318">
        <v>6.0199673569804861E-6</v>
      </c>
      <c r="C432" s="317" t="s">
        <v>1065</v>
      </c>
    </row>
    <row r="433" spans="1:3" ht="15" x14ac:dyDescent="0.2">
      <c r="A433" s="317" t="s">
        <v>4483</v>
      </c>
      <c r="B433" s="318">
        <f>FRgas.aT*(MTCas.air.aT*MTCas.soil.sT/(FRorig.s1*MTCas.air.aT*Kaw.T+MTCas.soil.sT))*SYSTEMAREA.T*AREAFRAC.sT</f>
        <v>6.6546737977852433E-2</v>
      </c>
      <c r="C433" s="321" t="s">
        <v>1065</v>
      </c>
    </row>
    <row r="434" spans="1:3" ht="15" x14ac:dyDescent="0.2">
      <c r="A434" s="317" t="s">
        <v>4484</v>
      </c>
      <c r="B434" s="318">
        <f>FRgas.aT*(MTCaw.air.aT*MTCaw.water.wT/(FRorig.w1*MTCaw.air.aT*Kaw.T+MTCaw.water.wT))*SYSTEMAREA.T*AREAFRAC.wT</f>
        <v>0.97463839489055026</v>
      </c>
      <c r="C434" s="321" t="s">
        <v>1065</v>
      </c>
    </row>
    <row r="435" spans="1:3" ht="15" x14ac:dyDescent="0.2">
      <c r="A435" s="317" t="s">
        <v>3048</v>
      </c>
      <c r="B435" s="318">
        <f>FRgas.aA*(tdry.A+twet.A)/twet.A*RAINrate.A/((Kaw.A*FRorig.cldw)+0.0000000555)</f>
        <v>1.0076489354135838E-12</v>
      </c>
      <c r="C435" s="319" t="s">
        <v>1202</v>
      </c>
    </row>
    <row r="436" spans="1:3" ht="15" x14ac:dyDescent="0.2">
      <c r="A436" s="317" t="s">
        <v>2111</v>
      </c>
      <c r="B436" s="318">
        <f>FRgas.aC*(tdry.C+twet.C)/twet.C*RAINrate.C/((Kaw.C*FRorig.cldw)+0.0000000555)</f>
        <v>2.8214170191580335E-12</v>
      </c>
      <c r="C436" s="319" t="s">
        <v>1202</v>
      </c>
    </row>
    <row r="437" spans="1:3" ht="15" x14ac:dyDescent="0.2">
      <c r="A437" s="317" t="s">
        <v>2671</v>
      </c>
      <c r="B437" s="318">
        <f>FRgas.aM*(tdry.M+twet.M)/twet.M*RAINrate.M/((Kaw.M*FRorig.cldw)+0.0000000555)</f>
        <v>2.8214170191580335E-12</v>
      </c>
      <c r="C437" s="319" t="s">
        <v>1202</v>
      </c>
    </row>
    <row r="438" spans="1:3" ht="15" x14ac:dyDescent="0.2">
      <c r="A438" s="317" t="s">
        <v>4485</v>
      </c>
      <c r="B438" s="318">
        <v>7.928709494231241E-12</v>
      </c>
      <c r="C438" s="319" t="s">
        <v>1202</v>
      </c>
    </row>
    <row r="439" spans="1:3" ht="15" x14ac:dyDescent="0.2">
      <c r="A439" s="317" t="s">
        <v>3362</v>
      </c>
      <c r="B439" s="318">
        <f>FRgas.aT*(tdry.T+twet.T)/twet.T*RAINrate.T/((Kaw.T*FRorig.cldw)+0.0000000555)</f>
        <v>2.0770809567657515E-11</v>
      </c>
      <c r="C439" s="319" t="s">
        <v>1202</v>
      </c>
    </row>
    <row r="440" spans="1:3" ht="15" x14ac:dyDescent="0.2">
      <c r="A440" s="319" t="s">
        <v>2147</v>
      </c>
      <c r="B440" s="318">
        <f>IF(SETTLvelocity.C*SUSP.w1C/(FRACs.sdC*RHOsolid)&gt;NETsedrate.w1C,SETTLvelocity.C*SUSP.w1C/(FRACs.sdC*RHOsolid),NETsedrate.w1C)</f>
        <v>8.6805555555555575E-10</v>
      </c>
      <c r="C440" s="319" t="s">
        <v>1202</v>
      </c>
    </row>
    <row r="441" spans="1:3" ht="15" x14ac:dyDescent="0.2">
      <c r="A441" s="319" t="s">
        <v>1269</v>
      </c>
      <c r="B441" s="318">
        <f>IF(SETTLvelocity.R*SUSP.w1R/(FRACs.sdR*RHOsolid)&gt;NETsedrate.w1R,SETTLvelocity.R*SUSP.w1R/(FRACs.sdR*RHOsolid),NETsedrate.w1R)</f>
        <v>8.8231257485029977E-10</v>
      </c>
      <c r="C441" s="319" t="s">
        <v>1202</v>
      </c>
    </row>
    <row r="442" spans="1:3" ht="15" x14ac:dyDescent="0.2">
      <c r="A442" s="319" t="s">
        <v>2148</v>
      </c>
      <c r="B442" s="318">
        <f>IF(SETTLvelocity.C*SUSP.w2C/(FRACs.sdC*RHOsolid)&gt;NETsedrate.w2C,SETTLvelocity.C*SUSP.w2C/(FRACs.sdC*RHOsolid),NETsedrate.w2C)</f>
        <v>2.893518518518519E-10</v>
      </c>
      <c r="C442" s="319" t="s">
        <v>1202</v>
      </c>
    </row>
    <row r="443" spans="1:3" ht="15" x14ac:dyDescent="0.2">
      <c r="A443" s="319" t="s">
        <v>1271</v>
      </c>
      <c r="B443" s="318">
        <f>IF(SETTLvelocity.R*SUSP.w2R/(FRACs.sdR*RHOsolid)&gt;NETsedrate.w2R,SETTLvelocity.R*SUSP.w2R/(FRACs.sdR*RHOsolid),NETsedrate.w2R)</f>
        <v>2.9410419161676659E-10</v>
      </c>
      <c r="C443" s="319" t="s">
        <v>1202</v>
      </c>
    </row>
    <row r="444" spans="1:3" ht="15" x14ac:dyDescent="0.2">
      <c r="A444" s="319" t="s">
        <v>3066</v>
      </c>
      <c r="B444" s="318">
        <f>IF(SETTLvelocity.A*SUSP.w3A/(FRACs.sdA*RHOsolid)&gt;NETsedrate.wA,SETTLvelocity.A*SUSP.w3A/(FRACs.sdA*RHOsolid),NETsedrate.wA)</f>
        <v>2.893518518518519E-10</v>
      </c>
      <c r="C444" s="320" t="s">
        <v>1202</v>
      </c>
    </row>
    <row r="445" spans="1:3" ht="15" x14ac:dyDescent="0.2">
      <c r="A445" s="319" t="s">
        <v>2698</v>
      </c>
      <c r="B445" s="318">
        <f>IF(SETTLvelocity.M*SUSP.w3M/(FRACs.sdM*RHOsolid)&gt;NETsedrate.wM,SETTLvelocity.M*SUSP.w3M/(FRACs.sdM*RHOsolid),NETsedrate.wM)</f>
        <v>2.893518518518519E-10</v>
      </c>
      <c r="C445" s="320" t="s">
        <v>1202</v>
      </c>
    </row>
    <row r="446" spans="1:3" ht="15" x14ac:dyDescent="0.2">
      <c r="A446" s="319" t="s">
        <v>3380</v>
      </c>
      <c r="B446" s="318">
        <f>IF(SETTLvelocity.T*SUSP.w3T/(FRACs.sdT*RHOsolid)&gt;NETsedrate.wT,SETTLvelocity.T*SUSP.w3T/(FRACs.sdT*RHOsolid),NETsedrate.wT)</f>
        <v>2.893518518518519E-10</v>
      </c>
      <c r="C446" s="320" t="s">
        <v>1202</v>
      </c>
    </row>
    <row r="447" spans="1:3" ht="15" x14ac:dyDescent="0.2">
      <c r="A447" s="317" t="s">
        <v>589</v>
      </c>
      <c r="B447" s="321">
        <v>10</v>
      </c>
      <c r="C447" s="317" t="s">
        <v>582</v>
      </c>
    </row>
    <row r="448" spans="1:3" ht="15" x14ac:dyDescent="0.2">
      <c r="A448" s="317" t="s">
        <v>581</v>
      </c>
      <c r="B448" s="321">
        <f>-3.82*LN(IF(Tm&gt;298,Pvap25*EXP(-6.79*(1-Tm/298)),Pvap25))+70</f>
        <v>380.93506746535149</v>
      </c>
      <c r="C448" s="317" t="s">
        <v>582</v>
      </c>
    </row>
    <row r="449" spans="1:3" x14ac:dyDescent="0.2">
      <c r="A449" s="319" t="s">
        <v>2973</v>
      </c>
      <c r="B449" s="318">
        <v>1000</v>
      </c>
      <c r="C449" s="317" t="s">
        <v>820</v>
      </c>
    </row>
    <row r="450" spans="1:3" x14ac:dyDescent="0.2">
      <c r="A450" s="319" t="s">
        <v>1955</v>
      </c>
      <c r="B450" s="318">
        <v>1000</v>
      </c>
      <c r="C450" s="321" t="s">
        <v>820</v>
      </c>
    </row>
    <row r="451" spans="1:3" x14ac:dyDescent="0.2">
      <c r="A451" s="319" t="s">
        <v>2548</v>
      </c>
      <c r="B451" s="318">
        <v>1000</v>
      </c>
      <c r="C451" s="317" t="s">
        <v>820</v>
      </c>
    </row>
    <row r="452" spans="1:3" x14ac:dyDescent="0.2">
      <c r="A452" s="319" t="s">
        <v>995</v>
      </c>
      <c r="B452" s="318">
        <v>1000</v>
      </c>
      <c r="C452" s="317" t="s">
        <v>820</v>
      </c>
    </row>
    <row r="453" spans="1:3" x14ac:dyDescent="0.2">
      <c r="A453" s="319" t="s">
        <v>3294</v>
      </c>
      <c r="B453" s="321">
        <v>1000</v>
      </c>
      <c r="C453" s="317" t="s">
        <v>820</v>
      </c>
    </row>
    <row r="454" spans="1:3" x14ac:dyDescent="0.2">
      <c r="A454" s="321" t="s">
        <v>4486</v>
      </c>
      <c r="B454" s="321">
        <v>0.17199999999999999</v>
      </c>
      <c r="C454" s="317" t="s">
        <v>4487</v>
      </c>
    </row>
    <row r="455" spans="1:3" ht="15" x14ac:dyDescent="0.2">
      <c r="A455" s="317" t="s">
        <v>4488</v>
      </c>
      <c r="B455" s="318">
        <f>kesc.aA+FRgas.aA*kdegG.air*(C.OHrad.aA/C.OHrad)*Tempfactor.aA</f>
        <v>3.663258818281463E-10</v>
      </c>
      <c r="C455" s="317" t="s">
        <v>624</v>
      </c>
    </row>
    <row r="456" spans="1:3" ht="15" x14ac:dyDescent="0.2">
      <c r="A456" s="317" t="s">
        <v>2990</v>
      </c>
      <c r="B456" s="318">
        <f>1/TAU.aA</f>
        <v>6.9234185224561193E-7</v>
      </c>
      <c r="C456" s="317" t="s">
        <v>624</v>
      </c>
    </row>
    <row r="457" spans="1:3" ht="15" x14ac:dyDescent="0.2">
      <c r="A457" s="317" t="s">
        <v>4489</v>
      </c>
      <c r="B457" s="318" t="e">
        <f>(DEPflow.aA.sA+GASABSflow.aA.sA)/VOLUME.aA</f>
        <v>#NAME?</v>
      </c>
      <c r="C457" s="317" t="s">
        <v>624</v>
      </c>
    </row>
    <row r="458" spans="1:3" ht="15" x14ac:dyDescent="0.2">
      <c r="A458" s="317" t="s">
        <v>4490</v>
      </c>
      <c r="B458" s="318" t="e">
        <f>(DEPflow.aA.w2A+GASABSflow.aA.w2A)/VOLUME.aA</f>
        <v>#NAME?</v>
      </c>
      <c r="C458" s="317" t="s">
        <v>624</v>
      </c>
    </row>
    <row r="459" spans="1:3" ht="15" x14ac:dyDescent="0.2">
      <c r="A459" s="317" t="s">
        <v>2176</v>
      </c>
      <c r="B459" s="318">
        <f>kesc.aC+FRgas.aC*kdegG.air*(C.OHrad.aC/C.OHrad)*Tempfactor.aC</f>
        <v>3.663258818281463E-10</v>
      </c>
      <c r="C459" s="317" t="s">
        <v>624</v>
      </c>
    </row>
    <row r="460" spans="1:3" ht="15" x14ac:dyDescent="0.2">
      <c r="A460" s="317" t="s">
        <v>1984</v>
      </c>
      <c r="B460" s="318" t="e">
        <f>1/TAU.aC-AIRflow.aC.aR /VOLUME.aC</f>
        <v>#NAME?</v>
      </c>
      <c r="C460" s="317" t="s">
        <v>624</v>
      </c>
    </row>
    <row r="461" spans="1:3" ht="15" x14ac:dyDescent="0.2">
      <c r="A461" s="317" t="s">
        <v>1982</v>
      </c>
      <c r="B461" s="318" t="e">
        <f>AIRflow.aR.aC/VOLUME.aC</f>
        <v>#NAME?</v>
      </c>
      <c r="C461" s="317" t="s">
        <v>624</v>
      </c>
    </row>
    <row r="462" spans="1:3" ht="15" x14ac:dyDescent="0.2">
      <c r="A462" s="317" t="s">
        <v>4491</v>
      </c>
      <c r="B462" s="318" t="e">
        <f>(DEPflow.aC.s1C+GASABSflow.aC.s1C)/VOLUME.aC</f>
        <v>#NAME?</v>
      </c>
      <c r="C462" s="317" t="s">
        <v>624</v>
      </c>
    </row>
    <row r="463" spans="1:3" ht="15" x14ac:dyDescent="0.2">
      <c r="A463" s="317" t="s">
        <v>4492</v>
      </c>
      <c r="B463" s="318" t="e">
        <f>(DEPflow.aC.s2C+GASABSflow.aC.s2C)/VOLUME.aC</f>
        <v>#NAME?</v>
      </c>
      <c r="C463" s="317" t="s">
        <v>624</v>
      </c>
    </row>
    <row r="464" spans="1:3" ht="15" x14ac:dyDescent="0.2">
      <c r="A464" s="317" t="s">
        <v>4493</v>
      </c>
      <c r="B464" s="318" t="e">
        <f>(DEPflow.aC.s3C+GASABSflow.aC.s3C)/VOLUME.aC</f>
        <v>#NAME?</v>
      </c>
      <c r="C464" s="317" t="s">
        <v>624</v>
      </c>
    </row>
    <row r="465" spans="1:3" ht="15" x14ac:dyDescent="0.2">
      <c r="A465" s="317" t="s">
        <v>4494</v>
      </c>
      <c r="B465" s="318" t="e">
        <f>(DEPflow.aC.w0C+GASABSflow.aC.w0C)/VOLUME.aC</f>
        <v>#NAME?</v>
      </c>
      <c r="C465" s="317" t="s">
        <v>624</v>
      </c>
    </row>
    <row r="466" spans="1:3" ht="15" x14ac:dyDescent="0.2">
      <c r="A466" s="317" t="s">
        <v>4495</v>
      </c>
      <c r="B466" s="318" t="e">
        <f>(DEPflow.aC.w1C+GASABSflow.aC.w1C)/VOLUME.aC</f>
        <v>#NAME?</v>
      </c>
      <c r="C466" s="317" t="s">
        <v>624</v>
      </c>
    </row>
    <row r="467" spans="1:3" ht="15" x14ac:dyDescent="0.2">
      <c r="A467" s="317" t="s">
        <v>4496</v>
      </c>
      <c r="B467" s="318" t="e">
        <f>(DEPflow.aC.w2C+GASABSflow.aC.w2C)/VOLUME.aC</f>
        <v>#NAME?</v>
      </c>
      <c r="C467" s="317" t="s">
        <v>624</v>
      </c>
    </row>
    <row r="468" spans="1:3" ht="15" x14ac:dyDescent="0.2">
      <c r="A468" s="317" t="s">
        <v>4497</v>
      </c>
      <c r="B468" s="318">
        <f>kesc.aM+FRgas.aM*kdegG.air*(C.OHrad.aM/C.OHrad)*Tempfactor.aM</f>
        <v>3.663258818281463E-10</v>
      </c>
      <c r="C468" s="317" t="s">
        <v>624</v>
      </c>
    </row>
    <row r="469" spans="1:3" ht="15" x14ac:dyDescent="0.2">
      <c r="A469" s="317" t="s">
        <v>2571</v>
      </c>
      <c r="B469" s="318" t="e">
        <f>AIRflow.aA.aM/VOLUME.aM</f>
        <v>#NAME?</v>
      </c>
      <c r="C469" s="317" t="s">
        <v>624</v>
      </c>
    </row>
    <row r="470" spans="1:3" ht="15" x14ac:dyDescent="0.2">
      <c r="A470" s="317" t="s">
        <v>2569</v>
      </c>
      <c r="B470" s="318" t="e">
        <f>AIRflow.aC.aM/VOLUME.aM</f>
        <v>#NAME?</v>
      </c>
      <c r="C470" s="317" t="s">
        <v>624</v>
      </c>
    </row>
    <row r="471" spans="1:3" ht="15" x14ac:dyDescent="0.2">
      <c r="A471" s="317" t="s">
        <v>2573</v>
      </c>
      <c r="B471" s="318" t="e">
        <f>AIRflow.aT.aM/VOLUME.aM</f>
        <v>#NAME?</v>
      </c>
      <c r="C471" s="317" t="s">
        <v>624</v>
      </c>
    </row>
    <row r="472" spans="1:3" ht="15" x14ac:dyDescent="0.2">
      <c r="A472" s="317" t="s">
        <v>4498</v>
      </c>
      <c r="B472" s="318" t="e">
        <f>(DEPflow.aM.sM+GASABSflow.aM.sM)/VOLUME.aM</f>
        <v>#NAME?</v>
      </c>
      <c r="C472" s="317" t="s">
        <v>624</v>
      </c>
    </row>
    <row r="473" spans="1:3" ht="15" x14ac:dyDescent="0.2">
      <c r="A473" s="317" t="s">
        <v>4499</v>
      </c>
      <c r="B473" s="318" t="e">
        <f>(DEPflow.aM.w2M+GASABSflow.aM.w2M)/VOLUME.aM</f>
        <v>#NAME?</v>
      </c>
      <c r="C473" s="317" t="s">
        <v>624</v>
      </c>
    </row>
    <row r="474" spans="1:3" ht="15" x14ac:dyDescent="0.2">
      <c r="A474" s="317" t="s">
        <v>4500</v>
      </c>
      <c r="B474" s="318">
        <f>kesc.aR+FRgas.aR*kdegG.air*(C.OHrad.aR/C.OHrad)*Tempfactor.aR</f>
        <v>3.663258818281463E-10</v>
      </c>
      <c r="C474" s="317" t="s">
        <v>624</v>
      </c>
    </row>
    <row r="475" spans="1:3" ht="15" x14ac:dyDescent="0.2">
      <c r="A475" s="317" t="s">
        <v>1047</v>
      </c>
      <c r="B475" s="318">
        <f>1/TAU.aR</f>
        <v>9.4201427396491372E-6</v>
      </c>
      <c r="C475" s="317" t="s">
        <v>624</v>
      </c>
    </row>
    <row r="476" spans="1:3" ht="15" x14ac:dyDescent="0.2">
      <c r="A476" s="317" t="s">
        <v>4501</v>
      </c>
      <c r="B476" s="325" t="e">
        <f>(DEPflow.aR.s1R+GASABSflow.aR.s1R)/VOLUME.aR</f>
        <v>#NAME?</v>
      </c>
      <c r="C476" s="317" t="s">
        <v>624</v>
      </c>
    </row>
    <row r="477" spans="1:3" ht="15" x14ac:dyDescent="0.2">
      <c r="A477" s="317" t="s">
        <v>4502</v>
      </c>
      <c r="B477" s="325" t="e">
        <f>(DEPflow.aR.s2R+GASABSflow.aR.s2R)/VOLUME.aR</f>
        <v>#NAME?</v>
      </c>
      <c r="C477" s="317" t="s">
        <v>624</v>
      </c>
    </row>
    <row r="478" spans="1:3" ht="15" x14ac:dyDescent="0.2">
      <c r="A478" s="317" t="s">
        <v>4503</v>
      </c>
      <c r="B478" s="325" t="e">
        <f>(DEPflow.aR.s3R+GASABSflow.aR.s3R)/VOLUME.aR</f>
        <v>#NAME?</v>
      </c>
      <c r="C478" s="317" t="s">
        <v>624</v>
      </c>
    </row>
    <row r="479" spans="1:3" ht="15" x14ac:dyDescent="0.2">
      <c r="A479" s="317" t="s">
        <v>4504</v>
      </c>
      <c r="B479" s="325" t="e">
        <f>(DEPflow.aR.w0R+GASABSflow.aR.w0R)/VOLUME.aR</f>
        <v>#NAME?</v>
      </c>
      <c r="C479" s="317" t="s">
        <v>624</v>
      </c>
    </row>
    <row r="480" spans="1:3" ht="15" x14ac:dyDescent="0.2">
      <c r="A480" s="317" t="s">
        <v>4505</v>
      </c>
      <c r="B480" s="325" t="e">
        <f>(DEPflow.aR.w1R+GASABSflow.aR.w1R)/VOLUME.aR</f>
        <v>#NAME?</v>
      </c>
      <c r="C480" s="317" t="s">
        <v>624</v>
      </c>
    </row>
    <row r="481" spans="1:3" ht="15" x14ac:dyDescent="0.2">
      <c r="A481" s="317" t="s">
        <v>4506</v>
      </c>
      <c r="B481" s="325" t="e">
        <f>(DEPflow.aR.w2R+GASABSflow.aR.w2R)/VOLUME.aR</f>
        <v>#NAME?</v>
      </c>
      <c r="C481" s="317" t="s">
        <v>624</v>
      </c>
    </row>
    <row r="482" spans="1:3" ht="15" x14ac:dyDescent="0.2">
      <c r="A482" s="317" t="s">
        <v>4507</v>
      </c>
      <c r="B482" s="325">
        <f>kesc.aT+FRgas.aT*kdegG.air*(C.OHrad.aT/C.OHrad)*Tempfactor.aT</f>
        <v>3.663258818281463E-10</v>
      </c>
      <c r="C482" s="317" t="s">
        <v>624</v>
      </c>
    </row>
    <row r="483" spans="1:3" ht="15" x14ac:dyDescent="0.2">
      <c r="A483" s="317" t="s">
        <v>3308</v>
      </c>
      <c r="B483" s="318">
        <f>1/TAU.aT</f>
        <v>3.9972375476524815E-7</v>
      </c>
      <c r="C483" s="317" t="s">
        <v>624</v>
      </c>
    </row>
    <row r="484" spans="1:3" ht="15" x14ac:dyDescent="0.2">
      <c r="A484" s="317" t="s">
        <v>4508</v>
      </c>
      <c r="B484" s="318" t="e">
        <f>(DEPflow.aT.sT+GASABSflow.aT.sT)/VOLUME.aT</f>
        <v>#NAME?</v>
      </c>
      <c r="C484" s="317" t="s">
        <v>624</v>
      </c>
    </row>
    <row r="485" spans="1:3" ht="15" x14ac:dyDescent="0.2">
      <c r="A485" s="317" t="s">
        <v>4509</v>
      </c>
      <c r="B485" s="318" t="e">
        <f>(DEPflow.aT.w2T+GASABSflow.aT.w2T)/VOLUME.aT</f>
        <v>#NAME?</v>
      </c>
      <c r="C485" s="317" t="s">
        <v>624</v>
      </c>
    </row>
    <row r="486" spans="1:3" ht="15" x14ac:dyDescent="0.2">
      <c r="A486" s="317" t="s">
        <v>2183</v>
      </c>
      <c r="B486" s="318">
        <f>Tempfactor.wsdsC*kdeg.soil+FRACinf.s1C*RAINrate.C/Ks1w.C*CORRleach.s1C*SYSTEMAREA.C*AREAFRAC.s1C/VOLUME.s1C</f>
        <v>3.1465974921184265E-11</v>
      </c>
      <c r="C486" s="317" t="s">
        <v>624</v>
      </c>
    </row>
    <row r="487" spans="1:3" ht="15" x14ac:dyDescent="0.2">
      <c r="A487" s="317" t="s">
        <v>4510</v>
      </c>
      <c r="B487" s="318" t="e">
        <f>VOLATflow.s1C.aC/VOLUME.s1C</f>
        <v>#NAME?</v>
      </c>
      <c r="C487" s="317" t="s">
        <v>624</v>
      </c>
    </row>
    <row r="488" spans="1:3" ht="15" x14ac:dyDescent="0.2">
      <c r="A488" s="317" t="s">
        <v>2162</v>
      </c>
      <c r="B488" s="318">
        <f>(RAINrate.C*FRACrun.s1C/Ks1w.C+EROSION.s1C)*CORRrunoff.s1C * (SYSTEMAREA.C*AREAFRAC.s1C/VOLUME.s1C)</f>
        <v>4.6941418162982244E-9</v>
      </c>
      <c r="C488" s="317" t="s">
        <v>624</v>
      </c>
    </row>
    <row r="489" spans="1:3" ht="15" x14ac:dyDescent="0.2">
      <c r="A489" s="317" t="s">
        <v>4511</v>
      </c>
      <c r="B489" s="318">
        <f>Tempfactor.wsdsR*kdeg.soil+FRACinf.s1R*RAINrate.R/Ks1w.R*CORRleach.s1R*SYSTEMAREA.R*AREAFRAC.s1R/VOLUME.s1R</f>
        <v>3.1465974921184272E-11</v>
      </c>
      <c r="C489" s="317" t="s">
        <v>624</v>
      </c>
    </row>
    <row r="490" spans="1:3" ht="15" x14ac:dyDescent="0.2">
      <c r="A490" s="317" t="s">
        <v>4512</v>
      </c>
      <c r="B490" s="318" t="e">
        <f>VOLATflow.s1R.aR/VOLUME.s1R</f>
        <v>#NAME?</v>
      </c>
      <c r="C490" s="317" t="s">
        <v>624</v>
      </c>
    </row>
    <row r="491" spans="1:3" ht="15" x14ac:dyDescent="0.2">
      <c r="A491" s="317" t="s">
        <v>4513</v>
      </c>
      <c r="B491" s="318">
        <f>(RAINrate.R*FRACrun.s1R/Ks1w.R+EROSION.s1R)*CORRrunoff.s1R * (SYSTEMAREA.R*AREAFRAC.s1R/VOLUME.s1R)</f>
        <v>4.6941418162982244E-9</v>
      </c>
      <c r="C491" s="317" t="s">
        <v>624</v>
      </c>
    </row>
    <row r="492" spans="1:3" ht="15" x14ac:dyDescent="0.2">
      <c r="A492" s="317" t="s">
        <v>2184</v>
      </c>
      <c r="B492" s="318">
        <f>Tempfactor.wsdsC*kdeg.soil+FRACinf.s2C*RAINrate.C/Ks2w.C*CORRleach.s2C*SYSTEMAREA.C*AREAFRAC.s2C/VOLUME.s2C</f>
        <v>1.4318725114625947E-11</v>
      </c>
      <c r="C492" s="317" t="s">
        <v>624</v>
      </c>
    </row>
    <row r="493" spans="1:3" ht="15" x14ac:dyDescent="0.2">
      <c r="A493" s="317" t="s">
        <v>4514</v>
      </c>
      <c r="B493" s="318" t="e">
        <f>VOLATflow.s2C.aC/VOLUME.s2C</f>
        <v>#NAME?</v>
      </c>
      <c r="C493" s="317" t="s">
        <v>624</v>
      </c>
    </row>
    <row r="494" spans="1:3" ht="15" x14ac:dyDescent="0.2">
      <c r="A494" s="317" t="s">
        <v>2164</v>
      </c>
      <c r="B494" s="318">
        <f>(RAINrate.C*FRACrun.s2C/Ks2w.C+EROSION.s2C)*CORRrunoff.s2C * (SYSTEMAREA.C*AREAFRAC.s2C/VOLUME.s2C)</f>
        <v>2.1360891081434388E-9</v>
      </c>
      <c r="C494" s="317" t="s">
        <v>624</v>
      </c>
    </row>
    <row r="495" spans="1:3" ht="15" x14ac:dyDescent="0.2">
      <c r="A495" s="317" t="s">
        <v>4515</v>
      </c>
      <c r="B495" s="318">
        <f>Tempfactor.wsdsR*kdeg.soil+FRACinf.s2R*RAINrate.R/Ks2w.R*CORRleach.s2R*SYSTEMAREA.R*AREAFRAC.s2R/VOLUME.s2R</f>
        <v>1.4318725114625947E-11</v>
      </c>
      <c r="C495" s="317" t="s">
        <v>624</v>
      </c>
    </row>
    <row r="496" spans="1:3" ht="15" x14ac:dyDescent="0.2">
      <c r="A496" s="317" t="s">
        <v>4516</v>
      </c>
      <c r="B496" s="318" t="e">
        <f>VOLATflow.s2R.aR/VOLUME.s2R</f>
        <v>#NAME?</v>
      </c>
      <c r="C496" s="317" t="s">
        <v>624</v>
      </c>
    </row>
    <row r="497" spans="1:3" ht="15" x14ac:dyDescent="0.2">
      <c r="A497" s="317" t="s">
        <v>4517</v>
      </c>
      <c r="B497" s="318">
        <f>(RAINrate.R*FRACrun.s2R/Ks2w.R+EROSION.s2R)*CORRrunoff.s2R * (SYSTEMAREA.R*AREAFRAC.s2R/VOLUME.s2R)</f>
        <v>2.1360891081434384E-9</v>
      </c>
      <c r="C497" s="317" t="s">
        <v>624</v>
      </c>
    </row>
    <row r="498" spans="1:3" ht="15" x14ac:dyDescent="0.2">
      <c r="A498" s="317" t="s">
        <v>2185</v>
      </c>
      <c r="B498" s="318">
        <f>Tempfactor.wsdsC*kdeg.soil+FRACinf.s3C*RAINrate.C/Ks3w.C*CORRleach.s3C*SYSTEMAREA.C*AREAFRAC.s3C/VOLUME.s3C</f>
        <v>3.1465974921184272E-11</v>
      </c>
      <c r="C498" s="317" t="s">
        <v>624</v>
      </c>
    </row>
    <row r="499" spans="1:3" ht="15" x14ac:dyDescent="0.2">
      <c r="A499" s="317" t="s">
        <v>4518</v>
      </c>
      <c r="B499" s="318" t="e">
        <f>VOLATflow.s3C.aC/VOLUME.s3C</f>
        <v>#NAME?</v>
      </c>
      <c r="C499" s="317" t="s">
        <v>624</v>
      </c>
    </row>
    <row r="500" spans="1:3" ht="15" x14ac:dyDescent="0.2">
      <c r="A500" s="317" t="s">
        <v>2166</v>
      </c>
      <c r="B500" s="318">
        <f>(RAINrate.C*FRACrun.s3C/Ks3w.C+EROSION.s3C)*CORRrunoff.s3C * (SYSTEMAREA.C*AREAFRAC.s3C/VOLUME.s3C)</f>
        <v>4.6941418162982244E-9</v>
      </c>
      <c r="C500" s="317" t="s">
        <v>624</v>
      </c>
    </row>
    <row r="501" spans="1:3" ht="15" x14ac:dyDescent="0.2">
      <c r="A501" s="317" t="s">
        <v>4519</v>
      </c>
      <c r="B501" s="318">
        <f>Tempfactor.wsdsR*kdeg.soil+FRACinf.s3R*RAINrate.R/Ks3w.R*CORRleach.s3R*SYSTEMAREA.R*AREAFRAC.s3R/VOLUME.s3R</f>
        <v>3.1465974921184272E-11</v>
      </c>
      <c r="C501" s="317" t="s">
        <v>624</v>
      </c>
    </row>
    <row r="502" spans="1:3" ht="15" x14ac:dyDescent="0.2">
      <c r="A502" s="317" t="s">
        <v>4520</v>
      </c>
      <c r="B502" s="318" t="e">
        <f>VOLATflow.s3R.aR/VOLUME.s3R</f>
        <v>#NAME?</v>
      </c>
      <c r="C502" s="317" t="s">
        <v>624</v>
      </c>
    </row>
    <row r="503" spans="1:3" ht="15" x14ac:dyDescent="0.2">
      <c r="A503" s="317" t="s">
        <v>4521</v>
      </c>
      <c r="B503" s="318">
        <f>(RAINrate.R*FRACrun.s3R/Ks3w.R+EROSION.s3R)*CORRrunoff.s3R * (SYSTEMAREA.R*AREAFRAC.s3R/VOLUME.s3R)</f>
        <v>4.6941418162982244E-9</v>
      </c>
      <c r="C503" s="317" t="s">
        <v>624</v>
      </c>
    </row>
    <row r="504" spans="1:3" ht="15" x14ac:dyDescent="0.2">
      <c r="A504" s="317" t="s">
        <v>4522</v>
      </c>
      <c r="B504" s="318">
        <f>Tempfactor.wsdsA*kdeg.soil+FRACinf.sA*RAINrate.A/Kslw.A*CORRleach.sA*SYSTEMAREA.A*AREAFRAC.sA/VOLUME.sA</f>
        <v>1.1237848185570673E-11</v>
      </c>
      <c r="C504" s="317" t="s">
        <v>624</v>
      </c>
    </row>
    <row r="505" spans="1:3" ht="15" x14ac:dyDescent="0.2">
      <c r="A505" s="317" t="s">
        <v>4523</v>
      </c>
      <c r="B505" s="318" t="e">
        <f>VOLATflow.sA.aA/VOLUME.sA</f>
        <v>#NAME?</v>
      </c>
      <c r="C505" s="317" t="s">
        <v>624</v>
      </c>
    </row>
    <row r="506" spans="1:3" ht="15" x14ac:dyDescent="0.2">
      <c r="A506" s="317" t="s">
        <v>4524</v>
      </c>
      <c r="B506" s="318">
        <f>(RAINrate.A*FRACrun.sA/Kslw.A+EROSION.sA)*CORRrunoff.sA * (SYSTEMAREA.A*AREAFRAC.sA/VOLUME.sA)</f>
        <v>1.6920216252100849E-9</v>
      </c>
      <c r="C506" s="317" t="s">
        <v>624</v>
      </c>
    </row>
    <row r="507" spans="1:3" ht="15" x14ac:dyDescent="0.2">
      <c r="A507" s="317" t="s">
        <v>2181</v>
      </c>
      <c r="B507" s="318">
        <f>Tempfactor.wsdsC*kdeg.sed+NETsedrate.w1C*SYSTEMAREA.C*AREAFRAC.w1C/VOLUME.sd1C</f>
        <v>2.8742283951576204E-9</v>
      </c>
      <c r="C507" s="317" t="s">
        <v>624</v>
      </c>
    </row>
    <row r="508" spans="1:3" ht="15" x14ac:dyDescent="0.2">
      <c r="A508" s="317" t="s">
        <v>4525</v>
      </c>
      <c r="B508" s="318" t="e">
        <f>(RESUSPflow.sd1C.w1C+DESORBflow.sd1C.w1C)/VOLUME.sd1C</f>
        <v>#NAME?</v>
      </c>
      <c r="C508" s="317" t="s">
        <v>624</v>
      </c>
    </row>
    <row r="509" spans="1:3" ht="15" x14ac:dyDescent="0.2">
      <c r="A509" s="317" t="s">
        <v>4526</v>
      </c>
      <c r="B509" s="318">
        <f>Tempfactor.wsdsR*kdeg.sed+NETsedrate.w1R*(SYSTEMAREA.R*AREAFRAC.w1R/VOLUME.sd1R)</f>
        <v>2.8953682563883014E-9</v>
      </c>
      <c r="C509" s="317" t="s">
        <v>624</v>
      </c>
    </row>
    <row r="510" spans="1:3" ht="15" x14ac:dyDescent="0.2">
      <c r="A510" s="317" t="s">
        <v>4527</v>
      </c>
      <c r="B510" s="318">
        <f>(RESUSPflow.sd1R.w1R+DESORBflow.sd1R.w1R)/VOLUME.sd1R</f>
        <v>9.8718375760761382E-18</v>
      </c>
      <c r="C510" s="317" t="s">
        <v>624</v>
      </c>
    </row>
    <row r="511" spans="1:3" ht="15" x14ac:dyDescent="0.2">
      <c r="A511" s="317" t="s">
        <v>2182</v>
      </c>
      <c r="B511" s="318">
        <f>Tempfactor.wsdsC*kdeg.sed+NETsedrate.w2C*SYSTEMAREA.C*AREAFRAC.w2C/VOLUME.sd2C</f>
        <v>9.1333333333739474E-10</v>
      </c>
      <c r="C511" s="317" t="s">
        <v>624</v>
      </c>
    </row>
    <row r="512" spans="1:3" ht="15" x14ac:dyDescent="0.2">
      <c r="A512" s="317" t="s">
        <v>4528</v>
      </c>
      <c r="B512" s="318" t="e">
        <f>(RESUSPflow.sd2C.w2C+DESORBflow.sd2C.w2C)/VOLUME.sd2C</f>
        <v>#NAME?</v>
      </c>
      <c r="C512" s="317" t="s">
        <v>624</v>
      </c>
    </row>
    <row r="513" spans="1:3" ht="15" x14ac:dyDescent="0.2">
      <c r="A513" s="317" t="s">
        <v>4529</v>
      </c>
      <c r="B513" s="318">
        <f>Tempfactor.wsdsR*kdeg.sed+NETsedrate.w2R*(SYSTEMAREA.R*AREAFRAC.w2R/VOLUME.sd2R)</f>
        <v>9.1429324159056473E-10</v>
      </c>
      <c r="C513" s="317" t="s">
        <v>624</v>
      </c>
    </row>
    <row r="514" spans="1:3" ht="15" x14ac:dyDescent="0.2">
      <c r="A514" s="317" t="s">
        <v>4530</v>
      </c>
      <c r="B514" s="318">
        <f>(RESUSPflow.sd2R.w2R+DESORBflow.sd2R.w2R)/VOLUME.sd2R</f>
        <v>4.4425291563015637E-17</v>
      </c>
      <c r="C514" s="317" t="s">
        <v>624</v>
      </c>
    </row>
    <row r="515" spans="1:3" ht="15" x14ac:dyDescent="0.2">
      <c r="A515" s="317" t="s">
        <v>4531</v>
      </c>
      <c r="B515" s="318">
        <f>Tempfactor.wsdsA*kdeg.sed+NETsedrate.wA*SYSTEMAREA.A*AREAFRAC.wA/VOLUME.sdA</f>
        <v>2.1139861331348332E-12</v>
      </c>
      <c r="C515" s="317" t="s">
        <v>624</v>
      </c>
    </row>
    <row r="516" spans="1:3" ht="15" x14ac:dyDescent="0.2">
      <c r="A516" s="317" t="s">
        <v>4532</v>
      </c>
      <c r="B516" s="318" t="e">
        <f>(RESUSPflow.sdA.w3A+DESORBflow.sdA.w3A)/VOLUME.sdA</f>
        <v>#NAME?</v>
      </c>
      <c r="C516" s="317" t="s">
        <v>624</v>
      </c>
    </row>
    <row r="517" spans="1:3" ht="15" x14ac:dyDescent="0.2">
      <c r="A517" s="317" t="s">
        <v>4533</v>
      </c>
      <c r="B517" s="318">
        <f>Tempfactor.wsdsM*kdeg.sed+NETsedrate.wM*SYSTEMAREA.M*AREAFRAC.wM/VOLUME.sdM</f>
        <v>2.9839343187174201E-12</v>
      </c>
      <c r="C517" s="317" t="s">
        <v>624</v>
      </c>
    </row>
    <row r="518" spans="1:3" ht="15" x14ac:dyDescent="0.2">
      <c r="A518" s="317" t="s">
        <v>4534</v>
      </c>
      <c r="B518" s="318">
        <f>(RESUSPflow.sdM.w3M+DESORBflow.sdM.w3M)/VOLUME.sdM</f>
        <v>1.1648189326187991E-21</v>
      </c>
      <c r="C518" s="317" t="s">
        <v>624</v>
      </c>
    </row>
    <row r="519" spans="1:3" ht="15" x14ac:dyDescent="0.2">
      <c r="A519" s="317" t="s">
        <v>4535</v>
      </c>
      <c r="B519" s="318">
        <f>Tempfactor.wsdsT*kdeg.sed+NETsedrate.wT*SYSTEMAREA.T*AREAFRAC.wT/VOLUME.sdT</f>
        <v>2.1139861422509831E-12</v>
      </c>
      <c r="C519" s="317" t="s">
        <v>624</v>
      </c>
    </row>
    <row r="520" spans="1:3" ht="15" x14ac:dyDescent="0.2">
      <c r="A520" s="317" t="s">
        <v>4536</v>
      </c>
      <c r="B520" s="318" t="e">
        <f>(RESUSPflow.sdT.w3T+DESORBflow.sdT.w3T)/VOLUME.sdT</f>
        <v>#NAME?</v>
      </c>
      <c r="C520" s="317" t="s">
        <v>624</v>
      </c>
    </row>
    <row r="521" spans="1:3" ht="15" x14ac:dyDescent="0.2">
      <c r="A521" s="317" t="s">
        <v>4537</v>
      </c>
      <c r="B521" s="318">
        <f>Tempfactor.wsdsM*kdeg.soil+FRACinf.sM*RAINrate.M/Kslw.M*CORRleach.sM*SYSTEMAREA.M*AREAFRAC.sM/VOLUME.sM</f>
        <v>3.1465974921184272E-11</v>
      </c>
      <c r="C521" s="317" t="s">
        <v>624</v>
      </c>
    </row>
    <row r="522" spans="1:3" ht="15" x14ac:dyDescent="0.2">
      <c r="A522" s="317" t="s">
        <v>4538</v>
      </c>
      <c r="B522" s="318" t="e">
        <f>VOLATflow.sM.aM/VOLUME.sM</f>
        <v>#NAME?</v>
      </c>
      <c r="C522" s="317" t="s">
        <v>624</v>
      </c>
    </row>
    <row r="523" spans="1:3" ht="15" x14ac:dyDescent="0.2">
      <c r="A523" s="317" t="s">
        <v>4539</v>
      </c>
      <c r="B523" s="318">
        <f>(RAINrate.M*FRACrun.sM/Kslw.M+EROSION.sM)*CORRrunoff.sM * (SYSTEMAREA.M*AREAFRAC.sM/VOLUME.sM)</f>
        <v>4.6941418162982244E-9</v>
      </c>
      <c r="C523" s="317" t="s">
        <v>624</v>
      </c>
    </row>
    <row r="524" spans="1:3" ht="15" x14ac:dyDescent="0.2">
      <c r="A524" s="317" t="s">
        <v>4540</v>
      </c>
      <c r="B524" s="318">
        <f>Tempfactor.wsdsT*kdeg.soil+FRACinf.sT*RAINrate.T/Kslw.T*CORRleach.sT*SYSTEMAREA.T*AREAFRAC.sT/VOLUME.sT</f>
        <v>5.8436810570371303E-11</v>
      </c>
      <c r="C524" s="317" t="s">
        <v>624</v>
      </c>
    </row>
    <row r="525" spans="1:3" ht="15" x14ac:dyDescent="0.2">
      <c r="A525" s="317" t="s">
        <v>4541</v>
      </c>
      <c r="B525" s="318" t="e">
        <f>VOLATflow.sT.aT/VOLUME.sT</f>
        <v>#NAME?</v>
      </c>
      <c r="C525" s="317" t="s">
        <v>624</v>
      </c>
    </row>
    <row r="526" spans="1:3" ht="15" x14ac:dyDescent="0.2">
      <c r="A526" s="317" t="s">
        <v>4542</v>
      </c>
      <c r="B526" s="318">
        <f>(RAINrate.T*FRACrun.sT/Kslw.T+EROSION.sT)*CORRrunoff.sT * (SYSTEMAREA.T*AREAFRAC.sT/VOLUME.sT)</f>
        <v>8.6969687377490755E-9</v>
      </c>
      <c r="C526" s="317" t="s">
        <v>624</v>
      </c>
    </row>
    <row r="527" spans="1:3" ht="15" x14ac:dyDescent="0.2">
      <c r="A527" s="317" t="s">
        <v>2177</v>
      </c>
      <c r="B527" s="318">
        <f>kdeg.water*Tempfactor.wsdsC*(BACT.w0C/BACT.test)*FRw.w0C</f>
        <v>4.0601657370321782E-21</v>
      </c>
      <c r="C527" s="317" t="s">
        <v>624</v>
      </c>
    </row>
    <row r="528" spans="1:3" ht="15" x14ac:dyDescent="0.2">
      <c r="A528" s="317" t="s">
        <v>4543</v>
      </c>
      <c r="B528" s="318" t="e">
        <f>VOLATflow.w0C.aC/VOLUME.w0C</f>
        <v>#NAME?</v>
      </c>
      <c r="C528" s="317" t="s">
        <v>624</v>
      </c>
    </row>
    <row r="529" spans="1:3" ht="15" x14ac:dyDescent="0.2">
      <c r="A529" s="317" t="s">
        <v>1988</v>
      </c>
      <c r="B529" s="318">
        <f>WATERflow.w0C.w1C/VOLUME.w0C</f>
        <v>2.3972602739726029E-9</v>
      </c>
      <c r="C529" s="317" t="s">
        <v>624</v>
      </c>
    </row>
    <row r="530" spans="1:3" ht="15" x14ac:dyDescent="0.2">
      <c r="A530" s="317" t="s">
        <v>1990</v>
      </c>
      <c r="B530" s="318">
        <f>WATERflow.w0C.w2C/VOLUME.w0C</f>
        <v>0</v>
      </c>
      <c r="C530" s="317" t="s">
        <v>624</v>
      </c>
    </row>
    <row r="531" spans="1:3" ht="15" x14ac:dyDescent="0.2">
      <c r="A531" s="317" t="s">
        <v>4544</v>
      </c>
      <c r="B531" s="318" t="e">
        <f>kdeg.water*Tempfactor.wsdsR*(BACT.w0R/BACT.test)*FRw.w0R</f>
        <v>#NAME?</v>
      </c>
      <c r="C531" s="317" t="s">
        <v>624</v>
      </c>
    </row>
    <row r="532" spans="1:3" ht="15" x14ac:dyDescent="0.2">
      <c r="A532" s="317" t="s">
        <v>4545</v>
      </c>
      <c r="B532" s="318" t="e">
        <f>VOLATflow.w0R.aR/VOLUME.w0R</f>
        <v>#NAME?</v>
      </c>
      <c r="C532" s="317" t="s">
        <v>624</v>
      </c>
    </row>
    <row r="533" spans="1:3" ht="15" x14ac:dyDescent="0.2">
      <c r="A533" s="317" t="s">
        <v>1054</v>
      </c>
      <c r="B533" s="318">
        <f>WATERflow.w0R.w1R/VOLUME.w0R</f>
        <v>2.397260273972603E-8</v>
      </c>
      <c r="C533" s="317" t="s">
        <v>624</v>
      </c>
    </row>
    <row r="534" spans="1:3" ht="15" x14ac:dyDescent="0.2">
      <c r="A534" s="317" t="s">
        <v>1056</v>
      </c>
      <c r="B534" s="318">
        <f>WATERflow.w0R.w2R/VOLUME.w0R</f>
        <v>0</v>
      </c>
      <c r="C534" s="317" t="s">
        <v>624</v>
      </c>
    </row>
    <row r="535" spans="1:3" ht="15" x14ac:dyDescent="0.2">
      <c r="A535" s="317" t="s">
        <v>2178</v>
      </c>
      <c r="B535" s="318">
        <f>kdeg.water*Tempfactor.wsdsC*(BACT.w1C/BACT.test)*FRw.w1C</f>
        <v>4.0542886053799232E-21</v>
      </c>
      <c r="C535" s="317" t="s">
        <v>624</v>
      </c>
    </row>
    <row r="536" spans="1:3" ht="15" x14ac:dyDescent="0.2">
      <c r="A536" s="317" t="s">
        <v>4546</v>
      </c>
      <c r="B536" s="318" t="e">
        <f>VOLATflow.w1C.aC/VOLUME.w1C</f>
        <v>#NAME?</v>
      </c>
      <c r="C536" s="317" t="s">
        <v>624</v>
      </c>
    </row>
    <row r="537" spans="1:3" ht="15" x14ac:dyDescent="0.2">
      <c r="A537" s="317" t="s">
        <v>4547</v>
      </c>
      <c r="B537" s="318" t="e">
        <f>(SEDflow.w1C.sd1C+ADSORBflow.w1C.sd1C)/VOLUME.w1C</f>
        <v>#NAME?</v>
      </c>
      <c r="C537" s="317" t="s">
        <v>624</v>
      </c>
    </row>
    <row r="538" spans="1:3" ht="15" x14ac:dyDescent="0.2">
      <c r="A538" s="317" t="s">
        <v>1992</v>
      </c>
      <c r="B538" s="318">
        <f>WATERflow.w1C.w0C/VOLUME.w1C</f>
        <v>0</v>
      </c>
      <c r="C538" s="317" t="s">
        <v>624</v>
      </c>
    </row>
    <row r="539" spans="1:3" ht="15" x14ac:dyDescent="0.2">
      <c r="A539" s="317" t="s">
        <v>1994</v>
      </c>
      <c r="B539" s="318">
        <v>0</v>
      </c>
      <c r="C539" s="317" t="s">
        <v>624</v>
      </c>
    </row>
    <row r="540" spans="1:3" ht="15" x14ac:dyDescent="0.2">
      <c r="A540" s="317" t="s">
        <v>1996</v>
      </c>
      <c r="B540" s="318">
        <f>WATERflow.w1C.w2C*(1-FRAC.w1C.w1R)/VOLUME.w1C</f>
        <v>7.2644250726442513E-8</v>
      </c>
      <c r="C540" s="317" t="s">
        <v>624</v>
      </c>
    </row>
    <row r="541" spans="1:3" ht="15" x14ac:dyDescent="0.2">
      <c r="A541" s="317" t="s">
        <v>4548</v>
      </c>
      <c r="B541" s="318" t="e">
        <f>kdeg.water*Tempfactor.wsdsR*(BACT.w1R/BACT.test)*FRw.w1R</f>
        <v>#NAME?</v>
      </c>
      <c r="C541" s="317" t="s">
        <v>624</v>
      </c>
    </row>
    <row r="542" spans="1:3" ht="15" x14ac:dyDescent="0.2">
      <c r="A542" s="317" t="s">
        <v>4549</v>
      </c>
      <c r="B542" s="318" t="e">
        <f>VOLATflow.w1R.aR/VOLUME.w1R</f>
        <v>#NAME?</v>
      </c>
      <c r="C542" s="317" t="s">
        <v>624</v>
      </c>
    </row>
    <row r="543" spans="1:3" ht="15" x14ac:dyDescent="0.2">
      <c r="A543" s="317" t="s">
        <v>4550</v>
      </c>
      <c r="B543" s="318">
        <f>(SEDflow.w1R.sd1R+ADSORBflow.w1R.sd1R)/VOLUME.w1R</f>
        <v>4.1340978113776672E-18</v>
      </c>
      <c r="C543" s="317" t="s">
        <v>624</v>
      </c>
    </row>
    <row r="544" spans="1:3" ht="15" x14ac:dyDescent="0.2">
      <c r="A544" s="317" t="s">
        <v>1058</v>
      </c>
      <c r="B544" s="318">
        <f>WATERflow.w1R.w0R/VOLUME.w1R</f>
        <v>0</v>
      </c>
      <c r="C544" s="317" t="s">
        <v>624</v>
      </c>
    </row>
    <row r="545" spans="1:3" ht="15" x14ac:dyDescent="0.2">
      <c r="A545" s="317" t="s">
        <v>1060</v>
      </c>
      <c r="B545" s="318">
        <f>WATERflow.w1R.w2R/VOLUME.w1R</f>
        <v>7.26442507264425E-8</v>
      </c>
      <c r="C545" s="317" t="s">
        <v>624</v>
      </c>
    </row>
    <row r="546" spans="1:3" ht="15" x14ac:dyDescent="0.2">
      <c r="A546" s="317" t="s">
        <v>4551</v>
      </c>
      <c r="B546" s="318">
        <f>kdeg.water*Tempfactor.wsdsA*(BACT.w2A/BACT.test)*FRw.w2A</f>
        <v>8.8324753825564025E-22</v>
      </c>
      <c r="C546" s="317" t="s">
        <v>624</v>
      </c>
    </row>
    <row r="547" spans="1:3" ht="15" x14ac:dyDescent="0.2">
      <c r="A547" s="317" t="s">
        <v>4552</v>
      </c>
      <c r="B547" s="318" t="e">
        <f>VOLATflow.w2A.aA/VOLUME.w2A</f>
        <v>#NAME?</v>
      </c>
      <c r="C547" s="317" t="s">
        <v>624</v>
      </c>
    </row>
    <row r="548" spans="1:3" ht="15" x14ac:dyDescent="0.2">
      <c r="A548" s="317" t="s">
        <v>2994</v>
      </c>
      <c r="B548" s="318">
        <f>WATERflow.w2A.w2M/VOLUME.w2A</f>
        <v>0</v>
      </c>
      <c r="C548" s="317" t="s">
        <v>624</v>
      </c>
    </row>
    <row r="549" spans="1:3" ht="15" x14ac:dyDescent="0.2">
      <c r="A549" s="317" t="s">
        <v>3000</v>
      </c>
      <c r="B549" s="318">
        <f>(OceanCurrent+OceanMixing.A)/VOLUME.w2A</f>
        <v>2.6926123984947511E-7</v>
      </c>
      <c r="C549" s="317" t="s">
        <v>624</v>
      </c>
    </row>
    <row r="550" spans="1:3" ht="15" x14ac:dyDescent="0.2">
      <c r="A550" s="317" t="s">
        <v>2179</v>
      </c>
      <c r="B550" s="318">
        <f>kdeg.water*Tempfactor.wsdsC*(BACT.w2C/BACT.test)*FRw.w2C</f>
        <v>4.0583399769977389E-21</v>
      </c>
      <c r="C550" s="317" t="s">
        <v>624</v>
      </c>
    </row>
    <row r="551" spans="1:3" ht="15" x14ac:dyDescent="0.2">
      <c r="A551" s="317" t="s">
        <v>4553</v>
      </c>
      <c r="B551" s="318" t="e">
        <f>VOLATflow.w2C.aC/VOLUME.w2C</f>
        <v>#NAME?</v>
      </c>
      <c r="C551" s="317" t="s">
        <v>624</v>
      </c>
    </row>
    <row r="552" spans="1:3" ht="15" x14ac:dyDescent="0.2">
      <c r="A552" s="317" t="s">
        <v>4554</v>
      </c>
      <c r="B552" s="318" t="e">
        <f>(SEDflow.w2C.sd2C+ADSORBflow.w2C.sd2C)/VOLUME.w2C</f>
        <v>#NAME?</v>
      </c>
      <c r="C552" s="317" t="s">
        <v>624</v>
      </c>
    </row>
    <row r="553" spans="1:3" ht="15" x14ac:dyDescent="0.2">
      <c r="A553" s="317" t="s">
        <v>2010</v>
      </c>
      <c r="B553" s="318">
        <f>WATERflow.w2C.w2M/VOLUME.w2C</f>
        <v>3.1691347286679496E-8</v>
      </c>
      <c r="C553" s="317" t="s">
        <v>624</v>
      </c>
    </row>
    <row r="554" spans="1:3" ht="15" x14ac:dyDescent="0.2">
      <c r="A554" s="317" t="s">
        <v>2008</v>
      </c>
      <c r="B554" s="318">
        <f>WATERflow.w2C.w2R/VOLUME.w2C</f>
        <v>1.660022737657995E-11</v>
      </c>
      <c r="C554" s="317" t="s">
        <v>624</v>
      </c>
    </row>
    <row r="555" spans="1:3" ht="15" x14ac:dyDescent="0.2">
      <c r="A555" s="317" t="s">
        <v>4555</v>
      </c>
      <c r="B555" s="318">
        <f>kdeg.water*Tempfactor.wsdsM*(BACT.w2M/BACT.test)*FRw.w2M</f>
        <v>4.0583399769977389E-21</v>
      </c>
      <c r="C555" s="317" t="s">
        <v>624</v>
      </c>
    </row>
    <row r="556" spans="1:3" ht="15" x14ac:dyDescent="0.2">
      <c r="A556" s="317" t="s">
        <v>4556</v>
      </c>
      <c r="B556" s="318" t="e">
        <f>VOLATflow.w2M.aM/VOLUME.w2M</f>
        <v>#NAME?</v>
      </c>
      <c r="C556" s="317" t="s">
        <v>624</v>
      </c>
    </row>
    <row r="557" spans="1:3" ht="15" x14ac:dyDescent="0.2">
      <c r="A557" s="317" t="s">
        <v>2577</v>
      </c>
      <c r="B557" s="318">
        <f>WATERflow.w2M.w2A/VOLUME.w2M</f>
        <v>3.8674157077409421E-8</v>
      </c>
      <c r="C557" s="317" t="s">
        <v>624</v>
      </c>
    </row>
    <row r="558" spans="1:3" ht="15" x14ac:dyDescent="0.2">
      <c r="A558" s="317" t="s">
        <v>2575</v>
      </c>
      <c r="B558" s="318">
        <f>WATERflow.w2M.w2C/VOLUME.w2M</f>
        <v>6.0683860128376809E-9</v>
      </c>
      <c r="C558" s="317" t="s">
        <v>624</v>
      </c>
    </row>
    <row r="559" spans="1:3" ht="15" x14ac:dyDescent="0.2">
      <c r="A559" s="317" t="s">
        <v>2579</v>
      </c>
      <c r="B559" s="318">
        <f>WATERflow.w2M.w2T/VOLUME.w2M</f>
        <v>0</v>
      </c>
      <c r="C559" s="317" t="s">
        <v>624</v>
      </c>
    </row>
    <row r="560" spans="1:3" ht="15" x14ac:dyDescent="0.2">
      <c r="A560" s="317" t="s">
        <v>2593</v>
      </c>
      <c r="B560" s="318">
        <f>(OceanCurrent+OceanMixing.M)/VOLUME.w2M</f>
        <v>2.4911186751511984E-7</v>
      </c>
      <c r="C560" s="317" t="s">
        <v>624</v>
      </c>
    </row>
    <row r="561" spans="1:3" ht="15" x14ac:dyDescent="0.2">
      <c r="A561" s="317" t="s">
        <v>4557</v>
      </c>
      <c r="B561" s="318" t="e">
        <f>kdeg.water*Tempfactor.wsdsR*(BACT.w2R/BACT.test)*FRw.w2R</f>
        <v>#NAME?</v>
      </c>
      <c r="C561" s="317" t="s">
        <v>624</v>
      </c>
    </row>
    <row r="562" spans="1:3" ht="15" x14ac:dyDescent="0.2">
      <c r="A562" s="317" t="s">
        <v>4558</v>
      </c>
      <c r="B562" s="318" t="e">
        <f>VOLATflow.w2R.aR/VOLUME.w2R</f>
        <v>#NAME?</v>
      </c>
      <c r="C562" s="317" t="s">
        <v>624</v>
      </c>
    </row>
    <row r="563" spans="1:3" ht="15" x14ac:dyDescent="0.2">
      <c r="A563" s="317" t="s">
        <v>4559</v>
      </c>
      <c r="B563" s="318">
        <f>(SEDflow.w2R.sd2R+ADSORBflow.w2R.sd2R)/VOLUME.w2R</f>
        <v>4.8645427583599312E-18</v>
      </c>
      <c r="C563" s="317" t="s">
        <v>624</v>
      </c>
    </row>
    <row r="564" spans="1:3" ht="15" x14ac:dyDescent="0.2">
      <c r="A564" s="317" t="s">
        <v>1062</v>
      </c>
      <c r="B564" s="325">
        <f>(RAINrate.R*SYSTEMAREA.R*AREAFRAC.w2R+WATERflow.w1R.w2R+WATERflow.w2C.w2R)/VOLUME.w2R</f>
        <v>1.3720741374936564E-6</v>
      </c>
      <c r="C564" s="317" t="s">
        <v>624</v>
      </c>
    </row>
    <row r="565" spans="1:3" ht="15" x14ac:dyDescent="0.2">
      <c r="A565" s="317" t="s">
        <v>4560</v>
      </c>
      <c r="B565" s="318">
        <f>kdeg.water*Tempfactor.wsdsT*(BACT.w2T/BACT.test)*FRw.w2T</f>
        <v>9.9928051802702038E-21</v>
      </c>
      <c r="C565" s="317" t="s">
        <v>624</v>
      </c>
    </row>
    <row r="566" spans="1:3" ht="15" x14ac:dyDescent="0.2">
      <c r="A566" s="317" t="s">
        <v>4561</v>
      </c>
      <c r="B566" s="318" t="e">
        <f>VOLATflow.w2T.aT/VOLUME.w2T</f>
        <v>#NAME?</v>
      </c>
      <c r="C566" s="317" t="s">
        <v>624</v>
      </c>
    </row>
    <row r="567" spans="1:3" ht="15" x14ac:dyDescent="0.2">
      <c r="A567" s="317" t="s">
        <v>3312</v>
      </c>
      <c r="B567" s="318">
        <f>WATERflow.w2T.w2M/VOLUME.w2T</f>
        <v>1.6806722689075633E-8</v>
      </c>
      <c r="C567" s="317" t="s">
        <v>624</v>
      </c>
    </row>
    <row r="568" spans="1:3" ht="15" x14ac:dyDescent="0.2">
      <c r="A568" s="317" t="s">
        <v>3317</v>
      </c>
      <c r="B568" s="318">
        <f>(OceanCurrent+OceanMixing.T)/VOLUME.w2T</f>
        <v>2.2724443312678606E-7</v>
      </c>
      <c r="C568" s="317" t="s">
        <v>624</v>
      </c>
    </row>
    <row r="569" spans="1:3" ht="15" x14ac:dyDescent="0.2">
      <c r="A569" s="317" t="s">
        <v>4562</v>
      </c>
      <c r="B569" s="318">
        <f>kdeg.water*Tempfactor.wsdsA*(BACT.w3A/BACT.test)*FRw.w3A</f>
        <v>8.8324753825564025E-22</v>
      </c>
      <c r="C569" s="317" t="s">
        <v>624</v>
      </c>
    </row>
    <row r="570" spans="1:3" ht="15" x14ac:dyDescent="0.2">
      <c r="A570" s="317" t="s">
        <v>4563</v>
      </c>
      <c r="B570" s="318" t="e">
        <f>(SEDflow.w3A.sdA+ADSORBflow.w3A.sdA)/VOLUME.w3A</f>
        <v>#NAME?</v>
      </c>
      <c r="C570" s="317" t="s">
        <v>624</v>
      </c>
    </row>
    <row r="571" spans="1:3" ht="15" x14ac:dyDescent="0.2">
      <c r="A571" s="317" t="s">
        <v>3002</v>
      </c>
      <c r="B571" s="318">
        <f>(OceanCurrent+OceanMixing.A)/VOLUME.w3A</f>
        <v>8.9753746616491718E-9</v>
      </c>
      <c r="C571" s="317" t="s">
        <v>624</v>
      </c>
    </row>
    <row r="572" spans="1:3" ht="15" x14ac:dyDescent="0.2">
      <c r="A572" s="317" t="s">
        <v>2996</v>
      </c>
      <c r="B572" s="318">
        <f>OceanCurrent/VOLUME.w3A</f>
        <v>1.9607843137254903E-9</v>
      </c>
      <c r="C572" s="317" t="s">
        <v>624</v>
      </c>
    </row>
    <row r="573" spans="1:3" ht="15" x14ac:dyDescent="0.2">
      <c r="A573" s="317" t="s">
        <v>4564</v>
      </c>
      <c r="B573" s="318">
        <f>kdeg.water*Tempfactor.wsdsM*(BACT.w3M/BACT.test)*FRw.w3M</f>
        <v>4.0583399769977389E-21</v>
      </c>
      <c r="C573" s="317" t="s">
        <v>624</v>
      </c>
    </row>
    <row r="574" spans="1:3" ht="15" x14ac:dyDescent="0.2">
      <c r="A574" s="317" t="s">
        <v>4565</v>
      </c>
      <c r="B574" s="318">
        <f>(SEDflow.w3M.sdM+ADSORBflow.w3M.sdM)/VOLUME.w3M</f>
        <v>4.1513274478628418E-25</v>
      </c>
      <c r="C574" s="317" t="s">
        <v>624</v>
      </c>
    </row>
    <row r="575" spans="1:3" ht="15" x14ac:dyDescent="0.2">
      <c r="A575" s="317" t="s">
        <v>2595</v>
      </c>
      <c r="B575" s="318">
        <f>(OceanCurrent+OceanMixing.M)/VOLUME.w3M</f>
        <v>8.3037289171706622E-9</v>
      </c>
      <c r="C575" s="317" t="s">
        <v>624</v>
      </c>
    </row>
    <row r="576" spans="1:3" ht="15" x14ac:dyDescent="0.2">
      <c r="A576" s="317" t="s">
        <v>2581</v>
      </c>
      <c r="B576" s="318">
        <v>0</v>
      </c>
      <c r="C576" s="317" t="s">
        <v>624</v>
      </c>
    </row>
    <row r="577" spans="1:3" ht="15" x14ac:dyDescent="0.2">
      <c r="A577" s="317" t="s">
        <v>2583</v>
      </c>
      <c r="B577" s="318">
        <f>OceanCurrent/VOLUME.w3M</f>
        <v>1.2891385692469807E-9</v>
      </c>
      <c r="C577" s="317" t="s">
        <v>624</v>
      </c>
    </row>
    <row r="578" spans="1:3" ht="15" x14ac:dyDescent="0.2">
      <c r="A578" s="317" t="s">
        <v>4566</v>
      </c>
      <c r="B578" s="318">
        <f>kdeg.water*Tempfactor.wsdsT*(BACT.w3T/BACT.test)*FRw.w3T</f>
        <v>9.9928051802702038E-21</v>
      </c>
      <c r="C578" s="317" t="s">
        <v>624</v>
      </c>
    </row>
    <row r="579" spans="1:3" ht="15" x14ac:dyDescent="0.2">
      <c r="A579" s="317" t="s">
        <v>4567</v>
      </c>
      <c r="B579" s="318" t="e">
        <f>(SEDflow.w3T.sdT+ADSORBflow.w3T.sdT)/VOLUME.w3T</f>
        <v>#NAME?</v>
      </c>
      <c r="C579" s="317" t="s">
        <v>624</v>
      </c>
    </row>
    <row r="580" spans="1:3" ht="15" x14ac:dyDescent="0.2">
      <c r="A580" s="317" t="s">
        <v>3318</v>
      </c>
      <c r="B580" s="318">
        <f>(OceanCurrent+OceanMixing.T)/VOLUME.w3T</f>
        <v>7.5748144375595357E-9</v>
      </c>
      <c r="C580" s="317" t="s">
        <v>624</v>
      </c>
    </row>
    <row r="581" spans="1:3" ht="15" x14ac:dyDescent="0.2">
      <c r="A581" s="317" t="s">
        <v>3314</v>
      </c>
      <c r="B581" s="318">
        <v>0</v>
      </c>
      <c r="C581" s="317" t="s">
        <v>624</v>
      </c>
    </row>
    <row r="582" spans="1:3" ht="15" x14ac:dyDescent="0.2">
      <c r="A582" s="317" t="s">
        <v>630</v>
      </c>
      <c r="B582" s="321">
        <v>7.8999999999999999E-11</v>
      </c>
      <c r="C582" s="317" t="s">
        <v>631</v>
      </c>
    </row>
    <row r="583" spans="1:3" ht="15" x14ac:dyDescent="0.2">
      <c r="A583" s="321" t="s">
        <v>3012</v>
      </c>
      <c r="B583" s="323">
        <f>0.54*(Kow/Kaw)*CORGaer*(RHOaers/1000)</f>
        <v>2.9700000000000003E+22</v>
      </c>
      <c r="C583" s="321" t="s">
        <v>1091</v>
      </c>
    </row>
    <row r="584" spans="1:3" ht="15" x14ac:dyDescent="0.2">
      <c r="A584" s="321" t="s">
        <v>2029</v>
      </c>
      <c r="B584" s="323">
        <f>0.54*(Kow/Kaw)*CORGaer*(RHOaers/1000)</f>
        <v>2.9700000000000003E+22</v>
      </c>
      <c r="C584" s="321" t="s">
        <v>1091</v>
      </c>
    </row>
    <row r="585" spans="1:3" ht="15" x14ac:dyDescent="0.2">
      <c r="A585" s="321" t="s">
        <v>2609</v>
      </c>
      <c r="B585" s="323">
        <f>0.54*(Kow/Kaw)*CORGaer*(RHOaers/1000)</f>
        <v>2.9700000000000003E+22</v>
      </c>
      <c r="C585" s="321" t="s">
        <v>1091</v>
      </c>
    </row>
    <row r="586" spans="1:3" ht="15" x14ac:dyDescent="0.2">
      <c r="A586" s="321" t="s">
        <v>1090</v>
      </c>
      <c r="B586" s="323">
        <f>0.54*(Kow/Kaw)*CORGaer*(RHOaers/1000)</f>
        <v>2.9700000000000003E+22</v>
      </c>
      <c r="C586" s="321" t="s">
        <v>1091</v>
      </c>
    </row>
    <row r="587" spans="1:3" ht="15" x14ac:dyDescent="0.2">
      <c r="A587" s="321" t="s">
        <v>3328</v>
      </c>
      <c r="B587" s="323">
        <f>0.54*(Kow/Kaw)*CORGaer*(RHOaers/1000)</f>
        <v>2.9700000000000003E+22</v>
      </c>
      <c r="C587" s="321" t="s">
        <v>1091</v>
      </c>
    </row>
    <row r="588" spans="1:3" ht="15" x14ac:dyDescent="0.2">
      <c r="A588" s="321" t="s">
        <v>3011</v>
      </c>
      <c r="B588" s="323">
        <f>1/(Kaw.A*FRorig.aerw)</f>
        <v>3.9698089464129487E+28</v>
      </c>
      <c r="C588" s="321" t="s">
        <v>1088</v>
      </c>
    </row>
    <row r="589" spans="1:3" ht="15" x14ac:dyDescent="0.2">
      <c r="A589" s="321" t="s">
        <v>2027</v>
      </c>
      <c r="B589" s="323">
        <f>1/(Kaw.C*FRorig.aerw)</f>
        <v>8.8412629829224543E+22</v>
      </c>
      <c r="C589" s="321" t="s">
        <v>1088</v>
      </c>
    </row>
    <row r="590" spans="1:3" ht="15" x14ac:dyDescent="0.2">
      <c r="A590" s="321" t="s">
        <v>2607</v>
      </c>
      <c r="B590" s="323">
        <f>1/(Kaw.M*FRorig.aerw)</f>
        <v>8.8412629829224543E+22</v>
      </c>
      <c r="C590" s="321" t="s">
        <v>1088</v>
      </c>
    </row>
    <row r="591" spans="1:3" ht="15" x14ac:dyDescent="0.2">
      <c r="A591" s="321" t="s">
        <v>1087</v>
      </c>
      <c r="B591" s="323">
        <v>9.2336700572798372E+22</v>
      </c>
      <c r="C591" s="321" t="s">
        <v>1088</v>
      </c>
    </row>
    <row r="592" spans="1:3" ht="15" x14ac:dyDescent="0.2">
      <c r="A592" s="321" t="s">
        <v>3327</v>
      </c>
      <c r="B592" s="323">
        <f>1/(Kaw.T*FRorig.aerw)</f>
        <v>1E+20</v>
      </c>
      <c r="C592" s="321" t="s">
        <v>1088</v>
      </c>
    </row>
    <row r="593" spans="1:3" x14ac:dyDescent="0.2">
      <c r="A593" s="319" t="s">
        <v>542</v>
      </c>
      <c r="B593" s="321">
        <f>VLOOKUP(ChemClass,QSARtable,8,FALSE)</f>
        <v>1000</v>
      </c>
      <c r="C593" s="317" t="s">
        <v>296</v>
      </c>
    </row>
    <row r="594" spans="1:3" x14ac:dyDescent="0.2">
      <c r="A594" s="317" t="s">
        <v>3008</v>
      </c>
      <c r="B594" s="323">
        <f>Kaw*EXP((H0vap/8.314)*(1/298-1/TEMP.A))*EXP(-(H0sol/8.314)*(1/298-1/TEMP.A))*(298/TEMP.A)</f>
        <v>2.5190129134642182E-29</v>
      </c>
      <c r="C594" s="317" t="s">
        <v>296</v>
      </c>
    </row>
    <row r="595" spans="1:3" x14ac:dyDescent="0.2">
      <c r="A595" s="317" t="s">
        <v>2025</v>
      </c>
      <c r="B595" s="323">
        <f>Kaw*EXP((H0vap/8.314)*(1/298-1/TEMP.C))*EXP(-(H0sol/8.314)*(1/298-1/TEMP.C))*(298/TEMP.C)</f>
        <v>1.1310601233461476E-23</v>
      </c>
      <c r="C595" s="317" t="s">
        <v>296</v>
      </c>
    </row>
    <row r="596" spans="1:3" x14ac:dyDescent="0.2">
      <c r="A596" s="317" t="s">
        <v>2604</v>
      </c>
      <c r="B596" s="318">
        <f>Kaw*EXP((H0vap/8.314)*(1/298-1/TEMP.M))*EXP(-(H0sol/8.314)*(1/298-1/TEMP.M))*(298/TEMP.M)</f>
        <v>1.1310601233461476E-23</v>
      </c>
      <c r="C596" s="317" t="s">
        <v>296</v>
      </c>
    </row>
    <row r="597" spans="1:3" ht="15" x14ac:dyDescent="0.2">
      <c r="A597" s="321" t="s">
        <v>4568</v>
      </c>
      <c r="B597" s="323">
        <f>Kaw*EXP((H0vap/8.314)*(1/298-1/TEMP.R))*EXP(-(H0sol/8.314)*(1/298-1/TEMP.R))*(298/TEMP.R)</f>
        <v>1.1310601233461476E-23</v>
      </c>
      <c r="C597" s="321" t="s">
        <v>1085</v>
      </c>
    </row>
    <row r="598" spans="1:3" x14ac:dyDescent="0.2">
      <c r="A598" s="317" t="s">
        <v>3324</v>
      </c>
      <c r="B598" s="323">
        <f>Kaw*EXP((H0vap/8.314)*(1/298-1/TEMP.T))*EXP(-(H0sol/8.314)*(1/298-1/TEMP.T))*(298/TEMP.T)</f>
        <v>9.9999999999999995E-21</v>
      </c>
      <c r="C598" s="317" t="s">
        <v>296</v>
      </c>
    </row>
    <row r="599" spans="1:3" ht="15" x14ac:dyDescent="0.2">
      <c r="A599" s="321" t="s">
        <v>4569</v>
      </c>
      <c r="B599" s="323">
        <f>1/(Kaw.A*FRorig.cldw)</f>
        <v>3.9698089464129487E+28</v>
      </c>
      <c r="C599" s="321" t="s">
        <v>4570</v>
      </c>
    </row>
    <row r="600" spans="1:3" ht="15" x14ac:dyDescent="0.2">
      <c r="A600" s="321" t="s">
        <v>4571</v>
      </c>
      <c r="B600" s="323">
        <f>1/(Kaw.C*FRorig.cldw)</f>
        <v>8.8412629829224543E+22</v>
      </c>
      <c r="C600" s="321" t="s">
        <v>4570</v>
      </c>
    </row>
    <row r="601" spans="1:3" ht="15" x14ac:dyDescent="0.2">
      <c r="A601" s="321" t="s">
        <v>4572</v>
      </c>
      <c r="B601" s="323">
        <f>1/(Kaw.M*FRorig.cldw)</f>
        <v>8.8412629829224543E+22</v>
      </c>
      <c r="C601" s="321" t="s">
        <v>4570</v>
      </c>
    </row>
    <row r="602" spans="1:3" ht="15" x14ac:dyDescent="0.2">
      <c r="A602" s="321" t="s">
        <v>4573</v>
      </c>
      <c r="B602" s="323">
        <v>9.2336700572798372E+22</v>
      </c>
      <c r="C602" s="321" t="s">
        <v>4570</v>
      </c>
    </row>
    <row r="603" spans="1:3" ht="15" x14ac:dyDescent="0.2">
      <c r="A603" s="321" t="s">
        <v>4574</v>
      </c>
      <c r="B603" s="323">
        <f>1/(Kaw.T*FRorig.cldw)</f>
        <v>1E+20</v>
      </c>
      <c r="C603" s="321" t="s">
        <v>4570</v>
      </c>
    </row>
    <row r="604" spans="1:3" ht="15" x14ac:dyDescent="0.2">
      <c r="A604" s="317" t="s">
        <v>3086</v>
      </c>
      <c r="B604" s="318">
        <f>FRgas.aA*kdegG.air*(C.OHrad.aA/C.OHrad)*Tempfactor.aA</f>
        <v>3.1848818074386004E-33</v>
      </c>
      <c r="C604" s="317" t="s">
        <v>624</v>
      </c>
    </row>
    <row r="605" spans="1:3" ht="15" x14ac:dyDescent="0.2">
      <c r="A605" s="317" t="s">
        <v>2187</v>
      </c>
      <c r="B605" s="318">
        <f>FRgas.aC*kdegG.air*(C.OHrad.aC/C.OHrad)*Tempfactor.aC</f>
        <v>3.8083662994282794E-33</v>
      </c>
      <c r="C605" s="317" t="s">
        <v>624</v>
      </c>
    </row>
    <row r="606" spans="1:3" ht="15" x14ac:dyDescent="0.2">
      <c r="A606" s="319" t="s">
        <v>4234</v>
      </c>
      <c r="B606" s="321">
        <f>C.OHrad*k0.OHrad*EXP(-Ea.OHrad/(8.314*298))</f>
        <v>3.5063474584268925E-6</v>
      </c>
      <c r="C606" s="317" t="s">
        <v>624</v>
      </c>
    </row>
    <row r="607" spans="1:3" ht="15" x14ac:dyDescent="0.2">
      <c r="A607" s="317" t="s">
        <v>2728</v>
      </c>
      <c r="B607" s="318">
        <f>FRgas.aM*kdegG.air*(C.OHrad.aM/C.OHrad)*Tempfactor.aM</f>
        <v>3.8083662994282794E-33</v>
      </c>
      <c r="C607" s="317" t="s">
        <v>624</v>
      </c>
    </row>
    <row r="608" spans="1:3" ht="15" x14ac:dyDescent="0.2">
      <c r="A608" s="317" t="s">
        <v>1345</v>
      </c>
      <c r="B608" s="318">
        <f>FRgas.aR*kdegG.air*(C.OHrad.aR/C.OHrad)*Tempfactor.aR</f>
        <v>3.8083662994282794E-33</v>
      </c>
      <c r="C608" s="317" t="s">
        <v>624</v>
      </c>
    </row>
    <row r="609" spans="1:3" ht="15" x14ac:dyDescent="0.2">
      <c r="A609" s="317" t="s">
        <v>3398</v>
      </c>
      <c r="B609" s="318">
        <f>FRgas.aT*kdegG.air*(C.OHrad.aT/C.OHrad)*Tempfactor.aT</f>
        <v>1.6778800571159991E-32</v>
      </c>
      <c r="C609" s="317" t="s">
        <v>624</v>
      </c>
    </row>
    <row r="610" spans="1:3" ht="15" x14ac:dyDescent="0.2">
      <c r="A610" s="317" t="s">
        <v>2203</v>
      </c>
      <c r="B610" s="323">
        <f>Tempfactor.wsdsC*kdeg.soil</f>
        <v>4.0612619817811774E-21</v>
      </c>
      <c r="C610" s="317" t="s">
        <v>624</v>
      </c>
    </row>
    <row r="611" spans="1:3" ht="15" x14ac:dyDescent="0.2">
      <c r="A611" s="317" t="s">
        <v>1374</v>
      </c>
      <c r="B611" s="318">
        <f>Tempfactor.wsdsR*kdeg.soil</f>
        <v>4.0612619817811774E-21</v>
      </c>
      <c r="C611" s="317" t="s">
        <v>624</v>
      </c>
    </row>
    <row r="612" spans="1:3" ht="15" x14ac:dyDescent="0.2">
      <c r="A612" s="317" t="s">
        <v>2204</v>
      </c>
      <c r="B612" s="323">
        <f>Tempfactor.wsdsC*kdeg.soil</f>
        <v>4.0612619817811774E-21</v>
      </c>
      <c r="C612" s="317" t="s">
        <v>624</v>
      </c>
    </row>
    <row r="613" spans="1:3" ht="15" x14ac:dyDescent="0.2">
      <c r="A613" s="317" t="s">
        <v>1376</v>
      </c>
      <c r="B613" s="318">
        <f>Tempfactor.wsdsR*kdeg.soil</f>
        <v>4.0612619817811774E-21</v>
      </c>
      <c r="C613" s="317" t="s">
        <v>624</v>
      </c>
    </row>
    <row r="614" spans="1:3" ht="15" x14ac:dyDescent="0.2">
      <c r="A614" s="317" t="s">
        <v>2205</v>
      </c>
      <c r="B614" s="323">
        <f>Tempfactor.wsdsC*kdeg.soil</f>
        <v>4.0612619817811774E-21</v>
      </c>
      <c r="C614" s="317" t="s">
        <v>624</v>
      </c>
    </row>
    <row r="615" spans="1:3" ht="15" x14ac:dyDescent="0.2">
      <c r="A615" s="317" t="s">
        <v>1378</v>
      </c>
      <c r="B615" s="318">
        <f>Tempfactor.wsdsR*kdeg.soil</f>
        <v>4.0612619817811774E-21</v>
      </c>
      <c r="C615" s="317" t="s">
        <v>624</v>
      </c>
    </row>
    <row r="616" spans="1:3" ht="15" x14ac:dyDescent="0.2">
      <c r="A616" s="317" t="s">
        <v>3097</v>
      </c>
      <c r="B616" s="323">
        <f>Tempfactor.wsdsA*kdeg.soil</f>
        <v>8.8388347648318438E-22</v>
      </c>
      <c r="C616" s="317" t="s">
        <v>624</v>
      </c>
    </row>
    <row r="617" spans="1:3" ht="15" x14ac:dyDescent="0.2">
      <c r="A617" s="317" t="s">
        <v>2201</v>
      </c>
      <c r="B617" s="323">
        <f>Tempfactor.wsdsC*kdeg.sed</f>
        <v>4.0612619817811774E-21</v>
      </c>
      <c r="C617" s="317" t="s">
        <v>624</v>
      </c>
    </row>
    <row r="618" spans="1:3" ht="15" x14ac:dyDescent="0.2">
      <c r="A618" s="317" t="s">
        <v>1370</v>
      </c>
      <c r="B618" s="318">
        <f>Tempfactor.wsdsR*kdeg.sed</f>
        <v>4.0612619817811774E-21</v>
      </c>
      <c r="C618" s="317" t="s">
        <v>624</v>
      </c>
    </row>
    <row r="619" spans="1:3" ht="15" x14ac:dyDescent="0.2">
      <c r="A619" s="317" t="s">
        <v>2202</v>
      </c>
      <c r="B619" s="323">
        <f>Tempfactor.wsdsC*kdeg.sed</f>
        <v>4.0612619817811774E-21</v>
      </c>
      <c r="C619" s="317" t="s">
        <v>624</v>
      </c>
    </row>
    <row r="620" spans="1:3" ht="15" x14ac:dyDescent="0.2">
      <c r="A620" s="317" t="s">
        <v>1372</v>
      </c>
      <c r="B620" s="318">
        <f>Tempfactor.wsdsR*kdeg.sed</f>
        <v>4.0612619817811774E-21</v>
      </c>
      <c r="C620" s="317" t="s">
        <v>624</v>
      </c>
    </row>
    <row r="621" spans="1:3" ht="15" x14ac:dyDescent="0.2">
      <c r="A621" s="317" t="s">
        <v>3096</v>
      </c>
      <c r="B621" s="323">
        <f>Tempfactor.wsdsA*kdeg.sed</f>
        <v>8.8388347648318438E-22</v>
      </c>
      <c r="C621" s="317" t="s">
        <v>624</v>
      </c>
    </row>
    <row r="622" spans="1:3" ht="15" x14ac:dyDescent="0.2">
      <c r="A622" s="317" t="s">
        <v>2742</v>
      </c>
      <c r="B622" s="318">
        <f>Tempfactor.wsdsM*kdeg.sed</f>
        <v>4.0612619817811774E-21</v>
      </c>
      <c r="C622" s="317" t="s">
        <v>624</v>
      </c>
    </row>
    <row r="623" spans="1:3" ht="15" x14ac:dyDescent="0.2">
      <c r="A623" s="317" t="s">
        <v>3407</v>
      </c>
      <c r="B623" s="318">
        <f>Tempfactor.wsdsT*kdeg.sed</f>
        <v>9.9999999999999995E-21</v>
      </c>
      <c r="C623" s="317" t="s">
        <v>624</v>
      </c>
    </row>
    <row r="624" spans="1:3" ht="89.25" x14ac:dyDescent="0.2">
      <c r="A624" s="319" t="s">
        <v>4575</v>
      </c>
      <c r="B624" s="326" t="s">
        <v>4576</v>
      </c>
      <c r="C624" s="317" t="s">
        <v>624</v>
      </c>
    </row>
    <row r="625" spans="1:3" ht="15" x14ac:dyDescent="0.2">
      <c r="A625" s="317" t="s">
        <v>2744</v>
      </c>
      <c r="B625" s="318">
        <f>Tempfactor.wsdsM*kdeg.soil</f>
        <v>4.0612619817811774E-21</v>
      </c>
      <c r="C625" s="317" t="s">
        <v>624</v>
      </c>
    </row>
    <row r="626" spans="1:3" ht="89.25" x14ac:dyDescent="0.2">
      <c r="A626" s="319" t="s">
        <v>4577</v>
      </c>
      <c r="B626" s="326" t="s">
        <v>4578</v>
      </c>
      <c r="C626" s="317" t="s">
        <v>624</v>
      </c>
    </row>
    <row r="627" spans="1:3" ht="15" x14ac:dyDescent="0.2">
      <c r="A627" s="317" t="s">
        <v>3408</v>
      </c>
      <c r="B627" s="318">
        <f>Tempfactor.wsdsT*kdeg.soil</f>
        <v>9.9999999999999995E-21</v>
      </c>
      <c r="C627" s="317" t="s">
        <v>624</v>
      </c>
    </row>
    <row r="628" spans="1:3" ht="15" x14ac:dyDescent="0.2">
      <c r="A628" s="317" t="s">
        <v>2192</v>
      </c>
      <c r="B628" s="318">
        <f>kdeg.water*Tempfactor.wsdsC*(BACT.w0C/BACT.test)*FRw.w0C</f>
        <v>4.0601657370321782E-21</v>
      </c>
      <c r="C628" s="317" t="s">
        <v>624</v>
      </c>
    </row>
    <row r="629" spans="1:3" ht="15" x14ac:dyDescent="0.2">
      <c r="A629" s="317" t="s">
        <v>1352</v>
      </c>
      <c r="B629" s="318" t="e">
        <f>kdeg.water*Tempfactor.wsdsR*(BACT.w0R/BACT.test)*FRw.w0R</f>
        <v>#NAME?</v>
      </c>
      <c r="C629" s="317" t="s">
        <v>624</v>
      </c>
    </row>
    <row r="630" spans="1:3" ht="15" x14ac:dyDescent="0.2">
      <c r="A630" s="317" t="s">
        <v>2193</v>
      </c>
      <c r="B630" s="318">
        <f>kdeg.water*Tempfactor.wsdsC*(BACT.w1C/BACT.test)*FRw.w1C</f>
        <v>4.0542886053799232E-21</v>
      </c>
      <c r="C630" s="317" t="s">
        <v>624</v>
      </c>
    </row>
    <row r="631" spans="1:3" ht="15" x14ac:dyDescent="0.2">
      <c r="A631" s="317" t="s">
        <v>1354</v>
      </c>
      <c r="B631" s="318" t="e">
        <f>kdeg.water*Tempfactor.wsdsR*(BACT.w1R/BACT.test)*FRw.w1R</f>
        <v>#NAME?</v>
      </c>
      <c r="C631" s="317" t="s">
        <v>624</v>
      </c>
    </row>
    <row r="632" spans="1:3" ht="15" x14ac:dyDescent="0.2">
      <c r="A632" s="317" t="s">
        <v>3090</v>
      </c>
      <c r="B632" s="323">
        <f>kdeg.water*Tempfactor.wsdsA*(BACT.w2A/BACT.test)*FRw.w2A</f>
        <v>8.8324753825564025E-22</v>
      </c>
      <c r="C632" s="317" t="s">
        <v>624</v>
      </c>
    </row>
    <row r="633" spans="1:3" ht="15" x14ac:dyDescent="0.2">
      <c r="A633" s="317" t="s">
        <v>2194</v>
      </c>
      <c r="B633" s="318">
        <f>kdeg.water*Tempfactor.wsdsC*(BACT.w2C/BACT.test)*FRw.w2C</f>
        <v>4.0583399769977389E-21</v>
      </c>
      <c r="C633" s="317" t="s">
        <v>624</v>
      </c>
    </row>
    <row r="634" spans="1:3" ht="15" x14ac:dyDescent="0.2">
      <c r="A634" s="317" t="s">
        <v>2733</v>
      </c>
      <c r="B634" s="318">
        <f>kdeg.water*Tempfactor.wsdsM*(BACT.w2M/BACT.test)*FRw.w2M</f>
        <v>4.0583399769977389E-21</v>
      </c>
      <c r="C634" s="317" t="s">
        <v>624</v>
      </c>
    </row>
    <row r="635" spans="1:3" ht="15" x14ac:dyDescent="0.2">
      <c r="A635" s="317" t="s">
        <v>1356</v>
      </c>
      <c r="B635" s="318" t="e">
        <f>kdeg.water*Tempfactor.wsdsR*(BACT.w2R/BACT.test)*FRw.w2R</f>
        <v>#NAME?</v>
      </c>
      <c r="C635" s="317" t="s">
        <v>624</v>
      </c>
    </row>
    <row r="636" spans="1:3" ht="15" x14ac:dyDescent="0.2">
      <c r="A636" s="317" t="s">
        <v>3402</v>
      </c>
      <c r="B636" s="318">
        <f>kdeg.water*Tempfactor.wsdsT*(BACT.w2T/BACT.test)*FRw.w2T</f>
        <v>9.9928051802702038E-21</v>
      </c>
      <c r="C636" s="317" t="s">
        <v>624</v>
      </c>
    </row>
    <row r="637" spans="1:3" ht="15" x14ac:dyDescent="0.2">
      <c r="A637" s="317" t="s">
        <v>3091</v>
      </c>
      <c r="B637" s="323">
        <f>kdeg.water*Tempfactor.wsdsA*(BACT.w3A/BACT.test)*FRw.w3A</f>
        <v>8.8324753825564025E-22</v>
      </c>
      <c r="C637" s="317" t="s">
        <v>624</v>
      </c>
    </row>
    <row r="638" spans="1:3" ht="15" x14ac:dyDescent="0.2">
      <c r="A638" s="317" t="s">
        <v>2735</v>
      </c>
      <c r="B638" s="318">
        <f>kdeg.water*Tempfactor.wsdsM*(BACT.w3M/BACT.test)*FRw.w3M</f>
        <v>4.0583399769977389E-21</v>
      </c>
      <c r="C638" s="317" t="s">
        <v>624</v>
      </c>
    </row>
    <row r="639" spans="1:3" ht="15" x14ac:dyDescent="0.2">
      <c r="A639" s="317" t="s">
        <v>3403</v>
      </c>
      <c r="B639" s="318">
        <f>kdeg.water*Tempfactor.wsdsT*(BACT.w3T/BACT.test)*FRw.w3T</f>
        <v>9.9928051802702038E-21</v>
      </c>
      <c r="C639" s="317" t="s">
        <v>624</v>
      </c>
    </row>
    <row r="640" spans="1:3" ht="15" x14ac:dyDescent="0.2">
      <c r="A640" s="319" t="s">
        <v>4579</v>
      </c>
      <c r="B640" s="321">
        <f>IF(biodeg="r",LN(2)/15*Q.10^(13/10),IF(biodeg="r-",LN(2)/50*Q.10^(13/10),IF(biodeg="i",LN(2)/150*Q.10^(13/10),1E-20)))/(3600*24)</f>
        <v>1.316920183599007E-7</v>
      </c>
      <c r="C640" s="317" t="s">
        <v>624</v>
      </c>
    </row>
    <row r="641" spans="1:3" ht="38.25" x14ac:dyDescent="0.2">
      <c r="A641" s="317" t="s">
        <v>4580</v>
      </c>
      <c r="B641" s="324" t="s">
        <v>4581</v>
      </c>
      <c r="C641" s="317" t="s">
        <v>624</v>
      </c>
    </row>
    <row r="642" spans="1:3" ht="38.25" x14ac:dyDescent="0.2">
      <c r="A642" s="317" t="s">
        <v>4582</v>
      </c>
      <c r="B642" s="324" t="s">
        <v>4583</v>
      </c>
      <c r="C642" s="317" t="s">
        <v>624</v>
      </c>
    </row>
    <row r="643" spans="1:3" ht="38.25" x14ac:dyDescent="0.2">
      <c r="A643" s="317" t="s">
        <v>4584</v>
      </c>
      <c r="B643" s="324" t="s">
        <v>4585</v>
      </c>
      <c r="C643" s="317" t="s">
        <v>624</v>
      </c>
    </row>
    <row r="644" spans="1:3" ht="38.25" x14ac:dyDescent="0.2">
      <c r="A644" s="317" t="s">
        <v>4586</v>
      </c>
      <c r="B644" s="324" t="s">
        <v>4587</v>
      </c>
      <c r="C644" s="317" t="s">
        <v>624</v>
      </c>
    </row>
    <row r="645" spans="1:3" ht="38.25" x14ac:dyDescent="0.2">
      <c r="A645" s="317" t="s">
        <v>4588</v>
      </c>
      <c r="B645" s="324" t="s">
        <v>4589</v>
      </c>
      <c r="C645" s="317" t="s">
        <v>624</v>
      </c>
    </row>
    <row r="646" spans="1:3" ht="15" x14ac:dyDescent="0.2">
      <c r="A646" s="317" t="s">
        <v>4590</v>
      </c>
      <c r="B646" s="318" t="e">
        <f>kdep.A-(GASABSflow.aA.w2A+GASABSflow.aA.sA)/VOLUME.aA-KDEG.aA</f>
        <v>#NAME?</v>
      </c>
      <c r="C646" s="317" t="s">
        <v>624</v>
      </c>
    </row>
    <row r="647" spans="1:3" ht="15" x14ac:dyDescent="0.2">
      <c r="A647" s="317" t="s">
        <v>4591</v>
      </c>
      <c r="B647" s="318" t="e">
        <f>kdep.C-(GASABSflow.aC.w1C+GASABSflow.aC.w2C+GASABSflow.aC.s1C+GASABSflow.aC.s2C+GASABSflow.aC.s3C)/VOLUME.aC-KDEG.aC</f>
        <v>#NAME?</v>
      </c>
      <c r="C647" s="317" t="s">
        <v>624</v>
      </c>
    </row>
    <row r="648" spans="1:3" ht="15" x14ac:dyDescent="0.2">
      <c r="A648" s="317" t="s">
        <v>4592</v>
      </c>
      <c r="B648" s="318" t="e">
        <f>kdep.M-(GASABSflow.aM.w2M+GASABSflow.aM.sM)/VOLUME.aM-KDEG.aM</f>
        <v>#NAME?</v>
      </c>
      <c r="C648" s="317" t="s">
        <v>624</v>
      </c>
    </row>
    <row r="649" spans="1:3" ht="15" x14ac:dyDescent="0.2">
      <c r="A649" s="317" t="s">
        <v>4593</v>
      </c>
      <c r="B649" s="325" t="e">
        <f>kdep.R-(GASABSflow.aR.w1R+GASABSflow.aR.w2R+GASABSflow.aR.s1R+GASABSflow.aR.s2R+GASABSflow.aR.s3R)/SYSTEMAREA.R-KDEG.aR</f>
        <v>#NAME?</v>
      </c>
      <c r="C649" s="317" t="s">
        <v>624</v>
      </c>
    </row>
    <row r="650" spans="1:3" ht="15" x14ac:dyDescent="0.2">
      <c r="A650" s="317" t="s">
        <v>4594</v>
      </c>
      <c r="B650" s="318" t="e">
        <f>kdep.T-(GASABSflow.aT.w2T+GASABSflow.aT.sT)/VOLUME.aT-KDEG.aT</f>
        <v>#NAME?</v>
      </c>
      <c r="C650" s="317" t="s">
        <v>624</v>
      </c>
    </row>
    <row r="651" spans="1:3" ht="15" x14ac:dyDescent="0.2">
      <c r="A651" s="317" t="s">
        <v>3040</v>
      </c>
      <c r="B651" s="318" t="e">
        <f>DRYDEPaerosol.A/HEIGHT.aA + (GASABSflow.aA.w2A+GASABSflow.aA.sA)/VOLUME.aA+KDEG.aA</f>
        <v>#NAME?</v>
      </c>
      <c r="C651" s="317" t="s">
        <v>624</v>
      </c>
    </row>
    <row r="652" spans="1:3" ht="15" x14ac:dyDescent="0.2">
      <c r="A652" s="317" t="s">
        <v>2103</v>
      </c>
      <c r="B652" s="318" t="e">
        <f>DRYDEPaerosol.C/HEIGHT.aC + (GASABSflow.aC.w1C+GASABSflow.aC.w2C+GASABSflow.aC.s1C+GASABSflow.aC.s2C+GASABSflow.aC.s3C)/SYSTEMAREA.C+KDEG.aC</f>
        <v>#NAME?</v>
      </c>
      <c r="C652" s="317" t="s">
        <v>624</v>
      </c>
    </row>
    <row r="653" spans="1:3" ht="15" x14ac:dyDescent="0.2">
      <c r="A653" s="317" t="s">
        <v>2664</v>
      </c>
      <c r="B653" s="318" t="e">
        <f>DRYDEPaerosol.M/HEIGHT.aM + (GASABSflow.aM.w2M+GASABSflow.aM.sM)/VOLUME.aM+KDEG.aM</f>
        <v>#NAME?</v>
      </c>
      <c r="C653" s="317" t="s">
        <v>624</v>
      </c>
    </row>
    <row r="654" spans="1:3" ht="15" x14ac:dyDescent="0.2">
      <c r="A654" s="317" t="s">
        <v>1192</v>
      </c>
      <c r="B654" s="318" t="e">
        <f>DRYDEPaerosol.R/HEIGHT.aR + (GASABSflow.aR.w1R+GASABSflow.aR.w2R+GASABSflow.aR.s1R+GASABSflow.aR.s2R+GASABSflow.aR.s3R)/SYSTEMAREA.R+KDEG.aR</f>
        <v>#NAME?</v>
      </c>
      <c r="C654" s="317" t="s">
        <v>624</v>
      </c>
    </row>
    <row r="655" spans="1:3" ht="15" x14ac:dyDescent="0.2">
      <c r="A655" s="317" t="s">
        <v>3355</v>
      </c>
      <c r="B655" s="318" t="e">
        <f>DRYDEPaerosol.T/HEIGHT.aT + (GASABSflow.aT.w2T+GASABSflow.aT.sT)/VOLUME.aT+KDEG.aT</f>
        <v>#NAME?</v>
      </c>
      <c r="C655" s="317" t="s">
        <v>624</v>
      </c>
    </row>
    <row r="656" spans="1:3" ht="15" x14ac:dyDescent="0.2">
      <c r="A656" s="319" t="s">
        <v>3085</v>
      </c>
      <c r="B656" s="318">
        <f>LN(2)/(60*365*24*3600)</f>
        <v>3.663258818281463E-10</v>
      </c>
      <c r="C656" s="317" t="s">
        <v>624</v>
      </c>
    </row>
    <row r="657" spans="1:3" ht="15" x14ac:dyDescent="0.2">
      <c r="A657" s="319" t="s">
        <v>2186</v>
      </c>
      <c r="B657" s="318">
        <f>LN(2)/(60*365*24*3600)</f>
        <v>3.663258818281463E-10</v>
      </c>
      <c r="C657" s="317" t="s">
        <v>624</v>
      </c>
    </row>
    <row r="658" spans="1:3" ht="15" x14ac:dyDescent="0.2">
      <c r="A658" s="319" t="s">
        <v>2727</v>
      </c>
      <c r="B658" s="318">
        <f>LN(2)/(60*365*24*3600)</f>
        <v>3.663258818281463E-10</v>
      </c>
      <c r="C658" s="317" t="s">
        <v>624</v>
      </c>
    </row>
    <row r="659" spans="1:3" ht="15" x14ac:dyDescent="0.2">
      <c r="A659" s="319" t="s">
        <v>1343</v>
      </c>
      <c r="B659" s="318">
        <f>LN(2)/(60*365*24*3600)</f>
        <v>3.663258818281463E-10</v>
      </c>
      <c r="C659" s="317" t="s">
        <v>624</v>
      </c>
    </row>
    <row r="660" spans="1:3" ht="15" x14ac:dyDescent="0.2">
      <c r="A660" s="319" t="s">
        <v>3397</v>
      </c>
      <c r="B660" s="318">
        <f>LN(2)/(60*365*24*3600)</f>
        <v>3.663258818281463E-10</v>
      </c>
      <c r="C660" s="317" t="s">
        <v>624</v>
      </c>
    </row>
    <row r="661" spans="1:3" x14ac:dyDescent="0.2">
      <c r="A661" s="317" t="s">
        <v>544</v>
      </c>
      <c r="B661" s="321" t="e">
        <f>MEDIAN(substances!#REF!)</f>
        <v>#REF!</v>
      </c>
      <c r="C661" s="317" t="s">
        <v>296</v>
      </c>
    </row>
    <row r="662" spans="1:3" x14ac:dyDescent="0.2">
      <c r="A662" s="317" t="s">
        <v>546</v>
      </c>
      <c r="B662" s="318">
        <f>10^(LOG(Kow)-3.5)</f>
        <v>0.86962635654630471</v>
      </c>
      <c r="C662" s="317" t="s">
        <v>296</v>
      </c>
    </row>
    <row r="663" spans="1:3" x14ac:dyDescent="0.2">
      <c r="A663" s="319" t="s">
        <v>2034</v>
      </c>
      <c r="B663" s="318">
        <f>0.08*D</f>
        <v>220</v>
      </c>
      <c r="C663" s="317" t="s">
        <v>1103</v>
      </c>
    </row>
    <row r="664" spans="1:3" x14ac:dyDescent="0.2">
      <c r="A664" s="319" t="s">
        <v>1102</v>
      </c>
      <c r="B664" s="318">
        <f>0.08*D</f>
        <v>220</v>
      </c>
      <c r="C664" s="317" t="s">
        <v>1103</v>
      </c>
    </row>
    <row r="665" spans="1:3" x14ac:dyDescent="0.2">
      <c r="A665" s="319" t="s">
        <v>2039</v>
      </c>
      <c r="B665" s="318">
        <f>0.08*D</f>
        <v>220</v>
      </c>
      <c r="C665" s="317" t="s">
        <v>1103</v>
      </c>
    </row>
    <row r="666" spans="1:3" x14ac:dyDescent="0.2">
      <c r="A666" s="319" t="s">
        <v>1108</v>
      </c>
      <c r="B666" s="318">
        <f>0.08*D</f>
        <v>220</v>
      </c>
      <c r="C666" s="317" t="s">
        <v>1103</v>
      </c>
    </row>
    <row r="667" spans="1:3" x14ac:dyDescent="0.2">
      <c r="A667" s="319" t="s">
        <v>3021</v>
      </c>
      <c r="B667" s="318"/>
      <c r="C667" s="317" t="s">
        <v>1103</v>
      </c>
    </row>
    <row r="668" spans="1:3" x14ac:dyDescent="0.2">
      <c r="A668" s="319" t="s">
        <v>2044</v>
      </c>
      <c r="B668" s="318">
        <f>0.08*D</f>
        <v>220</v>
      </c>
      <c r="C668" s="317" t="s">
        <v>1103</v>
      </c>
    </row>
    <row r="669" spans="1:3" x14ac:dyDescent="0.2">
      <c r="A669" s="319" t="s">
        <v>2628</v>
      </c>
      <c r="B669" s="318"/>
      <c r="C669" s="317" t="s">
        <v>1103</v>
      </c>
    </row>
    <row r="670" spans="1:3" x14ac:dyDescent="0.2">
      <c r="A670" s="319" t="s">
        <v>1113</v>
      </c>
      <c r="B670" s="318">
        <f>0.08*D</f>
        <v>220</v>
      </c>
      <c r="C670" s="317" t="s">
        <v>1103</v>
      </c>
    </row>
    <row r="671" spans="1:3" x14ac:dyDescent="0.2">
      <c r="A671" s="319" t="s">
        <v>3337</v>
      </c>
      <c r="B671" s="318"/>
      <c r="C671" s="317" t="s">
        <v>1103</v>
      </c>
    </row>
    <row r="672" spans="1:3" x14ac:dyDescent="0.2">
      <c r="A672" s="319" t="s">
        <v>3022</v>
      </c>
      <c r="B672" s="318"/>
      <c r="C672" s="317" t="s">
        <v>1103</v>
      </c>
    </row>
    <row r="673" spans="1:3" x14ac:dyDescent="0.2">
      <c r="A673" s="319" t="s">
        <v>2630</v>
      </c>
      <c r="B673" s="318"/>
      <c r="C673" s="317" t="s">
        <v>1103</v>
      </c>
    </row>
    <row r="674" spans="1:3" x14ac:dyDescent="0.2">
      <c r="A674" s="319" t="s">
        <v>3338</v>
      </c>
      <c r="B674" s="318"/>
      <c r="C674" s="317" t="s">
        <v>1103</v>
      </c>
    </row>
    <row r="675" spans="1:3" x14ac:dyDescent="0.2">
      <c r="A675" s="319" t="s">
        <v>2059</v>
      </c>
      <c r="B675" s="318">
        <f>(FRorig.s1*Ksw+(1-FRorig.s1)*Ksw.alt)*(1000/RHOsolid/CORG)*CORG.s1C</f>
        <v>20</v>
      </c>
      <c r="C675" s="317" t="s">
        <v>1103</v>
      </c>
    </row>
    <row r="676" spans="1:3" ht="15" x14ac:dyDescent="0.2">
      <c r="A676" s="319" t="s">
        <v>1139</v>
      </c>
      <c r="B676" s="318">
        <f>(FRorig.s1*Ksw+(1-FRorig.s1)*Ksw.alt)*(1000/RHOsolid/CORG)*CORG.s1R</f>
        <v>20</v>
      </c>
      <c r="C676" s="317" t="s">
        <v>1097</v>
      </c>
    </row>
    <row r="677" spans="1:3" x14ac:dyDescent="0.2">
      <c r="A677" s="319" t="s">
        <v>2066</v>
      </c>
      <c r="B677" s="318">
        <f>(FRorig.s2*Ksw+(1-FRorig.s2)*Ksw.alt)*(1000/RHOsolid/CORG)*CORG.s2C</f>
        <v>20</v>
      </c>
      <c r="C677" s="317" t="s">
        <v>1103</v>
      </c>
    </row>
    <row r="678" spans="1:3" ht="15" x14ac:dyDescent="0.2">
      <c r="A678" s="319" t="s">
        <v>1149</v>
      </c>
      <c r="B678" s="318">
        <f>(FRorig.s2*Ksw+(1-FRorig.s2)*Ksw.alt)*(1000/RHOsolid/CORG)*CORG.s2R</f>
        <v>20</v>
      </c>
      <c r="C678" s="317" t="s">
        <v>1097</v>
      </c>
    </row>
    <row r="679" spans="1:3" x14ac:dyDescent="0.2">
      <c r="A679" s="319" t="s">
        <v>2073</v>
      </c>
      <c r="B679" s="318">
        <f>(FRorig.s2*Ksw+(1-FRorig.s2)*Ksw.alt)*(1000/RHOsolid/CORG)*CORG.s3C</f>
        <v>20</v>
      </c>
      <c r="C679" s="317" t="s">
        <v>1103</v>
      </c>
    </row>
    <row r="680" spans="1:3" ht="15" x14ac:dyDescent="0.2">
      <c r="A680" s="319" t="s">
        <v>1159</v>
      </c>
      <c r="B680" s="318">
        <f>(FRorig.s3*Ksw+(1-FRorig.s3)*Ksw.alt)*(1000/RHOsolid/CORG)*CORG.s3R</f>
        <v>20</v>
      </c>
      <c r="C680" s="317" t="s">
        <v>1097</v>
      </c>
    </row>
    <row r="681" spans="1:3" ht="15" x14ac:dyDescent="0.2">
      <c r="A681" s="319" t="s">
        <v>3031</v>
      </c>
      <c r="B681" s="318">
        <f>(FRorig.s1*Ksw+(1-FRorig.s1)*Ksw.alt)*(1000/RHOsolid/CORG)*CORG.sA</f>
        <v>20</v>
      </c>
      <c r="C681" s="317" t="s">
        <v>1097</v>
      </c>
    </row>
    <row r="682" spans="1:3" x14ac:dyDescent="0.2">
      <c r="A682" s="319" t="s">
        <v>2049</v>
      </c>
      <c r="B682" s="318">
        <f>(FRorig.sd1*Ksw+(1-FRorig.sd1)*Ksw.alt)*(1000/RHOsolid/CORG)*CORG.sd1C</f>
        <v>50</v>
      </c>
      <c r="C682" s="317" t="s">
        <v>1103</v>
      </c>
    </row>
    <row r="683" spans="1:3" ht="15" x14ac:dyDescent="0.2">
      <c r="A683" s="319" t="s">
        <v>1123</v>
      </c>
      <c r="B683" s="318">
        <f>(FRorig.sd1*Ksw+(1-FRorig.sd1)*Ksw.alt)*(1000/RHOsolid/CORG)*CORG.sd1R</f>
        <v>50</v>
      </c>
      <c r="C683" s="317" t="s">
        <v>1097</v>
      </c>
    </row>
    <row r="684" spans="1:3" x14ac:dyDescent="0.2">
      <c r="A684" s="319" t="s">
        <v>2052</v>
      </c>
      <c r="B684" s="318">
        <f>(FRorig.sd2*Ksw+(1-FRorig.sd2)*Ksw.alt)*(1000/RHOsolid/CORG)*CORG.sd2C</f>
        <v>50</v>
      </c>
      <c r="C684" s="317" t="s">
        <v>1103</v>
      </c>
    </row>
    <row r="685" spans="1:3" ht="15" x14ac:dyDescent="0.2">
      <c r="A685" s="319" t="s">
        <v>1129</v>
      </c>
      <c r="B685" s="318">
        <f>(FRorig.sd2*Ksw+(1-FRorig.sd2)*Ksw.alt)*(1000/RHOsolid/CORG)*CORG.sd2R</f>
        <v>50</v>
      </c>
      <c r="C685" s="317" t="s">
        <v>1097</v>
      </c>
    </row>
    <row r="686" spans="1:3" ht="15" x14ac:dyDescent="0.2">
      <c r="A686" s="319" t="s">
        <v>3026</v>
      </c>
      <c r="B686" s="318">
        <f>(FRorig.sd2*Ksw+(1-FRorig.sd2)*Ksw.alt)*(1000/RHOsolid/CORG)*CORG.sdA</f>
        <v>50</v>
      </c>
      <c r="C686" s="317" t="s">
        <v>1097</v>
      </c>
    </row>
    <row r="687" spans="1:3" ht="15" x14ac:dyDescent="0.2">
      <c r="A687" s="319" t="s">
        <v>2638</v>
      </c>
      <c r="B687" s="318">
        <f>(FRorig.sd2*Ksw+(1-FRorig.sd2)*Ksw.alt)*(1000/RHOsolid/CORG)*CORG.sdM</f>
        <v>50</v>
      </c>
      <c r="C687" s="317" t="s">
        <v>1097</v>
      </c>
    </row>
    <row r="688" spans="1:3" ht="15" x14ac:dyDescent="0.2">
      <c r="A688" s="319" t="s">
        <v>3342</v>
      </c>
      <c r="B688" s="318">
        <f>(FRorig.sd2*Ksw+(1-FRorig.sd2)*Ksw.alt)*(1000/RHOsolid/CORG)*CORG.sdT</f>
        <v>50</v>
      </c>
      <c r="C688" s="317" t="s">
        <v>1097</v>
      </c>
    </row>
    <row r="689" spans="1:3" ht="15" x14ac:dyDescent="0.2">
      <c r="A689" s="319" t="s">
        <v>2648</v>
      </c>
      <c r="B689" s="318">
        <f>(FRorig.s1*Ksw+(1-FRorig.s1)*Ksw.alt)*(1000/RHOsolid/CORG)*CORG.sM</f>
        <v>20</v>
      </c>
      <c r="C689" s="317" t="s">
        <v>1097</v>
      </c>
    </row>
    <row r="690" spans="1:3" ht="15" x14ac:dyDescent="0.2">
      <c r="A690" s="319" t="s">
        <v>3347</v>
      </c>
      <c r="B690" s="318">
        <f>(FRorig.s1*Ksw+(1-FRorig.s1)*Ksw.alt)*(1000/RHOsolid/CORG)*CORG.sT</f>
        <v>20</v>
      </c>
      <c r="C690" s="317" t="s">
        <v>1097</v>
      </c>
    </row>
    <row r="691" spans="1:3" ht="15" x14ac:dyDescent="0.2">
      <c r="A691" s="319" t="s">
        <v>2032</v>
      </c>
      <c r="B691" s="318">
        <f>(FRorig.w1*Ksw+(1-FRorig.w1)*Ksw.alt)*(1000/RHOsolid/CORG)*CORG.susp0C</f>
        <v>100</v>
      </c>
      <c r="C691" s="317" t="s">
        <v>1097</v>
      </c>
    </row>
    <row r="692" spans="1:3" ht="15" x14ac:dyDescent="0.2">
      <c r="A692" s="319" t="s">
        <v>1096</v>
      </c>
      <c r="B692" s="318">
        <f>(FRorig.w1*Ksw+(1-FRorig.w1)*Ksw.alt)*(1000/RHOsolid/CORG)*CORG.susp0R</f>
        <v>100</v>
      </c>
      <c r="C692" s="317" t="s">
        <v>1097</v>
      </c>
    </row>
    <row r="693" spans="1:3" x14ac:dyDescent="0.2">
      <c r="A693" s="319" t="s">
        <v>2037</v>
      </c>
      <c r="B693" s="318">
        <f>(FRorig.w1*Ksw+(1-FRorig.w1)*Ksw.alt)*(1000/RHOsolid/CORG)*CORG.susp1C</f>
        <v>100</v>
      </c>
      <c r="C693" s="317" t="s">
        <v>1103</v>
      </c>
    </row>
    <row r="694" spans="1:3" ht="15" x14ac:dyDescent="0.2">
      <c r="A694" s="319" t="s">
        <v>1106</v>
      </c>
      <c r="B694" s="318">
        <f>(FRorig.w1*Ksw+(1-FRorig.w1)*Ksw.alt)*(1000/RHOsolid/CORG)*CORG.susp1R</f>
        <v>100</v>
      </c>
      <c r="C694" s="317" t="s">
        <v>1097</v>
      </c>
    </row>
    <row r="695" spans="1:3" ht="15" x14ac:dyDescent="0.2">
      <c r="A695" s="319" t="s">
        <v>3015</v>
      </c>
      <c r="B695" s="318">
        <f>(FRorig.w2*Ksw+(1-FRorig.w2)*Ksw.alt)*(1000/RHOsolid/CORG)*CORG.susp2A</f>
        <v>100</v>
      </c>
      <c r="C695" s="317" t="s">
        <v>1097</v>
      </c>
    </row>
    <row r="696" spans="1:3" x14ac:dyDescent="0.2">
      <c r="A696" s="319" t="s">
        <v>2042</v>
      </c>
      <c r="B696" s="318">
        <f>(FRorig.w2*Ksw+(1-FRorig.w2)*Ksw.alt)*(1000/RHOsolid/CORG)*CORG.susp2C</f>
        <v>100</v>
      </c>
      <c r="C696" s="317" t="s">
        <v>1103</v>
      </c>
    </row>
    <row r="697" spans="1:3" ht="15" x14ac:dyDescent="0.2">
      <c r="A697" s="319" t="s">
        <v>2616</v>
      </c>
      <c r="B697" s="318">
        <f>(FRorig.w2*Ksw+(1-FRorig.w2)*Ksw.alt)*(1000/RHOsolid/CORG)*CORG.susp2M</f>
        <v>100</v>
      </c>
      <c r="C697" s="317" t="s">
        <v>1097</v>
      </c>
    </row>
    <row r="698" spans="1:3" ht="15" x14ac:dyDescent="0.2">
      <c r="A698" s="319" t="s">
        <v>1111</v>
      </c>
      <c r="B698" s="318">
        <f>(FRorig.w2*Ksw+(1-FRorig.w2)*Ksw.alt)*(1000/RHOsolid/CORG)*CORG.susp2R</f>
        <v>100</v>
      </c>
      <c r="C698" s="317" t="s">
        <v>1097</v>
      </c>
    </row>
    <row r="699" spans="1:3" ht="15" x14ac:dyDescent="0.2">
      <c r="A699" s="319" t="s">
        <v>3331</v>
      </c>
      <c r="B699" s="318">
        <f>(FRorig.w2*Ksw+(1-FRorig.w2)*Ksw.alt)*(1000/RHOsolid/CORG)*CORG.susp2T</f>
        <v>100</v>
      </c>
      <c r="C699" s="317" t="s">
        <v>1097</v>
      </c>
    </row>
    <row r="700" spans="1:3" ht="15" x14ac:dyDescent="0.2">
      <c r="A700" s="319" t="s">
        <v>3016</v>
      </c>
      <c r="B700" s="318">
        <f>(FRorig.w2*Ksw+(1-FRorig.w2)*Ksw.alt)*(1000/RHOsolid/CORG)*CORG.susp3A</f>
        <v>100</v>
      </c>
      <c r="C700" s="317" t="s">
        <v>1097</v>
      </c>
    </row>
    <row r="701" spans="1:3" ht="15" x14ac:dyDescent="0.2">
      <c r="A701" s="319" t="s">
        <v>2618</v>
      </c>
      <c r="B701" s="318">
        <f>(FRorig.w2*Ksw+(1-FRorig.w2)*Ksw.alt)*(1000/RHOsolid/CORG)*CORG.susp3M</f>
        <v>100</v>
      </c>
      <c r="C701" s="317" t="s">
        <v>1098</v>
      </c>
    </row>
    <row r="702" spans="1:3" ht="15" x14ac:dyDescent="0.2">
      <c r="A702" s="319" t="s">
        <v>3332</v>
      </c>
      <c r="B702" s="318">
        <f>(FRorig.w2*Ksw+(1-FRorig.w2)*Ksw.alt)*(1000/RHOsolid/CORG)*CORG.susp3T</f>
        <v>100</v>
      </c>
      <c r="C702" s="317" t="s">
        <v>1097</v>
      </c>
    </row>
    <row r="703" spans="1:3" x14ac:dyDescent="0.2">
      <c r="A703" s="319" t="s">
        <v>2054</v>
      </c>
      <c r="B703" s="318">
        <f>FRACa.s1C*(Kaw.C*FRorig.s1w)+FRACw.s1C+FRACs.s1C*Kp.s1C*RHOsolid/1000</f>
        <v>30.200000000000003</v>
      </c>
      <c r="C703" s="317" t="s">
        <v>296</v>
      </c>
    </row>
    <row r="704" spans="1:3" x14ac:dyDescent="0.2">
      <c r="A704" s="319" t="s">
        <v>1133</v>
      </c>
      <c r="B704" s="318">
        <v>28500.200000000004</v>
      </c>
      <c r="C704" s="317" t="s">
        <v>296</v>
      </c>
    </row>
    <row r="705" spans="1:3" x14ac:dyDescent="0.2">
      <c r="A705" s="319" t="s">
        <v>2061</v>
      </c>
      <c r="B705" s="318">
        <f>FRACa.s2C*(Kaw.C*FRorig.s2w)+FRACw.s2C+FRACs.s2C*Kp.s2C*RHOsolid/1000</f>
        <v>30.200000000000003</v>
      </c>
      <c r="C705" s="317" t="s">
        <v>296</v>
      </c>
    </row>
    <row r="706" spans="1:3" x14ac:dyDescent="0.2">
      <c r="A706" s="319" t="s">
        <v>1143</v>
      </c>
      <c r="B706" s="318">
        <v>28500.200000000004</v>
      </c>
      <c r="C706" s="317" t="s">
        <v>296</v>
      </c>
    </row>
    <row r="707" spans="1:3" x14ac:dyDescent="0.2">
      <c r="A707" s="319" t="s">
        <v>2068</v>
      </c>
      <c r="B707" s="318">
        <f>FRACa.s3C*(Kaw.C*FRorig.s3w)+FRACw.s3C+FRACs.s3C*Kp.s3C*RHOsolid/1000</f>
        <v>30.200000000000003</v>
      </c>
      <c r="C707" s="317" t="s">
        <v>296</v>
      </c>
    </row>
    <row r="708" spans="1:3" x14ac:dyDescent="0.2">
      <c r="A708" s="319" t="s">
        <v>1153</v>
      </c>
      <c r="B708" s="318">
        <v>28500.200000000004</v>
      </c>
      <c r="C708" s="317" t="s">
        <v>296</v>
      </c>
    </row>
    <row r="709" spans="1:3" x14ac:dyDescent="0.2">
      <c r="A709" s="319" t="s">
        <v>3025</v>
      </c>
      <c r="B709" s="318">
        <f>FRACw.sdA+FRACs.sdA*Kp.sdA*RHOsolid/1000</f>
        <v>25.799999999999997</v>
      </c>
      <c r="C709" s="317" t="s">
        <v>296</v>
      </c>
    </row>
    <row r="710" spans="1:3" x14ac:dyDescent="0.2">
      <c r="A710" s="319" t="s">
        <v>2636</v>
      </c>
      <c r="B710" s="318">
        <f>FRACw.sdM+FRACs.sdM*Kp.sdM*RHOsolid/1000</f>
        <v>25.799999999999997</v>
      </c>
      <c r="C710" s="317" t="s">
        <v>296</v>
      </c>
    </row>
    <row r="711" spans="1:3" x14ac:dyDescent="0.2">
      <c r="A711" s="319" t="s">
        <v>3341</v>
      </c>
      <c r="B711" s="318">
        <f>FRACw.sdT+FRACs.sdT*Kp.sdT*RHOsolid/1000</f>
        <v>25.799999999999997</v>
      </c>
      <c r="C711" s="317" t="s">
        <v>296</v>
      </c>
    </row>
    <row r="712" spans="1:3" x14ac:dyDescent="0.2">
      <c r="A712" s="319" t="s">
        <v>2048</v>
      </c>
      <c r="B712" s="318">
        <f>FRACw.sdC+FRACs.sdC*Kp.sd1C*RHOsolid/1000</f>
        <v>25.799999999999997</v>
      </c>
      <c r="C712" s="317" t="s">
        <v>296</v>
      </c>
    </row>
    <row r="713" spans="1:3" x14ac:dyDescent="0.2">
      <c r="A713" s="319" t="s">
        <v>1121</v>
      </c>
      <c r="B713" s="325">
        <f>FRACw.sdR+FRACs.sdR*Kp.sd1R*RHOsolid/1000</f>
        <v>25.799999999999997</v>
      </c>
      <c r="C713" s="317" t="s">
        <v>296</v>
      </c>
    </row>
    <row r="714" spans="1:3" x14ac:dyDescent="0.2">
      <c r="A714" s="319" t="s">
        <v>2051</v>
      </c>
      <c r="B714" s="318">
        <f>FRACw.sdC+FRACs.sdC*Kp.sd2C*RHOsolid/1000</f>
        <v>25.799999999999997</v>
      </c>
      <c r="C714" s="317" t="s">
        <v>296</v>
      </c>
    </row>
    <row r="715" spans="1:3" x14ac:dyDescent="0.2">
      <c r="A715" s="319" t="s">
        <v>1127</v>
      </c>
      <c r="B715" s="318">
        <f>FRACw.sdR+FRACs.sdR*Kp.sd2R*RHOsolid/1000</f>
        <v>25.799999999999997</v>
      </c>
      <c r="C715" s="317" t="s">
        <v>296</v>
      </c>
    </row>
    <row r="716" spans="1:3" x14ac:dyDescent="0.2">
      <c r="A716" s="319" t="s">
        <v>3028</v>
      </c>
      <c r="B716" s="318">
        <f>FRACa.sA*(Kaw.A*FRorig.s1w)+FRACw.sA+FRACs.sA*Kp.sA*RHOsolid/1000</f>
        <v>30.200000000000003</v>
      </c>
      <c r="C716" s="317" t="s">
        <v>296</v>
      </c>
    </row>
    <row r="717" spans="1:3" x14ac:dyDescent="0.2">
      <c r="A717" s="319" t="s">
        <v>2642</v>
      </c>
      <c r="B717" s="318">
        <f>FRACa.sM*(Kaw.M*FRorig.s1w)+FRACw.sM+FRACs.sM*Kp.sM*RHOsolid/1000</f>
        <v>30.200000000000003</v>
      </c>
      <c r="C717" s="317" t="s">
        <v>296</v>
      </c>
    </row>
    <row r="718" spans="1:3" x14ac:dyDescent="0.2">
      <c r="A718" s="319" t="s">
        <v>3344</v>
      </c>
      <c r="B718" s="318">
        <f>FRACa.sT*(Kaw.T*FRorig.s1w)+FRACw.sT+FRACs.sT*Kp.sT*RHOsolid/1000</f>
        <v>30.200000000000003</v>
      </c>
      <c r="C718" s="317" t="s">
        <v>296</v>
      </c>
    </row>
    <row r="719" spans="1:3" x14ac:dyDescent="0.2">
      <c r="A719" s="319" t="s">
        <v>537</v>
      </c>
      <c r="B719" s="321">
        <f>(VLOOKUP(ChemClass,QSARtable,6,FALSE))*CORG*RHOsolid/1000</f>
        <v>0</v>
      </c>
      <c r="C719" s="317" t="s">
        <v>296</v>
      </c>
    </row>
    <row r="720" spans="1:3" x14ac:dyDescent="0.2">
      <c r="A720" s="319" t="s">
        <v>540</v>
      </c>
      <c r="B720" s="321">
        <f>(VLOOKUP(ChemClass,QSARtable,7,FALSE))*CORG*RHOsolid/1000</f>
        <v>50</v>
      </c>
      <c r="C720" s="317" t="s">
        <v>296</v>
      </c>
    </row>
    <row r="721" spans="1:3" ht="15" x14ac:dyDescent="0.2">
      <c r="A721" s="317" t="s">
        <v>3042</v>
      </c>
      <c r="B721" s="318" t="e">
        <f>(AerosolWashout.A+GasWashout.A)/HEIGHT.aA + (GASABSflow.aA.w2A+GASABSflow.aA.sA)/VOLUME.aA+KDEG.aA</f>
        <v>#NAME?</v>
      </c>
      <c r="C721" s="317" t="s">
        <v>624</v>
      </c>
    </row>
    <row r="722" spans="1:3" ht="15" x14ac:dyDescent="0.2">
      <c r="A722" s="317" t="s">
        <v>2105</v>
      </c>
      <c r="B722" s="318" t="e">
        <f>(AerosolWashout.C+GasWashout.C)/HEIGHT.aC + (GASABSflow.aC.w1C+GASABSflow.aC.w2C+GASABSflow.aC.s1C+GASABSflow.aC.s2C+GASABSflow.aC.s3C)/SYSTEMAREA.C+KDEG.aC</f>
        <v>#NAME?</v>
      </c>
      <c r="C722" s="317" t="s">
        <v>624</v>
      </c>
    </row>
    <row r="723" spans="1:3" ht="15" x14ac:dyDescent="0.2">
      <c r="A723" s="317" t="s">
        <v>2666</v>
      </c>
      <c r="B723" s="318" t="e">
        <f>(AerosolWashout.M+GasWashout.M)/HEIGHT.aM + (GASABSflow.aM.w2M+GASABSflow.aM.sM)/VOLUME.aM+KDEG.aM</f>
        <v>#NAME?</v>
      </c>
      <c r="C723" s="317" t="s">
        <v>624</v>
      </c>
    </row>
    <row r="724" spans="1:3" ht="15" x14ac:dyDescent="0.2">
      <c r="A724" s="317" t="s">
        <v>1194</v>
      </c>
      <c r="B724" s="318" t="e">
        <v>#NAME?</v>
      </c>
      <c r="C724" s="317" t="s">
        <v>624</v>
      </c>
    </row>
    <row r="725" spans="1:3" ht="15" x14ac:dyDescent="0.2">
      <c r="A725" s="317" t="s">
        <v>3356</v>
      </c>
      <c r="B725" s="318" t="e">
        <f>(AerosolWashout.T+GasWashout.T)/HEIGHT.aT + (GASABSflow.aT.w2T+GASABSflow.aT.sT)/VOLUME.aT+KDEG.aT</f>
        <v>#NAME?</v>
      </c>
      <c r="C725" s="317" t="s">
        <v>624</v>
      </c>
    </row>
    <row r="726" spans="1:3" ht="15" x14ac:dyDescent="0.2">
      <c r="A726" s="321" t="s">
        <v>3074</v>
      </c>
      <c r="B726" s="321">
        <v>2.7779999999999998E-8</v>
      </c>
      <c r="C726" s="320" t="s">
        <v>1202</v>
      </c>
    </row>
    <row r="727" spans="1:3" ht="15" x14ac:dyDescent="0.2">
      <c r="A727" s="321" t="s">
        <v>2160</v>
      </c>
      <c r="B727" s="321">
        <v>2.7779999999999998E-8</v>
      </c>
      <c r="C727" s="319" t="s">
        <v>1202</v>
      </c>
    </row>
    <row r="728" spans="1:3" ht="15" x14ac:dyDescent="0.2">
      <c r="A728" s="321" t="s">
        <v>2710</v>
      </c>
      <c r="B728" s="321">
        <v>2.7779999999999998E-8</v>
      </c>
      <c r="C728" s="320" t="s">
        <v>1202</v>
      </c>
    </row>
    <row r="729" spans="1:3" ht="15" x14ac:dyDescent="0.2">
      <c r="A729" s="321" t="s">
        <v>1299</v>
      </c>
      <c r="B729" s="318">
        <v>2.7780000000000001E-8</v>
      </c>
      <c r="C729" s="319" t="s">
        <v>1202</v>
      </c>
    </row>
    <row r="730" spans="1:3" ht="15" x14ac:dyDescent="0.2">
      <c r="A730" s="321" t="s">
        <v>3387</v>
      </c>
      <c r="B730" s="321">
        <v>2.7779999999999998E-8</v>
      </c>
      <c r="C730" s="320" t="s">
        <v>1202</v>
      </c>
    </row>
    <row r="731" spans="1:3" ht="15" x14ac:dyDescent="0.2">
      <c r="A731" s="321" t="s">
        <v>3073</v>
      </c>
      <c r="B731" s="321">
        <v>2.7779999999999999E-6</v>
      </c>
      <c r="C731" s="320" t="s">
        <v>1202</v>
      </c>
    </row>
    <row r="732" spans="1:3" ht="15" x14ac:dyDescent="0.2">
      <c r="A732" s="321" t="s">
        <v>2159</v>
      </c>
      <c r="B732" s="321">
        <v>2.7779999999999999E-6</v>
      </c>
      <c r="C732" s="319" t="s">
        <v>1202</v>
      </c>
    </row>
    <row r="733" spans="1:3" ht="15" x14ac:dyDescent="0.2">
      <c r="A733" s="321" t="s">
        <v>2709</v>
      </c>
      <c r="B733" s="321">
        <v>2.7779999999999999E-6</v>
      </c>
      <c r="C733" s="320" t="s">
        <v>1202</v>
      </c>
    </row>
    <row r="734" spans="1:3" ht="15" x14ac:dyDescent="0.2">
      <c r="A734" s="321" t="s">
        <v>1297</v>
      </c>
      <c r="B734" s="318">
        <v>2.7779999999999999E-6</v>
      </c>
      <c r="C734" s="319" t="s">
        <v>1202</v>
      </c>
    </row>
    <row r="735" spans="1:3" ht="15" x14ac:dyDescent="0.2">
      <c r="A735" s="321" t="s">
        <v>3386</v>
      </c>
      <c r="B735" s="321">
        <v>2.7779999999999999E-6</v>
      </c>
      <c r="C735" s="320" t="s">
        <v>1202</v>
      </c>
    </row>
    <row r="736" spans="1:3" ht="15" x14ac:dyDescent="0.2">
      <c r="A736" s="317" t="s">
        <v>4595</v>
      </c>
      <c r="B736" s="318">
        <f>FRACinf.s1C*RAINrate.C/Ks1w.C*SYSTEMAREA.C*AREAFRAC.s1C*CORRleach.s1C</f>
        <v>1.4807522790689052</v>
      </c>
      <c r="C736" s="317" t="s">
        <v>1065</v>
      </c>
    </row>
    <row r="737" spans="1:3" ht="15" x14ac:dyDescent="0.2">
      <c r="A737" s="317" t="s">
        <v>4596</v>
      </c>
      <c r="B737" s="318">
        <f>FRACinf.s1R*RAINrate.R/Ks1w.R*SYSTEMAREA.R*AREAFRAC.s1R*CORRleach.s1R</f>
        <v>9.7094401471891897E-2</v>
      </c>
      <c r="C737" s="317" t="s">
        <v>1065</v>
      </c>
    </row>
    <row r="738" spans="1:3" ht="15" x14ac:dyDescent="0.2">
      <c r="A738" s="317" t="s">
        <v>4597</v>
      </c>
      <c r="B738" s="318">
        <f>FRACinf.s2C*RAINrate.C/Ks2w.C*SYSTEMAREA.C*AREAFRAC.s2C*CORRleach.s2C</f>
        <v>5.9895341687292962</v>
      </c>
      <c r="C738" s="317" t="s">
        <v>1065</v>
      </c>
    </row>
    <row r="739" spans="1:3" ht="15" x14ac:dyDescent="0.2">
      <c r="A739" s="317" t="s">
        <v>4598</v>
      </c>
      <c r="B739" s="318">
        <f>FRACinf.s2R*RAINrate.R/Ks2w.R*SYSTEMAREA.R*AREAFRAC.s2R*CORRleach.s2R</f>
        <v>0.39273971982261235</v>
      </c>
      <c r="C739" s="317" t="s">
        <v>1065</v>
      </c>
    </row>
    <row r="740" spans="1:3" ht="15" x14ac:dyDescent="0.2">
      <c r="A740" s="317" t="s">
        <v>4599</v>
      </c>
      <c r="B740" s="318">
        <f>FRACinf.s3C*RAINrate.C/Ks3w.C*SYSTEMAREA.C*AREAFRAC.s3C*CORRleach.s3C</f>
        <v>0.54842677002552032</v>
      </c>
      <c r="C740" s="317" t="s">
        <v>1065</v>
      </c>
    </row>
    <row r="741" spans="1:3" ht="15" x14ac:dyDescent="0.2">
      <c r="A741" s="317" t="s">
        <v>4600</v>
      </c>
      <c r="B741" s="318">
        <f>FRACinf.s3R*RAINrate.R/Ks3w.R*SYSTEMAREA.R*AREAFRAC.s3R*CORRleach.s3R</f>
        <v>3.5960889434034034E-2</v>
      </c>
      <c r="C741" s="317" t="s">
        <v>1065</v>
      </c>
    </row>
    <row r="742" spans="1:3" ht="15" x14ac:dyDescent="0.2">
      <c r="A742" s="317" t="s">
        <v>4601</v>
      </c>
      <c r="B742" s="318">
        <f>FRACinf.sA*RAINrate.A/Kslw.A*SYSTEMAREA.A*AREAFRAC.sA*CORRleach.sA</f>
        <v>9.5521709569837707</v>
      </c>
      <c r="C742" s="317" t="s">
        <v>1065</v>
      </c>
    </row>
    <row r="743" spans="1:3" ht="15" x14ac:dyDescent="0.2">
      <c r="A743" s="317" t="s">
        <v>4602</v>
      </c>
      <c r="B743" s="325">
        <f>FRACinf.sM*RAINrate.M/Kslw.M*SYSTEMAREA.M*AREAFRAC.sM*CORRleach.sM</f>
        <v>61.021320104290851</v>
      </c>
      <c r="C743" s="317" t="s">
        <v>1065</v>
      </c>
    </row>
    <row r="744" spans="1:3" ht="15" x14ac:dyDescent="0.2">
      <c r="A744" s="317" t="s">
        <v>4603</v>
      </c>
      <c r="B744" s="318">
        <f>FRACinf.sT*RAINrate.T/Kslw.T*SYSTEMAREA.T*AREAFRAC.sT*CORRleach.sT</f>
        <v>111.76040019671012</v>
      </c>
      <c r="C744" s="317" t="s">
        <v>1065</v>
      </c>
    </row>
    <row r="745" spans="1:3" ht="15" x14ac:dyDescent="0.2">
      <c r="A745" s="321" t="s">
        <v>3059</v>
      </c>
      <c r="B745" s="318">
        <f>0.43/(24*3600)/0.00475</f>
        <v>1.0477582846003899E-3</v>
      </c>
      <c r="C745" s="320" t="s">
        <v>1202</v>
      </c>
    </row>
    <row r="746" spans="1:3" ht="15" x14ac:dyDescent="0.2">
      <c r="A746" s="321" t="s">
        <v>4604</v>
      </c>
      <c r="B746" s="318">
        <f>0.43/(24*3600)/0.00475</f>
        <v>1.0477582846003899E-3</v>
      </c>
      <c r="C746" s="319" t="s">
        <v>1202</v>
      </c>
    </row>
    <row r="747" spans="1:3" ht="15" x14ac:dyDescent="0.2">
      <c r="A747" s="321" t="s">
        <v>2687</v>
      </c>
      <c r="B747" s="318">
        <f>0.43/(24*3600)/0.00475</f>
        <v>1.0477582846003899E-3</v>
      </c>
      <c r="C747" s="320" t="s">
        <v>1202</v>
      </c>
    </row>
    <row r="748" spans="1:3" ht="15" x14ac:dyDescent="0.2">
      <c r="A748" s="321" t="s">
        <v>1233</v>
      </c>
      <c r="B748" s="318">
        <f>0.43/(24*3600)/0.00475</f>
        <v>1.0477582846003899E-3</v>
      </c>
      <c r="C748" s="319" t="s">
        <v>1202</v>
      </c>
    </row>
    <row r="749" spans="1:3" ht="15" x14ac:dyDescent="0.2">
      <c r="A749" s="321" t="s">
        <v>3373</v>
      </c>
      <c r="B749" s="318">
        <f>0.43/(24*3600)/0.00475</f>
        <v>1.0477582846003899E-3</v>
      </c>
      <c r="C749" s="320" t="s">
        <v>1202</v>
      </c>
    </row>
    <row r="750" spans="1:3" ht="15" x14ac:dyDescent="0.2">
      <c r="A750" s="321" t="s">
        <v>3060</v>
      </c>
      <c r="B750" s="318">
        <f>0.1*KDEG.sA</f>
        <v>8.8388347648318441E-23</v>
      </c>
      <c r="C750" s="319" t="s">
        <v>1202</v>
      </c>
    </row>
    <row r="751" spans="1:3" ht="15" x14ac:dyDescent="0.2">
      <c r="A751" s="321" t="s">
        <v>4605</v>
      </c>
      <c r="B751" s="323">
        <f>0.1*KDEG.s1C</f>
        <v>4.0612619817811774E-22</v>
      </c>
      <c r="C751" s="319" t="s">
        <v>1202</v>
      </c>
    </row>
    <row r="752" spans="1:3" ht="15" x14ac:dyDescent="0.2">
      <c r="A752" s="321" t="s">
        <v>2688</v>
      </c>
      <c r="B752" s="318">
        <f>0.1*KDEG.sM</f>
        <v>4.0612619817811774E-22</v>
      </c>
      <c r="C752" s="319" t="s">
        <v>1202</v>
      </c>
    </row>
    <row r="753" spans="1:3" ht="15" x14ac:dyDescent="0.2">
      <c r="A753" s="321" t="s">
        <v>1235</v>
      </c>
      <c r="B753" s="318">
        <f>0.1*KDEG.s1R</f>
        <v>4.0612619817811774E-22</v>
      </c>
      <c r="C753" s="319" t="s">
        <v>1202</v>
      </c>
    </row>
    <row r="754" spans="1:3" ht="15" x14ac:dyDescent="0.2">
      <c r="A754" s="321" t="s">
        <v>3374</v>
      </c>
      <c r="B754" s="318">
        <f>0.1*KDEG.sT</f>
        <v>9.9999999999999991E-22</v>
      </c>
      <c r="C754" s="319" t="s">
        <v>1202</v>
      </c>
    </row>
    <row r="755" spans="1:3" ht="15" x14ac:dyDescent="0.2">
      <c r="A755" s="321" t="s">
        <v>3056</v>
      </c>
      <c r="B755" s="318">
        <f>0.01*(0.3+0.2*WINDspeed.A)*((0.018/Molweight)^(0.67*0.5))</f>
        <v>6.508402137399746E-3</v>
      </c>
      <c r="C755" s="320" t="s">
        <v>1202</v>
      </c>
    </row>
    <row r="756" spans="1:3" ht="15" x14ac:dyDescent="0.2">
      <c r="A756" s="321" t="s">
        <v>4606</v>
      </c>
      <c r="B756" s="318">
        <f>0.01*(0.3+0.2*WINDspeed.C)*((0.018/Molweight)^(0.67*0.5))</f>
        <v>6.508402137399746E-3</v>
      </c>
      <c r="C756" s="319" t="s">
        <v>1202</v>
      </c>
    </row>
    <row r="757" spans="1:3" ht="15" x14ac:dyDescent="0.2">
      <c r="A757" s="321" t="s">
        <v>2683</v>
      </c>
      <c r="B757" s="318">
        <f>0.01*(0.3+0.2*WINDspeed.M)*((0.018/Molweight)^(0.67*0.5))</f>
        <v>6.508402137399746E-3</v>
      </c>
      <c r="C757" s="320" t="s">
        <v>1202</v>
      </c>
    </row>
    <row r="758" spans="1:3" ht="15" x14ac:dyDescent="0.2">
      <c r="A758" s="321" t="s">
        <v>1223</v>
      </c>
      <c r="B758" s="318">
        <f>0.01*(0.3+0.2*WINDspeed.R)*((0.018/Molweight)^(0.67*0.5))</f>
        <v>6.508402137399746E-3</v>
      </c>
      <c r="C758" s="319" t="s">
        <v>1202</v>
      </c>
    </row>
    <row r="759" spans="1:3" ht="15" x14ac:dyDescent="0.2">
      <c r="A759" s="321" t="s">
        <v>3370</v>
      </c>
      <c r="B759" s="318">
        <f>0.01*(0.3+0.2*WINDspeed.T)*((0.018/Molweight)^(0.67*0.5))</f>
        <v>6.508402137399746E-3</v>
      </c>
      <c r="C759" s="320" t="s">
        <v>1202</v>
      </c>
    </row>
    <row r="760" spans="1:3" ht="15" x14ac:dyDescent="0.2">
      <c r="A760" s="321" t="s">
        <v>3057</v>
      </c>
      <c r="B760" s="318">
        <f>0.01*(0.0004+0.00004*WINDspeed.A^2)*((0.032/Molweight)^(0.5*0.5))</f>
        <v>6.8902045811906283E-6</v>
      </c>
      <c r="C760" s="320" t="s">
        <v>1202</v>
      </c>
    </row>
    <row r="761" spans="1:3" ht="15" x14ac:dyDescent="0.2">
      <c r="A761" s="321" t="s">
        <v>4607</v>
      </c>
      <c r="B761" s="318">
        <f>0.01*(0.0004+0.00004*WINDspeed.C^2)*((0.032/Molweight)^(0.5*0.5))</f>
        <v>6.8902045811906283E-6</v>
      </c>
      <c r="C761" s="319" t="s">
        <v>1202</v>
      </c>
    </row>
    <row r="762" spans="1:3" ht="15" x14ac:dyDescent="0.2">
      <c r="A762" s="321" t="s">
        <v>2684</v>
      </c>
      <c r="B762" s="318">
        <f>0.01*(0.0004+0.00004*WINDspeed.M^2)*((0.032/Molweight)^(0.5*0.5))</f>
        <v>6.8902045811906283E-6</v>
      </c>
      <c r="C762" s="320" t="s">
        <v>1202</v>
      </c>
    </row>
    <row r="763" spans="1:3" ht="15" x14ac:dyDescent="0.2">
      <c r="A763" s="321" t="s">
        <v>1225</v>
      </c>
      <c r="B763" s="318">
        <f>0.01*(0.0004+0.00004*WINDspeed.R^2)*((0.032/Molweight)^(0.5*0.5))</f>
        <v>6.8902045811906283E-6</v>
      </c>
      <c r="C763" s="319" t="s">
        <v>1202</v>
      </c>
    </row>
    <row r="764" spans="1:3" ht="15" x14ac:dyDescent="0.2">
      <c r="A764" s="321" t="s">
        <v>3371</v>
      </c>
      <c r="B764" s="318">
        <f>0.01*(0.0004+0.00004*WINDspeed.T^2)*((0.032/Molweight)^(0.5*0.5))</f>
        <v>6.8902045811906283E-6</v>
      </c>
      <c r="C764" s="320" t="s">
        <v>1202</v>
      </c>
    </row>
    <row r="765" spans="1:3" ht="15" x14ac:dyDescent="0.2">
      <c r="A765" s="319" t="s">
        <v>2151</v>
      </c>
      <c r="B765" s="318">
        <v>8.6226851854606775E-11</v>
      </c>
      <c r="C765" s="319" t="s">
        <v>1202</v>
      </c>
    </row>
    <row r="766" spans="1:3" ht="15" x14ac:dyDescent="0.2">
      <c r="A766" s="319" t="s">
        <v>1278</v>
      </c>
      <c r="B766" s="318">
        <v>8.6861047691527155E-11</v>
      </c>
      <c r="C766" s="319" t="s">
        <v>1202</v>
      </c>
    </row>
    <row r="767" spans="1:3" ht="15" x14ac:dyDescent="0.2">
      <c r="A767" s="319" t="s">
        <v>2152</v>
      </c>
      <c r="B767" s="318">
        <v>0</v>
      </c>
      <c r="C767" s="319" t="s">
        <v>1202</v>
      </c>
    </row>
    <row r="768" spans="1:3" ht="15" x14ac:dyDescent="0.2">
      <c r="A768" s="319" t="s">
        <v>1281</v>
      </c>
      <c r="B768" s="318">
        <v>2.7428797247595103E-11</v>
      </c>
      <c r="C768" s="319" t="s">
        <v>1202</v>
      </c>
    </row>
    <row r="769" spans="1:3" ht="15" x14ac:dyDescent="0.2">
      <c r="A769" s="319" t="s">
        <v>3068</v>
      </c>
      <c r="B769" s="318">
        <v>6.3419583967528499E-14</v>
      </c>
      <c r="C769" s="320" t="s">
        <v>1202</v>
      </c>
    </row>
    <row r="770" spans="1:3" ht="15" x14ac:dyDescent="0.2">
      <c r="A770" s="319" t="s">
        <v>2701</v>
      </c>
      <c r="B770" s="318">
        <v>8.9518029439684741E-14</v>
      </c>
      <c r="C770" s="320" t="s">
        <v>1202</v>
      </c>
    </row>
    <row r="771" spans="1:3" ht="15" x14ac:dyDescent="0.2">
      <c r="A771" s="319" t="s">
        <v>3382</v>
      </c>
      <c r="B771" s="318">
        <v>6.3419583967529484E-14</v>
      </c>
      <c r="C771" s="320" t="s">
        <v>1202</v>
      </c>
    </row>
    <row r="772" spans="1:3" ht="15" x14ac:dyDescent="0.2">
      <c r="A772" s="317" t="s">
        <v>2591</v>
      </c>
      <c r="B772" s="318">
        <v>150000000</v>
      </c>
      <c r="C772" s="321" t="s">
        <v>1065</v>
      </c>
    </row>
    <row r="773" spans="1:3" ht="15" x14ac:dyDescent="0.2">
      <c r="A773" s="317" t="s">
        <v>3003</v>
      </c>
      <c r="B773" s="318">
        <f>VOLUME.w2A/TAU.surfA</f>
        <v>536616161.61616164</v>
      </c>
      <c r="C773" s="321" t="s">
        <v>1065</v>
      </c>
    </row>
    <row r="774" spans="1:3" ht="15" x14ac:dyDescent="0.2">
      <c r="A774" s="317" t="s">
        <v>2597</v>
      </c>
      <c r="B774" s="318">
        <f>VOLUME.w2M/TAU.surfM</f>
        <v>816195075.75757575</v>
      </c>
      <c r="C774" s="321" t="s">
        <v>1065</v>
      </c>
    </row>
    <row r="775" spans="1:3" ht="15" x14ac:dyDescent="0.2">
      <c r="A775" s="317" t="s">
        <v>3319</v>
      </c>
      <c r="B775" s="318">
        <f>VOLUME.w2T/TAU.surfT</f>
        <v>1878156565.6565654</v>
      </c>
      <c r="C775" s="321" t="s">
        <v>1065</v>
      </c>
    </row>
    <row r="776" spans="1:3" x14ac:dyDescent="0.2">
      <c r="A776" s="317" t="s">
        <v>770</v>
      </c>
      <c r="B776" s="318">
        <v>3</v>
      </c>
      <c r="C776" s="317" t="s">
        <v>296</v>
      </c>
    </row>
    <row r="777" spans="1:3" x14ac:dyDescent="0.2">
      <c r="A777" s="317" t="s">
        <v>768</v>
      </c>
      <c r="B777" s="318">
        <v>5.6</v>
      </c>
      <c r="C777" s="317" t="s">
        <v>296</v>
      </c>
    </row>
    <row r="778" spans="1:3" x14ac:dyDescent="0.2">
      <c r="A778" s="317" t="s">
        <v>777</v>
      </c>
      <c r="B778" s="318">
        <v>5</v>
      </c>
      <c r="C778" s="317" t="s">
        <v>296</v>
      </c>
    </row>
    <row r="779" spans="1:3" x14ac:dyDescent="0.2">
      <c r="A779" s="317" t="s">
        <v>779</v>
      </c>
      <c r="B779" s="318">
        <v>7</v>
      </c>
      <c r="C779" s="317" t="s">
        <v>296</v>
      </c>
    </row>
    <row r="780" spans="1:3" x14ac:dyDescent="0.2">
      <c r="A780" s="317" t="s">
        <v>781</v>
      </c>
      <c r="B780" s="318">
        <v>7</v>
      </c>
      <c r="C780" s="317" t="s">
        <v>296</v>
      </c>
    </row>
    <row r="781" spans="1:3" x14ac:dyDescent="0.2">
      <c r="A781" s="317" t="s">
        <v>773</v>
      </c>
      <c r="B781" s="318">
        <v>7</v>
      </c>
      <c r="C781" s="317" t="s">
        <v>296</v>
      </c>
    </row>
    <row r="782" spans="1:3" x14ac:dyDescent="0.2">
      <c r="A782" s="317" t="s">
        <v>775</v>
      </c>
      <c r="B782" s="318">
        <v>8</v>
      </c>
      <c r="C782" s="317" t="s">
        <v>296</v>
      </c>
    </row>
    <row r="783" spans="1:3" x14ac:dyDescent="0.2">
      <c r="A783" s="317" t="s">
        <v>548</v>
      </c>
      <c r="B783" s="321">
        <v>7</v>
      </c>
      <c r="C783" s="317"/>
    </row>
    <row r="784" spans="1:3" x14ac:dyDescent="0.2">
      <c r="A784" s="321" t="s">
        <v>4608</v>
      </c>
      <c r="B784" s="323">
        <f>IF(Tm&gt;298,EXP(-6.79*(1-Tm/298))*Pvap25*EXP((H0vap/8.314)*(1/298-1/TEMP.A)),Pvap25*EXP((H0vap/8.314)*(1/298-1/TEMP.A)))</f>
        <v>5.8022068233431984E-45</v>
      </c>
      <c r="C784" s="321" t="s">
        <v>578</v>
      </c>
    </row>
    <row r="785" spans="1:3" x14ac:dyDescent="0.2">
      <c r="A785" s="317" t="s">
        <v>4609</v>
      </c>
      <c r="B785" s="323">
        <f>IF(Tm&gt;298,EXP(-6.79*(1-Tm/298))*Pvap25*EXP((H0vap/8.314)*(1/298-1/TEMP.C)),Pvap25*EXP((H0vap/8.314)*(1/298-1/TEMP.C)))</f>
        <v>4.0184331729414909E-39</v>
      </c>
      <c r="C785" s="317" t="s">
        <v>578</v>
      </c>
    </row>
    <row r="786" spans="1:3" x14ac:dyDescent="0.2">
      <c r="A786" s="317" t="s">
        <v>4610</v>
      </c>
      <c r="B786" s="318">
        <f>IF(Tm&gt;298,EXP(-6.79*(1-Tm/298))*Pvap25*EXP((H0vap/8.314)*(1/298-1/TEMP.M)),Pvap25*EXP((H0vap/8.314)*(1/298-1/TEMP.M)))</f>
        <v>4.0184331729414909E-39</v>
      </c>
      <c r="C786" s="317" t="s">
        <v>578</v>
      </c>
    </row>
    <row r="787" spans="1:3" x14ac:dyDescent="0.2">
      <c r="A787" s="321" t="s">
        <v>4611</v>
      </c>
      <c r="B787" s="323">
        <f>IF(Tm&gt;298,EXP(-6.79*(1-Tm/298))*Pvap25*EXP((H0vap/8.314)*(1/298-1/TEMP.R)),Pvap25*EXP((H0vap/8.314)*(1/298-1/TEMP.R)))</f>
        <v>4.0184331729414909E-39</v>
      </c>
      <c r="C787" s="321" t="s">
        <v>578</v>
      </c>
    </row>
    <row r="788" spans="1:3" x14ac:dyDescent="0.2">
      <c r="A788" s="317" t="s">
        <v>4612</v>
      </c>
      <c r="B788" s="323">
        <f>IF(Tm&gt;298,EXP(-6.79*(1-Tm/298))*Pvap25*EXP((H0vap/8.314)*(1/298-1/TEMP.T)),Pvap25*EXP((H0vap/8.314)*(1/298-1/TEMP.T)))</f>
        <v>4.4658020473390378E-36</v>
      </c>
      <c r="C788" s="317" t="s">
        <v>578</v>
      </c>
    </row>
    <row r="789" spans="1:3" ht="15" x14ac:dyDescent="0.2">
      <c r="A789" s="319" t="s">
        <v>2153</v>
      </c>
      <c r="B789" s="318">
        <v>10</v>
      </c>
      <c r="C789" s="317" t="s">
        <v>1284</v>
      </c>
    </row>
    <row r="790" spans="1:3" ht="15" x14ac:dyDescent="0.2">
      <c r="A790" s="319" t="s">
        <v>1283</v>
      </c>
      <c r="B790" s="318">
        <v>10</v>
      </c>
      <c r="C790" s="317" t="s">
        <v>1284</v>
      </c>
    </row>
    <row r="791" spans="1:3" ht="15" x14ac:dyDescent="0.2">
      <c r="A791" s="319" t="s">
        <v>2154</v>
      </c>
      <c r="B791" s="318">
        <v>5</v>
      </c>
      <c r="C791" s="317" t="s">
        <v>1284</v>
      </c>
    </row>
    <row r="792" spans="1:3" ht="15" x14ac:dyDescent="0.2">
      <c r="A792" s="319" t="s">
        <v>1287</v>
      </c>
      <c r="B792" s="318">
        <v>10</v>
      </c>
      <c r="C792" s="317" t="s">
        <v>1284</v>
      </c>
    </row>
    <row r="793" spans="1:3" ht="15" x14ac:dyDescent="0.2">
      <c r="A793" s="319" t="s">
        <v>3069</v>
      </c>
      <c r="B793" s="318">
        <v>1</v>
      </c>
      <c r="C793" s="317" t="s">
        <v>1284</v>
      </c>
    </row>
    <row r="794" spans="1:3" ht="15" x14ac:dyDescent="0.2">
      <c r="A794" s="319" t="s">
        <v>2703</v>
      </c>
      <c r="B794" s="318">
        <v>1</v>
      </c>
      <c r="C794" s="317" t="s">
        <v>1284</v>
      </c>
    </row>
    <row r="795" spans="1:3" ht="15" x14ac:dyDescent="0.2">
      <c r="A795" s="319" t="s">
        <v>3383</v>
      </c>
      <c r="B795" s="321">
        <v>1</v>
      </c>
      <c r="C795" s="317" t="s">
        <v>1284</v>
      </c>
    </row>
    <row r="796" spans="1:3" ht="38.25" x14ac:dyDescent="0.2">
      <c r="A796" s="321" t="s">
        <v>577</v>
      </c>
      <c r="B796" s="324" t="s">
        <v>4613</v>
      </c>
      <c r="C796" s="321" t="s">
        <v>578</v>
      </c>
    </row>
    <row r="797" spans="1:3" x14ac:dyDescent="0.2">
      <c r="A797" s="317" t="s">
        <v>647</v>
      </c>
      <c r="B797" s="321">
        <v>2</v>
      </c>
      <c r="C797" s="317" t="s">
        <v>296</v>
      </c>
    </row>
    <row r="798" spans="1:3" ht="15" x14ac:dyDescent="0.2">
      <c r="A798" s="319" t="s">
        <v>3050</v>
      </c>
      <c r="B798" s="318">
        <v>250</v>
      </c>
      <c r="C798" s="319" t="s">
        <v>2675</v>
      </c>
    </row>
    <row r="799" spans="1:3" ht="15" x14ac:dyDescent="0.2">
      <c r="A799" s="321" t="s">
        <v>748</v>
      </c>
      <c r="B799" s="321">
        <v>700</v>
      </c>
      <c r="C799" s="321" t="s">
        <v>700</v>
      </c>
    </row>
    <row r="800" spans="1:3" ht="15" x14ac:dyDescent="0.2">
      <c r="A800" s="319" t="s">
        <v>2674</v>
      </c>
      <c r="B800" s="318">
        <v>700</v>
      </c>
      <c r="C800" s="319" t="s">
        <v>2675</v>
      </c>
    </row>
    <row r="801" spans="1:3" ht="15" x14ac:dyDescent="0.2">
      <c r="A801" s="321" t="s">
        <v>699</v>
      </c>
      <c r="B801" s="321">
        <v>700</v>
      </c>
      <c r="C801" s="321" t="s">
        <v>700</v>
      </c>
    </row>
    <row r="802" spans="1:3" ht="15" x14ac:dyDescent="0.2">
      <c r="A802" s="319" t="s">
        <v>3364</v>
      </c>
      <c r="B802" s="321">
        <v>1300</v>
      </c>
      <c r="C802" s="319" t="s">
        <v>2675</v>
      </c>
    </row>
    <row r="803" spans="1:3" ht="15" x14ac:dyDescent="0.2">
      <c r="A803" s="317" t="s">
        <v>4614</v>
      </c>
      <c r="B803" s="318" t="e">
        <f>RESUSPrate.sd1C*SYSTEMAREA.C*AREAFRAC.w1C</f>
        <v>#NAME?</v>
      </c>
      <c r="C803" s="317" t="s">
        <v>1065</v>
      </c>
    </row>
    <row r="804" spans="1:3" ht="15" x14ac:dyDescent="0.2">
      <c r="A804" s="317" t="s">
        <v>4615</v>
      </c>
      <c r="B804" s="318" t="e">
        <f>RESUSPrate.sd1R*SYSTEMAREA.R*AREAFRAC.w1R</f>
        <v>#NAME?</v>
      </c>
      <c r="C804" s="317" t="s">
        <v>1065</v>
      </c>
    </row>
    <row r="805" spans="1:3" ht="15" x14ac:dyDescent="0.2">
      <c r="A805" s="317" t="s">
        <v>4616</v>
      </c>
      <c r="B805" s="318" t="e">
        <f>RESUSPrate.sd2C*SYSTEMAREA.C*AREAFRAC.w2C</f>
        <v>#NAME?</v>
      </c>
      <c r="C805" s="317" t="s">
        <v>1065</v>
      </c>
    </row>
    <row r="806" spans="1:3" ht="15" x14ac:dyDescent="0.2">
      <c r="A806" s="317" t="s">
        <v>4617</v>
      </c>
      <c r="B806" s="318" t="e">
        <f>RESUSPrate.sd2R*SYSTEMAREA.R*AREAFRAC.w2R</f>
        <v>#NAME?</v>
      </c>
      <c r="C806" s="317" t="s">
        <v>1065</v>
      </c>
    </row>
    <row r="807" spans="1:3" ht="15" x14ac:dyDescent="0.2">
      <c r="A807" s="317" t="s">
        <v>4618</v>
      </c>
      <c r="B807" s="318" t="e">
        <f>RESUSPrate.sdA*SYSTEMAREA.A*AREAFRAC.wA</f>
        <v>#NAME?</v>
      </c>
      <c r="C807" s="321" t="s">
        <v>1065</v>
      </c>
    </row>
    <row r="808" spans="1:3" ht="15" x14ac:dyDescent="0.2">
      <c r="A808" s="317" t="s">
        <v>4619</v>
      </c>
      <c r="B808" s="318" t="e">
        <f>RESUSPrate.sdM*SYSTEMAREA.M*AREAFRAC.wM</f>
        <v>#NAME?</v>
      </c>
      <c r="C808" s="321" t="s">
        <v>1065</v>
      </c>
    </row>
    <row r="809" spans="1:3" ht="15" x14ac:dyDescent="0.2">
      <c r="A809" s="317" t="s">
        <v>4620</v>
      </c>
      <c r="B809" s="318" t="e">
        <f>RESUSPrate.sdT*SYSTEMAREA.T*AREAFRAC.wT</f>
        <v>#NAME?</v>
      </c>
      <c r="C809" s="321" t="s">
        <v>1065</v>
      </c>
    </row>
    <row r="810" spans="1:3" ht="15" x14ac:dyDescent="0.2">
      <c r="A810" s="319" t="s">
        <v>4621</v>
      </c>
      <c r="B810" s="318">
        <f>GROSSSEDrate.w1C-NETsedrate.w1C</f>
        <v>7.8182870370094893E-10</v>
      </c>
      <c r="C810" s="319" t="s">
        <v>1202</v>
      </c>
    </row>
    <row r="811" spans="1:3" ht="15" x14ac:dyDescent="0.2">
      <c r="A811" s="319" t="s">
        <v>4622</v>
      </c>
      <c r="B811" s="318">
        <f>GROSSSEDrate.w1R-NETsedrate.w1R</f>
        <v>7.954515271587726E-10</v>
      </c>
      <c r="C811" s="319" t="s">
        <v>1202</v>
      </c>
    </row>
    <row r="812" spans="1:3" ht="15" x14ac:dyDescent="0.2">
      <c r="A812" s="319" t="s">
        <v>4623</v>
      </c>
      <c r="B812" s="318">
        <f>GROSSSEDrate.w2C-NETsedrate.w2C</f>
        <v>2.6195185185185192E-10</v>
      </c>
      <c r="C812" s="319" t="s">
        <v>1202</v>
      </c>
    </row>
    <row r="813" spans="1:3" ht="15" x14ac:dyDescent="0.2">
      <c r="A813" s="319" t="s">
        <v>4624</v>
      </c>
      <c r="B813" s="318">
        <f>GROSSSEDrate.w2R-NETsedrate.w2R</f>
        <v>2.666753943691715E-10</v>
      </c>
      <c r="C813" s="319" t="s">
        <v>1202</v>
      </c>
    </row>
    <row r="814" spans="1:3" ht="15" x14ac:dyDescent="0.2">
      <c r="A814" s="319" t="s">
        <v>4625</v>
      </c>
      <c r="B814" s="318">
        <f>GROSSSEDrate.w3A-NETsedrate.wA</f>
        <v>2.8928843226788437E-10</v>
      </c>
      <c r="C814" s="320" t="s">
        <v>1202</v>
      </c>
    </row>
    <row r="815" spans="1:3" ht="15" x14ac:dyDescent="0.2">
      <c r="A815" s="319" t="s">
        <v>4626</v>
      </c>
      <c r="B815" s="318">
        <f>GROSSSEDrate.w3M-NETsedrate.wM</f>
        <v>2.8926233382241219E-10</v>
      </c>
      <c r="C815" s="320" t="s">
        <v>1202</v>
      </c>
    </row>
    <row r="816" spans="1:3" ht="15" x14ac:dyDescent="0.2">
      <c r="A816" s="319" t="s">
        <v>4627</v>
      </c>
      <c r="B816" s="318">
        <f>GROSSSEDrate.w3T-NETsedrate.wT</f>
        <v>2.8928843226788437E-10</v>
      </c>
      <c r="C816" s="320" t="s">
        <v>1202</v>
      </c>
    </row>
    <row r="817" spans="1:3" ht="15" x14ac:dyDescent="0.2">
      <c r="A817" s="321" t="s">
        <v>793</v>
      </c>
      <c r="B817" s="318">
        <v>2000</v>
      </c>
      <c r="C817" s="317" t="s">
        <v>794</v>
      </c>
    </row>
    <row r="818" spans="1:3" ht="15" x14ac:dyDescent="0.2">
      <c r="A818" s="319" t="s">
        <v>796</v>
      </c>
      <c r="B818" s="321">
        <v>2500</v>
      </c>
      <c r="C818" s="317" t="s">
        <v>794</v>
      </c>
    </row>
    <row r="819" spans="1:3" ht="15" x14ac:dyDescent="0.2">
      <c r="A819" s="317" t="s">
        <v>4628</v>
      </c>
      <c r="B819" s="318">
        <f>(RAINrate.C*FRACrun.s1C/Ks1w.C+EROSION.s1C)*SYSTEMAREA.C*AREAFRAC.s1C*CORRrunoff.s1C</f>
        <v>220.9008686704876</v>
      </c>
      <c r="C819" s="317" t="s">
        <v>1065</v>
      </c>
    </row>
    <row r="820" spans="1:3" ht="15" x14ac:dyDescent="0.2">
      <c r="A820" s="317" t="s">
        <v>4629</v>
      </c>
      <c r="B820" s="318">
        <f>(RAINrate.R*FRACrun.s1R/Ks1w.R+EROSION.s1R)*SYSTEMAREA.R*AREAFRAC.s1R*CORRrunoff.s1R</f>
        <v>14.484689931842352</v>
      </c>
      <c r="C820" s="317" t="s">
        <v>1065</v>
      </c>
    </row>
    <row r="821" spans="1:3" ht="15" x14ac:dyDescent="0.2">
      <c r="A821" s="317" t="s">
        <v>4630</v>
      </c>
      <c r="B821" s="318">
        <f>(RAINrate.C*FRACrun.s2C/Ks2w.C+EROSION.s2C)*SYSTEMAREA.C*AREAFRAC.s2C*CORRrunoff.s2C</f>
        <v>893.52778280768723</v>
      </c>
      <c r="C821" s="317" t="s">
        <v>1065</v>
      </c>
    </row>
    <row r="822" spans="1:3" ht="15" x14ac:dyDescent="0.2">
      <c r="A822" s="317" t="s">
        <v>4631</v>
      </c>
      <c r="B822" s="318">
        <f>(RAINrate.R*FRACrun.s2R/Ks2w.R+EROSION.s2R)*SYSTEMAREA.R*AREAFRAC.s2R*CORRrunoff.s2R</f>
        <v>58.589506493801494</v>
      </c>
      <c r="C822" s="317" t="s">
        <v>1065</v>
      </c>
    </row>
    <row r="823" spans="1:3" ht="15" x14ac:dyDescent="0.2">
      <c r="A823" s="317" t="s">
        <v>4632</v>
      </c>
      <c r="B823" s="318">
        <f>(RAINrate.C*FRACrun.s3C/Ks3w.C+EROSION.s3C)*SYSTEMAREA.C*AREAFRAC.s3C*CORRrunoff.s3C</f>
        <v>81.81513654462502</v>
      </c>
      <c r="C823" s="317" t="s">
        <v>1065</v>
      </c>
    </row>
    <row r="824" spans="1:3" ht="15" x14ac:dyDescent="0.2">
      <c r="A824" s="317" t="s">
        <v>4633</v>
      </c>
      <c r="B824" s="318">
        <f>(RAINrate.R*FRACrun.s3R/Ks3w.R+EROSION.s3R)*SYSTEMAREA.R*AREAFRAC.s3R*CORRrunoff.s3R</f>
        <v>5.3646999747564257</v>
      </c>
      <c r="C824" s="317" t="s">
        <v>1065</v>
      </c>
    </row>
    <row r="825" spans="1:3" ht="15" x14ac:dyDescent="0.2">
      <c r="A825" s="317" t="s">
        <v>4634</v>
      </c>
      <c r="B825" s="318">
        <f>(RAINrate.A*FRACrun.sA/Kslw.A+EROSION.sA)*SYSTEMAREA.A*AREAFRAC.sA*CORRrunoff.sA</f>
        <v>1438.2183814285722</v>
      </c>
      <c r="C825" s="321" t="s">
        <v>1065</v>
      </c>
    </row>
    <row r="826" spans="1:3" ht="15" x14ac:dyDescent="0.2">
      <c r="A826" s="317" t="s">
        <v>4635</v>
      </c>
      <c r="B826" s="318">
        <f>(RAINrate.M*FRACrun.sM/Kslw.M+EROSION.sM)*SYSTEMAREA.M*AREAFRAC.sM*CORRrunoff.sM</f>
        <v>9103.2529944399139</v>
      </c>
      <c r="C826" s="321" t="s">
        <v>1065</v>
      </c>
    </row>
    <row r="827" spans="1:3" ht="15" x14ac:dyDescent="0.2">
      <c r="A827" s="317" t="s">
        <v>4636</v>
      </c>
      <c r="B827" s="318">
        <f>(RAINrate.T*FRACrun.sT/Kslw.T+EROSION.sT)*SYSTEMAREA.T*AREAFRAC.sT*CORRrunoff.sT</f>
        <v>16632.952710945108</v>
      </c>
      <c r="C827" s="321" t="s">
        <v>1065</v>
      </c>
    </row>
    <row r="828" spans="1:3" ht="15" x14ac:dyDescent="0.2">
      <c r="A828" s="317" t="s">
        <v>4637</v>
      </c>
      <c r="B828" s="318">
        <f>(GROSSSEDrate.w1C*FRACs.sdC*RHOsolid/SUSP.w1C)*((Kp.susp1C*SUSP.w1C/1000)*FRw.w1C)*(SYSTEMAREA.C*AREAFRAC.w1C)</f>
        <v>4153.4723470075905</v>
      </c>
      <c r="C828" s="317" t="s">
        <v>1065</v>
      </c>
    </row>
    <row r="829" spans="1:3" ht="15" x14ac:dyDescent="0.2">
      <c r="A829" s="317" t="s">
        <v>4638</v>
      </c>
      <c r="B829" s="318" t="e">
        <f>(GROSSSEDrate.w1R*FRACs.sdR*RHOsolid/SUSP.w1R)*((Kp.susp1R*SUSP.w1R/1000)*FRw.w1R)*(SYSTEMAREA.R*AREAFRAC.w1R)</f>
        <v>#NAME?</v>
      </c>
      <c r="C829" s="317" t="s">
        <v>1065</v>
      </c>
    </row>
    <row r="830" spans="1:3" ht="15" x14ac:dyDescent="0.2">
      <c r="A830" s="317" t="s">
        <v>4639</v>
      </c>
      <c r="B830" s="318">
        <f>(GROSSSEDrate.w2C*FRACs.sdC*RHOsolid/SUSP.w2C)*((Kp.susp2C*SUSP.w2C/1000)*FRw.w2C)*(SYSTEMAREA.C*AREAFRAC.w2C)</f>
        <v>53685.449485629601</v>
      </c>
      <c r="C830" s="317" t="s">
        <v>1065</v>
      </c>
    </row>
    <row r="831" spans="1:3" ht="15" x14ac:dyDescent="0.2">
      <c r="A831" s="317" t="s">
        <v>4640</v>
      </c>
      <c r="B831" s="318" t="e">
        <f>(GROSSSEDrate.w2R*FRACs.sdR*RHOsolid/SUSP.w2R)*((Kp.susp2R*SUSP.w2R/1000)*FRw.w2R)*(SYSTEMAREA.R*AREAFRAC.w2R)</f>
        <v>#NAME?</v>
      </c>
      <c r="C831" s="317" t="s">
        <v>1065</v>
      </c>
    </row>
    <row r="832" spans="1:3" ht="15" x14ac:dyDescent="0.2">
      <c r="A832" s="317" t="s">
        <v>4641</v>
      </c>
      <c r="B832" s="318">
        <f>(GROSSSEDrate.w3A*FRACs.sdA*RHOsolid/SUSP.w3A)*((Kp.susp3A*SUSP.w3A/1000)*FRw.w3A)*(SYSTEMAREA.A*AREAFRAC.wA)</f>
        <v>368658.17722351017</v>
      </c>
      <c r="C832" s="321" t="s">
        <v>1065</v>
      </c>
    </row>
    <row r="833" spans="1:3" ht="15" x14ac:dyDescent="0.2">
      <c r="A833" s="317" t="s">
        <v>4642</v>
      </c>
      <c r="B833" s="318">
        <f>(GROSSSEDrate.w3M*FRACs.sdM*RHOsolid/SUSP.w3M)*((Kp.susp3M*SUSP.w3M/1000)*FRw.w3M)*(SYSTEMAREA.M*AREAFRAC.wM)</f>
        <v>560730.38870346674</v>
      </c>
      <c r="C833" s="321" t="s">
        <v>1065</v>
      </c>
    </row>
    <row r="834" spans="1:3" ht="15" x14ac:dyDescent="0.2">
      <c r="A834" s="317" t="s">
        <v>4643</v>
      </c>
      <c r="B834" s="318">
        <f>(GROSSSEDrate.w3T*FRACs.sdT*RHOsolid/SUSP.w3T)*((Kp.susp3T*SUSP.w3T/1000)*FRw.w3T)*(SYSTEMAREA.T*AREAFRAC.wT)</f>
        <v>1290303.6202822854</v>
      </c>
      <c r="C834" s="321" t="s">
        <v>1065</v>
      </c>
    </row>
    <row r="835" spans="1:3" ht="15" x14ac:dyDescent="0.2">
      <c r="A835" s="319" t="s">
        <v>3067</v>
      </c>
      <c r="B835" s="318">
        <f>2.5/(24*3600)</f>
        <v>2.8935185185185186E-5</v>
      </c>
      <c r="C835" s="320" t="s">
        <v>1202</v>
      </c>
    </row>
    <row r="836" spans="1:3" ht="15" x14ac:dyDescent="0.2">
      <c r="A836" s="319" t="s">
        <v>2149</v>
      </c>
      <c r="B836" s="318">
        <f>2.5/(24*3600)</f>
        <v>2.8935185185185186E-5</v>
      </c>
      <c r="C836" s="319" t="s">
        <v>1202</v>
      </c>
    </row>
    <row r="837" spans="1:3" ht="15" x14ac:dyDescent="0.2">
      <c r="A837" s="319" t="s">
        <v>2699</v>
      </c>
      <c r="B837" s="318">
        <f>2.5/(24*3600)</f>
        <v>2.8935185185185186E-5</v>
      </c>
      <c r="C837" s="320" t="s">
        <v>1202</v>
      </c>
    </row>
    <row r="838" spans="1:3" ht="15" x14ac:dyDescent="0.2">
      <c r="A838" s="319" t="s">
        <v>1273</v>
      </c>
      <c r="B838" s="318">
        <f>2.5/(24*3600)</f>
        <v>2.8935185185185186E-5</v>
      </c>
      <c r="C838" s="319" t="s">
        <v>1202</v>
      </c>
    </row>
    <row r="839" spans="1:3" ht="15" x14ac:dyDescent="0.2">
      <c r="A839" s="319" t="s">
        <v>3381</v>
      </c>
      <c r="B839" s="321">
        <f>2.5/(24*3600)</f>
        <v>2.8935185185185186E-5</v>
      </c>
      <c r="C839" s="320" t="s">
        <v>1202</v>
      </c>
    </row>
    <row r="840" spans="1:3" ht="15" x14ac:dyDescent="0.2">
      <c r="A840" s="317" t="s">
        <v>585</v>
      </c>
      <c r="B840" s="321">
        <f>10^(LOG(Kow)*-1.214+0.85)*(Molweight*1000000)</f>
        <v>22.393706874198525</v>
      </c>
      <c r="C840" s="317" t="s">
        <v>586</v>
      </c>
    </row>
    <row r="841" spans="1:3" x14ac:dyDescent="0.2">
      <c r="A841" s="317" t="s">
        <v>4644</v>
      </c>
      <c r="B841" s="318" t="e">
        <f>1-SURFfrac.s1C-DRAINfrac.s1C</f>
        <v>#NAME?</v>
      </c>
      <c r="C841" s="317" t="s">
        <v>296</v>
      </c>
    </row>
    <row r="842" spans="1:3" x14ac:dyDescent="0.2">
      <c r="A842" s="317" t="s">
        <v>4645</v>
      </c>
      <c r="B842" s="318" t="e">
        <f>1-SURFfrac.s1R-DRAINfrac.s1R</f>
        <v>#NAME?</v>
      </c>
      <c r="C842" s="317" t="s">
        <v>296</v>
      </c>
    </row>
    <row r="843" spans="1:3" x14ac:dyDescent="0.2">
      <c r="A843" s="317" t="s">
        <v>4646</v>
      </c>
      <c r="B843" s="318" t="e">
        <f>1-SURFfrac.s2C-DRAINfrac.s2C</f>
        <v>#NAME?</v>
      </c>
      <c r="C843" s="317" t="s">
        <v>296</v>
      </c>
    </row>
    <row r="844" spans="1:3" x14ac:dyDescent="0.2">
      <c r="A844" s="317" t="s">
        <v>4647</v>
      </c>
      <c r="B844" s="318" t="e">
        <f>1-SURFfrac.s2R-DRAINfrac.s2R</f>
        <v>#NAME?</v>
      </c>
      <c r="C844" s="317" t="s">
        <v>296</v>
      </c>
    </row>
    <row r="845" spans="1:3" x14ac:dyDescent="0.2">
      <c r="A845" s="317" t="s">
        <v>4648</v>
      </c>
      <c r="B845" s="318" t="e">
        <f>1-SURFfrac.s3C-DRAINfrac.s3C</f>
        <v>#NAME?</v>
      </c>
      <c r="C845" s="317" t="s">
        <v>296</v>
      </c>
    </row>
    <row r="846" spans="1:3" x14ac:dyDescent="0.2">
      <c r="A846" s="317" t="s">
        <v>4649</v>
      </c>
      <c r="B846" s="318" t="e">
        <f>1-SURFfrac.s3R-DRAINfrac.s3R</f>
        <v>#NAME?</v>
      </c>
      <c r="C846" s="317" t="s">
        <v>296</v>
      </c>
    </row>
    <row r="847" spans="1:3" x14ac:dyDescent="0.2">
      <c r="A847" s="317" t="s">
        <v>4650</v>
      </c>
      <c r="B847" s="318" t="e">
        <f>1-SURFfrac.sA</f>
        <v>#NAME?</v>
      </c>
      <c r="C847" s="317" t="s">
        <v>296</v>
      </c>
    </row>
    <row r="848" spans="1:3" x14ac:dyDescent="0.2">
      <c r="A848" s="317" t="s">
        <v>4651</v>
      </c>
      <c r="B848" s="318" t="e">
        <f>1-SURFfrac.sM</f>
        <v>#NAME?</v>
      </c>
      <c r="C848" s="317" t="s">
        <v>296</v>
      </c>
    </row>
    <row r="849" spans="1:3" x14ac:dyDescent="0.2">
      <c r="A849" s="317" t="s">
        <v>4652</v>
      </c>
      <c r="B849" s="318" t="e">
        <f>1-SURFfrac.sT</f>
        <v>#NAME?</v>
      </c>
      <c r="C849" s="317" t="s">
        <v>296</v>
      </c>
    </row>
    <row r="850" spans="1:3" ht="15" x14ac:dyDescent="0.2">
      <c r="A850" s="321" t="s">
        <v>4653</v>
      </c>
      <c r="B850" s="318">
        <v>1.4999999999999999E-4</v>
      </c>
      <c r="C850" s="317" t="s">
        <v>4654</v>
      </c>
    </row>
    <row r="851" spans="1:3" x14ac:dyDescent="0.2">
      <c r="A851" s="321" t="s">
        <v>4655</v>
      </c>
      <c r="B851" s="318">
        <v>1.4999999999999999E-4</v>
      </c>
      <c r="C851" s="317" t="s">
        <v>4656</v>
      </c>
    </row>
    <row r="852" spans="1:3" ht="15" x14ac:dyDescent="0.2">
      <c r="A852" s="321" t="s">
        <v>4657</v>
      </c>
      <c r="B852" s="318">
        <v>1.4999999999999999E-4</v>
      </c>
      <c r="C852" s="317" t="s">
        <v>4654</v>
      </c>
    </row>
    <row r="853" spans="1:3" ht="15" x14ac:dyDescent="0.2">
      <c r="A853" s="321" t="s">
        <v>4658</v>
      </c>
      <c r="B853" s="318">
        <v>1.4999999999999999E-4</v>
      </c>
      <c r="C853" s="317" t="s">
        <v>4654</v>
      </c>
    </row>
    <row r="854" spans="1:3" ht="15" x14ac:dyDescent="0.2">
      <c r="A854" s="317" t="s">
        <v>4659</v>
      </c>
      <c r="B854" s="323">
        <v>1.4999999999999999E-4</v>
      </c>
      <c r="C854" s="317" t="s">
        <v>4654</v>
      </c>
    </row>
    <row r="855" spans="1:3" x14ac:dyDescent="0.2">
      <c r="A855" s="317" t="s">
        <v>4660</v>
      </c>
      <c r="B855" s="318">
        <v>0.25</v>
      </c>
      <c r="C855" s="317" t="s">
        <v>296</v>
      </c>
    </row>
    <row r="856" spans="1:3" x14ac:dyDescent="0.2">
      <c r="A856" s="317" t="s">
        <v>4661</v>
      </c>
      <c r="B856" s="318">
        <v>0.25</v>
      </c>
      <c r="C856" s="317" t="s">
        <v>296</v>
      </c>
    </row>
    <row r="857" spans="1:3" x14ac:dyDescent="0.2">
      <c r="A857" s="317" t="s">
        <v>4662</v>
      </c>
      <c r="B857" s="318">
        <v>0.25</v>
      </c>
      <c r="C857" s="317" t="s">
        <v>296</v>
      </c>
    </row>
    <row r="858" spans="1:3" x14ac:dyDescent="0.2">
      <c r="A858" s="317" t="s">
        <v>4663</v>
      </c>
      <c r="B858" s="318">
        <v>0.25</v>
      </c>
      <c r="C858" s="317" t="s">
        <v>296</v>
      </c>
    </row>
    <row r="859" spans="1:3" x14ac:dyDescent="0.2">
      <c r="A859" s="317" t="s">
        <v>4664</v>
      </c>
      <c r="B859" s="318">
        <v>0.25</v>
      </c>
      <c r="C859" s="317" t="s">
        <v>296</v>
      </c>
    </row>
    <row r="860" spans="1:3" x14ac:dyDescent="0.2">
      <c r="A860" s="317" t="s">
        <v>4665</v>
      </c>
      <c r="B860" s="318">
        <v>0.25</v>
      </c>
      <c r="C860" s="317" t="s">
        <v>296</v>
      </c>
    </row>
    <row r="861" spans="1:3" x14ac:dyDescent="0.2">
      <c r="A861" s="317" t="s">
        <v>4666</v>
      </c>
      <c r="B861" s="318">
        <v>0.5</v>
      </c>
      <c r="C861" s="317" t="s">
        <v>296</v>
      </c>
    </row>
    <row r="862" spans="1:3" x14ac:dyDescent="0.2">
      <c r="A862" s="317" t="s">
        <v>4667</v>
      </c>
      <c r="B862" s="318">
        <v>0.5</v>
      </c>
      <c r="C862" s="317" t="s">
        <v>296</v>
      </c>
    </row>
    <row r="863" spans="1:3" x14ac:dyDescent="0.2">
      <c r="A863" s="317" t="s">
        <v>4668</v>
      </c>
      <c r="B863" s="318">
        <v>0.5</v>
      </c>
      <c r="C863" s="317" t="s">
        <v>296</v>
      </c>
    </row>
    <row r="864" spans="1:3" ht="15" x14ac:dyDescent="0.2">
      <c r="A864" s="319" t="s">
        <v>762</v>
      </c>
      <c r="B864" s="318">
        <v>0.5</v>
      </c>
      <c r="C864" s="317" t="s">
        <v>586</v>
      </c>
    </row>
    <row r="865" spans="1:3" ht="15" x14ac:dyDescent="0.2">
      <c r="A865" s="319" t="s">
        <v>728</v>
      </c>
      <c r="B865" s="318">
        <v>0.5</v>
      </c>
      <c r="C865" s="317" t="s">
        <v>586</v>
      </c>
    </row>
    <row r="866" spans="1:3" x14ac:dyDescent="0.2">
      <c r="A866" s="319" t="s">
        <v>763</v>
      </c>
      <c r="B866" s="318">
        <v>15</v>
      </c>
      <c r="C866" s="317" t="s">
        <v>723</v>
      </c>
    </row>
    <row r="867" spans="1:3" ht="15" x14ac:dyDescent="0.2">
      <c r="A867" s="319" t="s">
        <v>731</v>
      </c>
      <c r="B867" s="318">
        <v>15</v>
      </c>
      <c r="C867" s="317" t="s">
        <v>586</v>
      </c>
    </row>
    <row r="868" spans="1:3" ht="15" x14ac:dyDescent="0.2">
      <c r="A868" s="319" t="s">
        <v>3019</v>
      </c>
      <c r="B868" s="318">
        <v>5</v>
      </c>
      <c r="C868" s="317" t="s">
        <v>586</v>
      </c>
    </row>
    <row r="869" spans="1:3" x14ac:dyDescent="0.2">
      <c r="A869" s="319" t="s">
        <v>764</v>
      </c>
      <c r="B869" s="318">
        <v>5</v>
      </c>
      <c r="C869" s="317" t="s">
        <v>723</v>
      </c>
    </row>
    <row r="870" spans="1:3" ht="15" x14ac:dyDescent="0.2">
      <c r="A870" s="319" t="s">
        <v>2624</v>
      </c>
      <c r="B870" s="318">
        <v>5</v>
      </c>
      <c r="C870" s="317" t="s">
        <v>586</v>
      </c>
    </row>
    <row r="871" spans="1:3" ht="15" x14ac:dyDescent="0.2">
      <c r="A871" s="319" t="s">
        <v>733</v>
      </c>
      <c r="B871" s="318">
        <v>5</v>
      </c>
      <c r="C871" s="317" t="s">
        <v>586</v>
      </c>
    </row>
    <row r="872" spans="1:3" ht="15" x14ac:dyDescent="0.2">
      <c r="A872" s="319" t="s">
        <v>3335</v>
      </c>
      <c r="B872" s="323">
        <v>5</v>
      </c>
      <c r="C872" s="317" t="s">
        <v>586</v>
      </c>
    </row>
    <row r="873" spans="1:3" ht="15" x14ac:dyDescent="0.2">
      <c r="A873" s="319" t="s">
        <v>3020</v>
      </c>
      <c r="B873" s="318">
        <v>5</v>
      </c>
      <c r="C873" s="317" t="s">
        <v>586</v>
      </c>
    </row>
    <row r="874" spans="1:3" ht="15" x14ac:dyDescent="0.2">
      <c r="A874" s="319" t="s">
        <v>2626</v>
      </c>
      <c r="B874" s="318">
        <v>5</v>
      </c>
      <c r="C874" s="317" t="s">
        <v>586</v>
      </c>
    </row>
    <row r="875" spans="1:3" ht="15" x14ac:dyDescent="0.2">
      <c r="A875" s="319" t="s">
        <v>3336</v>
      </c>
      <c r="B875" s="323">
        <v>5</v>
      </c>
      <c r="C875" s="317" t="s">
        <v>586</v>
      </c>
    </row>
    <row r="876" spans="1:3" ht="15" x14ac:dyDescent="0.2">
      <c r="A876" s="317" t="s">
        <v>2970</v>
      </c>
      <c r="B876" s="318">
        <v>42500000</v>
      </c>
      <c r="C876" s="321" t="s">
        <v>679</v>
      </c>
    </row>
    <row r="877" spans="1:3" ht="15" x14ac:dyDescent="0.2">
      <c r="A877" s="317" t="s">
        <v>1948</v>
      </c>
      <c r="B877" s="318">
        <f>(AREAland.C+AREAsea.C-SYSTEMAREA.R)/1000000</f>
        <v>6969680</v>
      </c>
      <c r="C877" s="321" t="s">
        <v>679</v>
      </c>
    </row>
    <row r="878" spans="1:3" ht="15" x14ac:dyDescent="0.2">
      <c r="A878" s="317" t="s">
        <v>2543</v>
      </c>
      <c r="B878" s="318">
        <f>85000000-((SYSTEMAREA.C+SYSTEMAREA.R)/1000000)</f>
        <v>77571180</v>
      </c>
      <c r="C878" s="321" t="s">
        <v>679</v>
      </c>
    </row>
    <row r="879" spans="1:3" ht="15" x14ac:dyDescent="0.2">
      <c r="A879" s="317" t="s">
        <v>981</v>
      </c>
      <c r="B879" s="318">
        <f>(AREAland.R+AREAsea.R)/1000000</f>
        <v>229570</v>
      </c>
      <c r="C879" s="317" t="s">
        <v>679</v>
      </c>
    </row>
    <row r="880" spans="1:3" ht="15" x14ac:dyDescent="0.2">
      <c r="A880" s="317" t="s">
        <v>3291</v>
      </c>
      <c r="B880" s="321">
        <v>127500000</v>
      </c>
      <c r="C880" s="317" t="s">
        <v>679</v>
      </c>
    </row>
    <row r="881" spans="1:3" x14ac:dyDescent="0.2">
      <c r="A881" s="317" t="s">
        <v>2992</v>
      </c>
      <c r="B881" s="318">
        <f>(SQRT(SYSTEMAREA.A*PI()/4)/WINDspeed.A)/(3600*24)</f>
        <v>22.289709506045405</v>
      </c>
      <c r="C881" s="321" t="s">
        <v>1051</v>
      </c>
    </row>
    <row r="882" spans="1:3" x14ac:dyDescent="0.2">
      <c r="A882" s="317" t="s">
        <v>1986</v>
      </c>
      <c r="B882" s="318">
        <f>(SQRT(SYSTEMAREA.C*PI()/4)/WINDspeed.C)/(3600*24)</f>
        <v>9.1738909003087361</v>
      </c>
      <c r="C882" s="321" t="s">
        <v>1051</v>
      </c>
    </row>
    <row r="883" spans="1:3" x14ac:dyDescent="0.2">
      <c r="A883" s="317" t="s">
        <v>1050</v>
      </c>
      <c r="B883" s="318">
        <f>(SQRT(SYSTEMAREA.R*PI()/4)/WINDspeed.R)/(3600*24)</f>
        <v>1.6382022217645165</v>
      </c>
      <c r="C883" s="317" t="s">
        <v>1051</v>
      </c>
    </row>
    <row r="884" spans="1:3" x14ac:dyDescent="0.2">
      <c r="A884" s="317" t="s">
        <v>3310</v>
      </c>
      <c r="B884" s="318">
        <f>(SQRT(SYSTEMAREA.T*PI()/4)/WINDspeed.T)/(3600*24)</f>
        <v>38.606909350421624</v>
      </c>
      <c r="C884" s="321" t="s">
        <v>1051</v>
      </c>
    </row>
    <row r="885" spans="1:3" x14ac:dyDescent="0.2">
      <c r="A885" s="317" t="s">
        <v>3004</v>
      </c>
      <c r="B885" s="318">
        <v>55</v>
      </c>
      <c r="C885" s="321" t="s">
        <v>1051</v>
      </c>
    </row>
    <row r="886" spans="1:3" x14ac:dyDescent="0.2">
      <c r="A886" s="317" t="s">
        <v>2599</v>
      </c>
      <c r="B886" s="318">
        <v>55</v>
      </c>
      <c r="C886" s="321" t="s">
        <v>1051</v>
      </c>
    </row>
    <row r="887" spans="1:3" x14ac:dyDescent="0.2">
      <c r="A887" s="317" t="s">
        <v>3320</v>
      </c>
      <c r="B887" s="318">
        <v>55</v>
      </c>
      <c r="C887" s="321" t="s">
        <v>1051</v>
      </c>
    </row>
    <row r="888" spans="1:3" x14ac:dyDescent="0.2">
      <c r="A888" s="317" t="s">
        <v>2016</v>
      </c>
      <c r="B888" s="318">
        <v>365</v>
      </c>
      <c r="C888" s="317" t="s">
        <v>1051</v>
      </c>
    </row>
    <row r="889" spans="1:3" x14ac:dyDescent="0.2">
      <c r="A889" s="321" t="s">
        <v>3043</v>
      </c>
      <c r="B889" s="318">
        <f>(80/24)*(1-RAINrate.A/(0.0013/3600))*(3600*24)</f>
        <v>281677.55532139097</v>
      </c>
      <c r="C889" s="321" t="s">
        <v>1640</v>
      </c>
    </row>
    <row r="890" spans="1:3" x14ac:dyDescent="0.2">
      <c r="A890" s="321" t="s">
        <v>2106</v>
      </c>
      <c r="B890" s="318">
        <f>(80/24)*(1-RAINrate.C/(0.0013/3600))*(3600*24)</f>
        <v>270297.15489989461</v>
      </c>
      <c r="C890" s="321" t="s">
        <v>1640</v>
      </c>
    </row>
    <row r="891" spans="1:3" x14ac:dyDescent="0.2">
      <c r="A891" s="321" t="s">
        <v>2667</v>
      </c>
      <c r="B891" s="318">
        <f>(80/24)*(1-RAINrate.M/(0.0013/3600))*(3600*24)</f>
        <v>270297.15489989461</v>
      </c>
      <c r="C891" s="321" t="s">
        <v>1640</v>
      </c>
    </row>
    <row r="892" spans="1:3" x14ac:dyDescent="0.2">
      <c r="A892" s="321" t="s">
        <v>1196</v>
      </c>
      <c r="B892" s="318">
        <f>(80/24)*(1-RAINrate.R/(0.0013/3600))*(3600*24)</f>
        <v>270297.15489989461</v>
      </c>
      <c r="C892" s="321" t="s">
        <v>1640</v>
      </c>
    </row>
    <row r="893" spans="1:3" x14ac:dyDescent="0.2">
      <c r="A893" s="321" t="s">
        <v>3357</v>
      </c>
      <c r="B893" s="318">
        <f>(80/24)*(1-RAINrate.T/(0.0013/3600))*(3600*24)</f>
        <v>255123.28767123289</v>
      </c>
      <c r="C893" s="321" t="s">
        <v>1640</v>
      </c>
    </row>
    <row r="894" spans="1:3" ht="15" x14ac:dyDescent="0.2">
      <c r="A894" s="321" t="s">
        <v>3010</v>
      </c>
      <c r="B894" s="318">
        <v>-10</v>
      </c>
      <c r="C894" s="321" t="s">
        <v>592</v>
      </c>
    </row>
    <row r="895" spans="1:3" ht="15" x14ac:dyDescent="0.2">
      <c r="A895" s="321" t="s">
        <v>746</v>
      </c>
      <c r="B895" s="321">
        <v>12</v>
      </c>
      <c r="C895" s="321" t="s">
        <v>592</v>
      </c>
    </row>
    <row r="896" spans="1:3" ht="15" x14ac:dyDescent="0.2">
      <c r="A896" s="317" t="s">
        <v>2606</v>
      </c>
      <c r="B896" s="318">
        <v>12</v>
      </c>
      <c r="C896" s="317" t="s">
        <v>592</v>
      </c>
    </row>
    <row r="897" spans="1:3" ht="15" x14ac:dyDescent="0.2">
      <c r="A897" s="321" t="s">
        <v>694</v>
      </c>
      <c r="B897" s="321">
        <v>12</v>
      </c>
      <c r="C897" s="321" t="s">
        <v>592</v>
      </c>
    </row>
    <row r="898" spans="1:3" ht="15" x14ac:dyDescent="0.2">
      <c r="A898" s="317" t="s">
        <v>3326</v>
      </c>
      <c r="B898" s="323">
        <v>25</v>
      </c>
      <c r="C898" s="317" t="s">
        <v>592</v>
      </c>
    </row>
    <row r="899" spans="1:3" x14ac:dyDescent="0.2">
      <c r="A899" s="317" t="s">
        <v>3089</v>
      </c>
      <c r="B899" s="318">
        <f>EXP((Ea.OHrad/8.314)*(TEMP.A-298)/298^2)</f>
        <v>0.75244236176784551</v>
      </c>
      <c r="C899" s="317" t="s">
        <v>296</v>
      </c>
    </row>
    <row r="900" spans="1:3" x14ac:dyDescent="0.2">
      <c r="A900" s="317" t="s">
        <v>2191</v>
      </c>
      <c r="B900" s="318">
        <f>EXP((Ea.OHrad/8.314)*(TEMP.C-298)/298^2)</f>
        <v>0.89974332049812744</v>
      </c>
      <c r="C900" s="317" t="s">
        <v>296</v>
      </c>
    </row>
    <row r="901" spans="1:3" x14ac:dyDescent="0.2">
      <c r="A901" s="317" t="s">
        <v>2731</v>
      </c>
      <c r="B901" s="318">
        <f>EXP((Ea.OHrad/8.314)*(TEMP.M-298)/298^2)</f>
        <v>0.89974332049812744</v>
      </c>
      <c r="C901" s="317" t="s">
        <v>296</v>
      </c>
    </row>
    <row r="902" spans="1:3" x14ac:dyDescent="0.2">
      <c r="A902" s="317" t="s">
        <v>1350</v>
      </c>
      <c r="B902" s="318">
        <f>EXP((Ea.OHrad/8.314)*(TEMP.R-298)/298^2)</f>
        <v>0.89974332049812744</v>
      </c>
      <c r="C902" s="317" t="s">
        <v>296</v>
      </c>
    </row>
    <row r="903" spans="1:3" x14ac:dyDescent="0.2">
      <c r="A903" s="317" t="s">
        <v>3401</v>
      </c>
      <c r="B903" s="318">
        <f>EXP((Ea.OHrad/8.314)*(TEMP.T-298)/298^2)</f>
        <v>1</v>
      </c>
      <c r="C903" s="317" t="s">
        <v>296</v>
      </c>
    </row>
    <row r="904" spans="1:3" x14ac:dyDescent="0.2">
      <c r="A904" s="317" t="s">
        <v>3095</v>
      </c>
      <c r="B904" s="323">
        <f>Q.10^((TEMP.A-298)/10)</f>
        <v>8.8388347648318447E-2</v>
      </c>
      <c r="C904" s="317" t="s">
        <v>296</v>
      </c>
    </row>
    <row r="905" spans="1:3" x14ac:dyDescent="0.2">
      <c r="A905" s="317" t="s">
        <v>2198</v>
      </c>
      <c r="B905" s="318">
        <f>Q.10^((TEMP.C-298)/10)</f>
        <v>0.40612619817811774</v>
      </c>
      <c r="C905" s="317" t="s">
        <v>296</v>
      </c>
    </row>
    <row r="906" spans="1:3" x14ac:dyDescent="0.2">
      <c r="A906" s="317" t="s">
        <v>2740</v>
      </c>
      <c r="B906" s="318">
        <f>Q.10^((TEMP.M-298)/10)</f>
        <v>0.40612619817811774</v>
      </c>
      <c r="C906" s="317" t="s">
        <v>296</v>
      </c>
    </row>
    <row r="907" spans="1:3" x14ac:dyDescent="0.2">
      <c r="A907" s="317" t="s">
        <v>1366</v>
      </c>
      <c r="B907" s="318">
        <f>Q.10^((TEMP.R-298)/10)</f>
        <v>0.40612619817811774</v>
      </c>
      <c r="C907" s="317" t="s">
        <v>296</v>
      </c>
    </row>
    <row r="908" spans="1:3" x14ac:dyDescent="0.2">
      <c r="A908" s="317" t="s">
        <v>3406</v>
      </c>
      <c r="B908" s="318">
        <f>Q.10^((TEMP.T-298)/10)</f>
        <v>1</v>
      </c>
      <c r="C908" s="317" t="s">
        <v>296</v>
      </c>
    </row>
    <row r="909" spans="1:3" ht="38.25" x14ac:dyDescent="0.2">
      <c r="A909" s="321" t="s">
        <v>591</v>
      </c>
      <c r="B909" s="324" t="s">
        <v>4669</v>
      </c>
      <c r="C909" s="321" t="s">
        <v>592</v>
      </c>
    </row>
    <row r="910" spans="1:3" x14ac:dyDescent="0.2">
      <c r="A910" s="321" t="s">
        <v>3044</v>
      </c>
      <c r="B910" s="318">
        <f>(80/24)*(RAINrate.A/(0.0013/3600))*(3600*24)</f>
        <v>6322.444678609063</v>
      </c>
      <c r="C910" s="321" t="s">
        <v>1640</v>
      </c>
    </row>
    <row r="911" spans="1:3" x14ac:dyDescent="0.2">
      <c r="A911" s="321" t="s">
        <v>2107</v>
      </c>
      <c r="B911" s="318">
        <f>(80/24)*(RAINrate.C/(0.0013/3600))*(3600*24)</f>
        <v>17702.845100105376</v>
      </c>
      <c r="C911" s="321" t="s">
        <v>1640</v>
      </c>
    </row>
    <row r="912" spans="1:3" x14ac:dyDescent="0.2">
      <c r="A912" s="321" t="s">
        <v>2668</v>
      </c>
      <c r="B912" s="318">
        <f>(80/24)*(RAINrate.M/(0.0013/3600))*(3600*24)</f>
        <v>17702.845100105376</v>
      </c>
      <c r="C912" s="321" t="s">
        <v>1640</v>
      </c>
    </row>
    <row r="913" spans="1:3" x14ac:dyDescent="0.2">
      <c r="A913" s="321" t="s">
        <v>1199</v>
      </c>
      <c r="B913" s="318">
        <f>(80/24)*(RAINrate.R/(0.0013/3600))*(3600*24)</f>
        <v>17702.845100105376</v>
      </c>
      <c r="C913" s="321" t="s">
        <v>1640</v>
      </c>
    </row>
    <row r="914" spans="1:3" x14ac:dyDescent="0.2">
      <c r="A914" s="321" t="s">
        <v>3358</v>
      </c>
      <c r="B914" s="318">
        <f>(80/24)*(RAINrate.T/(0.0013/3600))*(3600*24)</f>
        <v>32876.712328767127</v>
      </c>
      <c r="C914" s="321" t="s">
        <v>1640</v>
      </c>
    </row>
    <row r="915" spans="1:3" ht="15" x14ac:dyDescent="0.2">
      <c r="A915" s="317" t="s">
        <v>4670</v>
      </c>
      <c r="B915" s="318">
        <f>(MTCas.air.aC*MTCas.soil.sC)/(MTCas.air.aC+MTCas.soil.sC/((Kaw.C*FRorig.s1w)/Ks1w.C))*SYSTEMAREA.C*AREAFRAC.s1C*CORRvolat.s1C</f>
        <v>4.6932074622607381E-16</v>
      </c>
      <c r="C915" s="317" t="s">
        <v>1065</v>
      </c>
    </row>
    <row r="916" spans="1:3" ht="15" x14ac:dyDescent="0.2">
      <c r="A916" s="317" t="s">
        <v>4671</v>
      </c>
      <c r="B916" s="318">
        <v>3.1223453934029976E-20</v>
      </c>
      <c r="C916" s="317" t="s">
        <v>1065</v>
      </c>
    </row>
    <row r="917" spans="1:3" ht="15" x14ac:dyDescent="0.2">
      <c r="A917" s="317" t="s">
        <v>4672</v>
      </c>
      <c r="B917" s="318">
        <f>(MTCas.air.aC*MTCas.soil.sC)/(MTCas.air.aC+MTCas.soil.sC/((Kaw.C*FRorig.s2w)/Ks2w.C))*SYSTEMAREA.C*AREAFRAC.s2C*CORRvolat.s2C</f>
        <v>1.8983679345623973E-15</v>
      </c>
      <c r="C917" s="317" t="s">
        <v>1065</v>
      </c>
    </row>
    <row r="918" spans="1:3" ht="15" x14ac:dyDescent="0.2">
      <c r="A918" s="317" t="s">
        <v>4673</v>
      </c>
      <c r="B918" s="318">
        <v>1.2629657698127048E-19</v>
      </c>
      <c r="C918" s="317" t="s">
        <v>1065</v>
      </c>
    </row>
    <row r="919" spans="1:3" ht="15" x14ac:dyDescent="0.2">
      <c r="A919" s="317" t="s">
        <v>4674</v>
      </c>
      <c r="B919" s="318">
        <f>(MTCas.air.aC*MTCas.soil.sC)/(MTCas.air.aC+MTCas.soil.sC/((Kaw.C*FRorig.s3w)/Ks3w.C))*SYSTEMAREA.C*AREAFRAC.s3C*CORRvolat.s3C</f>
        <v>1.7382249860224951E-16</v>
      </c>
      <c r="C919" s="317" t="s">
        <v>1065</v>
      </c>
    </row>
    <row r="920" spans="1:3" ht="15" x14ac:dyDescent="0.2">
      <c r="A920" s="317" t="s">
        <v>4675</v>
      </c>
      <c r="B920" s="318">
        <v>1.1564242197788877E-20</v>
      </c>
      <c r="C920" s="317" t="s">
        <v>1065</v>
      </c>
    </row>
    <row r="921" spans="1:3" ht="15" x14ac:dyDescent="0.2">
      <c r="A921" s="317" t="s">
        <v>4676</v>
      </c>
      <c r="B921" s="318">
        <f>(MTCas.air.aA*MTCas.soil.sA/(MTCas.air.aA+MTCas.soil.sA/((Kaw.A*FRorig.s1w)/Ksw.A)*(SYSTEMAREA.A*AREAFRAC.sA*CORRvolat.sA)))</f>
        <v>4.0455402443703001E-47</v>
      </c>
      <c r="C921" s="321" t="s">
        <v>1065</v>
      </c>
    </row>
    <row r="922" spans="1:3" ht="15" x14ac:dyDescent="0.2">
      <c r="A922" s="317" t="s">
        <v>4677</v>
      </c>
      <c r="B922" s="318">
        <f>(MTCas.air.aM*MTCas.soil.sM/(MTCas.air.aM+MTCas.soil.sM/((Kaw.M*FRorig.s1w)/Ksw.M)*(SYSTEMAREA.M*AREAFRAC.sM*CORRvolat.sM)))</f>
        <v>7.9617831031511965E-42</v>
      </c>
      <c r="C922" s="321" t="s">
        <v>1065</v>
      </c>
    </row>
    <row r="923" spans="1:3" ht="15" x14ac:dyDescent="0.2">
      <c r="A923" s="317" t="s">
        <v>4678</v>
      </c>
      <c r="B923" s="318">
        <f>(MTCas.air.aT*MTCas.soil.sT/(MTCas.air.aT+MTCas.soil.sT/((Kaw.T*FRorig.s1w)/Ksw.T)*(SYSTEMAREA.T*AREAFRAC.sT*CORRvolat.sT)))</f>
        <v>7.1377874911888183E-39</v>
      </c>
      <c r="C923" s="321" t="s">
        <v>1065</v>
      </c>
    </row>
    <row r="924" spans="1:3" ht="15" x14ac:dyDescent="0.2">
      <c r="A924" s="317" t="s">
        <v>4679</v>
      </c>
      <c r="B924" s="318">
        <f>(MTCaw.air.aC*MTCaw.water.wC/(FRorig.w1*MTCaw.air.aC*Kaw.C+MTCaw.water.wC))*Kaw.C*(FRw.w0C*FRorig.w1)*(SYSTEMAREA.C*AREAFRAC.w0C)</f>
        <v>6.4134288977720049E-16</v>
      </c>
      <c r="C924" s="317" t="s">
        <v>1065</v>
      </c>
    </row>
    <row r="925" spans="1:3" ht="15" x14ac:dyDescent="0.2">
      <c r="A925" s="317" t="s">
        <v>4680</v>
      </c>
      <c r="B925" s="318" t="e">
        <v>#NAME?</v>
      </c>
      <c r="C925" s="317" t="s">
        <v>1065</v>
      </c>
    </row>
    <row r="926" spans="1:3" ht="15" x14ac:dyDescent="0.2">
      <c r="A926" s="317" t="s">
        <v>4681</v>
      </c>
      <c r="B926" s="318">
        <f>(MTCaw.air.aC*MTCaw.water.wC/(FRorig.w1*MTCaw.air.aC*Kaw.C+MTCaw.water.wC))*Kaw.C*(FRw.w1C*FRorig.w1)*(SYSTEMAREA.C*AREAFRAC.w1C)</f>
        <v>7.0445599328473471E-15</v>
      </c>
      <c r="C926" s="317" t="s">
        <v>1065</v>
      </c>
    </row>
    <row r="927" spans="1:3" ht="15" x14ac:dyDescent="0.2">
      <c r="A927" s="317" t="s">
        <v>4682</v>
      </c>
      <c r="B927" s="318" t="e">
        <v>#NAME?</v>
      </c>
      <c r="C927" s="317" t="s">
        <v>1065</v>
      </c>
    </row>
    <row r="928" spans="1:3" ht="15" x14ac:dyDescent="0.2">
      <c r="A928" s="317" t="s">
        <v>4683</v>
      </c>
      <c r="B928" s="318">
        <f>(MTCaw.air.aA*MTCaw.water.wA/(FRorig.w1*MTCaw.air.aA*Kaw.A+MTCaw.water.wA))*Kaw.A*(FRw.w2A*FRorig.w1)*(SYSTEMAREA.A*AREAFRAC.wA)</f>
        <v>4.1776530924560916E-18</v>
      </c>
      <c r="C928" s="321" t="s">
        <v>1065</v>
      </c>
    </row>
    <row r="929" spans="1:3" ht="15" x14ac:dyDescent="0.2">
      <c r="A929" s="317" t="s">
        <v>4684</v>
      </c>
      <c r="B929" s="318">
        <f>(MTCaw.air.aC*MTCaw.water.wC/(FRorig.w2*MTCaw.air.aC*Kaw.C+MTCaw.water.wC))*Kaw.C*(FRw.w2C*FRorig.w2)*(SYSTEMAREA.C*AREAFRAC.w2C)</f>
        <v>2.731620688620961E-13</v>
      </c>
      <c r="C929" s="317" t="s">
        <v>1065</v>
      </c>
    </row>
    <row r="930" spans="1:3" ht="15" x14ac:dyDescent="0.2">
      <c r="A930" s="317" t="s">
        <v>4685</v>
      </c>
      <c r="B930" s="318">
        <f>(MTCaw.air.aM*MTCaw.water.wM/(FRorig.w1*MTCaw.air.aM*Kaw.M+MTCaw.water.wM))*Kaw.M*(FRw.w2M*FRorig.w1)*(SYSTEMAREA.M*AREAFRAC.wM)</f>
        <v>2.8531059070872934E-12</v>
      </c>
      <c r="C930" s="321" t="s">
        <v>1065</v>
      </c>
    </row>
    <row r="931" spans="1:3" ht="15" x14ac:dyDescent="0.2">
      <c r="A931" s="317" t="s">
        <v>4686</v>
      </c>
      <c r="B931" s="318" t="e">
        <v>#NAME?</v>
      </c>
      <c r="C931" s="317" t="s">
        <v>1065</v>
      </c>
    </row>
    <row r="932" spans="1:3" ht="15" x14ac:dyDescent="0.2">
      <c r="A932" s="317" t="s">
        <v>4687</v>
      </c>
      <c r="B932" s="318">
        <f>(MTCaw.air.aT*MTCaw.water.wT/(FRorig.w1*MTCaw.air.aT*Kaw.T+MTCaw.water.wT))*Kaw.T*(FRw.w2T*FRorig.w1)*(SYSTEMAREA.T*AREAFRAC.wT)</f>
        <v>5.8045696175046686E-9</v>
      </c>
      <c r="C932" s="321" t="s">
        <v>1065</v>
      </c>
    </row>
    <row r="933" spans="1:3" ht="15" x14ac:dyDescent="0.2">
      <c r="A933" s="317" t="s">
        <v>2961</v>
      </c>
      <c r="B933" s="318">
        <f>SYSTEMAREA.A*HEIGHT.aA</f>
        <v>4.25E+16</v>
      </c>
      <c r="C933" s="321" t="s">
        <v>957</v>
      </c>
    </row>
    <row r="934" spans="1:3" ht="15" x14ac:dyDescent="0.2">
      <c r="A934" s="317" t="s">
        <v>1934</v>
      </c>
      <c r="B934" s="318">
        <f>SYSTEMAREA.C*HEIGHT.aC</f>
        <v>7199250000000000</v>
      </c>
      <c r="C934" s="321" t="s">
        <v>957</v>
      </c>
    </row>
    <row r="935" spans="1:3" ht="15" x14ac:dyDescent="0.2">
      <c r="A935" s="317" t="s">
        <v>2532</v>
      </c>
      <c r="B935" s="318">
        <f>SYSTEMAREA.M*HEIGHT.aM</f>
        <v>7.757118E+16</v>
      </c>
      <c r="C935" s="321" t="s">
        <v>957</v>
      </c>
    </row>
    <row r="936" spans="1:3" ht="15" x14ac:dyDescent="0.2">
      <c r="A936" s="317" t="s">
        <v>956</v>
      </c>
      <c r="B936" s="318">
        <f>SYSTEMAREA.R*HEIGHT.aR</f>
        <v>229570000000000</v>
      </c>
      <c r="C936" s="317" t="s">
        <v>957</v>
      </c>
    </row>
    <row r="937" spans="1:3" ht="15" x14ac:dyDescent="0.2">
      <c r="A937" s="317" t="s">
        <v>3284</v>
      </c>
      <c r="B937" s="318">
        <f>SYSTEMAREA.T*HEIGHT.aT</f>
        <v>1.275E+17</v>
      </c>
      <c r="C937" s="317" t="s">
        <v>957</v>
      </c>
    </row>
    <row r="938" spans="1:3" ht="15" x14ac:dyDescent="0.2">
      <c r="A938" s="317" t="s">
        <v>1944</v>
      </c>
      <c r="B938" s="318">
        <f>SYSTEMAREA.C*AREAFRAC.s1C*DEPTH.s1C</f>
        <v>47058840000.000015</v>
      </c>
      <c r="C938" s="321" t="s">
        <v>957</v>
      </c>
    </row>
    <row r="939" spans="1:3" ht="15" x14ac:dyDescent="0.2">
      <c r="A939" s="317" t="s">
        <v>975</v>
      </c>
      <c r="B939" s="318">
        <f>SYSTEMAREA.R*AREAFRAC.s1R*DEPTH.s1R</f>
        <v>3085695000.0000005</v>
      </c>
      <c r="C939" s="317" t="s">
        <v>957</v>
      </c>
    </row>
    <row r="940" spans="1:3" ht="15" x14ac:dyDescent="0.2">
      <c r="A940" s="317" t="s">
        <v>1945</v>
      </c>
      <c r="B940" s="318">
        <f>SYSTEMAREA.C*AREAFRAC.s2C*DEPTH.s2C</f>
        <v>418300800000.00006</v>
      </c>
      <c r="C940" s="321" t="s">
        <v>957</v>
      </c>
    </row>
    <row r="941" spans="1:3" ht="15" x14ac:dyDescent="0.2">
      <c r="A941" s="317" t="s">
        <v>977</v>
      </c>
      <c r="B941" s="318">
        <f>SYSTEMAREA.R*AREAFRAC.s2R*DEPTH.s2R</f>
        <v>27428400000</v>
      </c>
      <c r="C941" s="317" t="s">
        <v>957</v>
      </c>
    </row>
    <row r="942" spans="1:3" ht="15" x14ac:dyDescent="0.2">
      <c r="A942" s="317" t="s">
        <v>1946</v>
      </c>
      <c r="B942" s="318">
        <f>SYSTEMAREA.C*AREAFRAC.s3C*DEPTH.s3C</f>
        <v>17429200000</v>
      </c>
      <c r="C942" s="321" t="s">
        <v>957</v>
      </c>
    </row>
    <row r="943" spans="1:3" ht="15" x14ac:dyDescent="0.2">
      <c r="A943" s="317" t="s">
        <v>979</v>
      </c>
      <c r="B943" s="318">
        <f>SYSTEMAREA.R*AREAFRAC.s3R*DEPTH.s3R</f>
        <v>1142850000</v>
      </c>
      <c r="C943" s="317" t="s">
        <v>957</v>
      </c>
    </row>
    <row r="944" spans="1:3" ht="15" x14ac:dyDescent="0.2">
      <c r="A944" s="317" t="s">
        <v>2968</v>
      </c>
      <c r="B944" s="318">
        <f>SYSTEMAREA.A*DEPTH.sA*AREAFRAC.sA</f>
        <v>850000000000</v>
      </c>
      <c r="C944" s="321" t="s">
        <v>957</v>
      </c>
    </row>
    <row r="945" spans="1:3" ht="15" x14ac:dyDescent="0.2">
      <c r="A945" s="317" t="s">
        <v>1942</v>
      </c>
      <c r="B945" s="318">
        <f>SYSTEMAREA.C*AREAFRAC.w1C*DEPTH.sd1C</f>
        <v>2875818000</v>
      </c>
      <c r="C945" s="321" t="s">
        <v>957</v>
      </c>
    </row>
    <row r="946" spans="1:3" ht="15" x14ac:dyDescent="0.2">
      <c r="A946" s="317" t="s">
        <v>971</v>
      </c>
      <c r="B946" s="318">
        <f>SYSTEMAREA.R*AREAFRAC.w1R*DEPTH.sd1R</f>
        <v>188570250</v>
      </c>
      <c r="C946" s="317" t="s">
        <v>957</v>
      </c>
    </row>
    <row r="947" spans="1:3" ht="15" x14ac:dyDescent="0.2">
      <c r="A947" s="317" t="s">
        <v>1943</v>
      </c>
      <c r="B947" s="318">
        <f>SYSTEMAREA.C*AREAFRAC.w2C*DEPTH.sd2C</f>
        <v>111402300000</v>
      </c>
      <c r="C947" s="321" t="s">
        <v>957</v>
      </c>
    </row>
    <row r="948" spans="1:3" ht="15" x14ac:dyDescent="0.2">
      <c r="A948" s="317" t="s">
        <v>973</v>
      </c>
      <c r="B948" s="318">
        <f>SYSTEMAREA.R*AREAFRAC.w2R*DEPTH.sd2R</f>
        <v>30000000.00000003</v>
      </c>
      <c r="C948" s="317" t="s">
        <v>957</v>
      </c>
    </row>
    <row r="949" spans="1:3" ht="15" x14ac:dyDescent="0.2">
      <c r="A949" s="317" t="s">
        <v>2967</v>
      </c>
      <c r="B949" s="318">
        <f>SYSTEMAREA.A*DEPTH.sdA*AREAFRAC.wA</f>
        <v>765000000000</v>
      </c>
      <c r="C949" s="321" t="s">
        <v>957</v>
      </c>
    </row>
    <row r="950" spans="1:3" ht="15" x14ac:dyDescent="0.2">
      <c r="A950" s="317" t="s">
        <v>2539</v>
      </c>
      <c r="B950" s="318">
        <f>SYSTEMAREA.M*DEPTH.sdM*AREAFRAC.wM</f>
        <v>1163567700000</v>
      </c>
      <c r="C950" s="321" t="s">
        <v>957</v>
      </c>
    </row>
    <row r="951" spans="1:3" ht="15" x14ac:dyDescent="0.2">
      <c r="A951" s="317" t="s">
        <v>3288</v>
      </c>
      <c r="B951" s="318">
        <f>SYSTEMAREA.T*DEPTH.sdT*AREAFRAC.wT</f>
        <v>2677500000000</v>
      </c>
      <c r="C951" s="317" t="s">
        <v>957</v>
      </c>
    </row>
    <row r="952" spans="1:3" ht="15" x14ac:dyDescent="0.2">
      <c r="A952" s="317" t="s">
        <v>2541</v>
      </c>
      <c r="B952" s="318">
        <f>SYSTEMAREA.M*DEPTH.sM*AREAFRAC.sM</f>
        <v>1939279500000</v>
      </c>
      <c r="C952" s="321" t="s">
        <v>957</v>
      </c>
    </row>
    <row r="953" spans="1:3" ht="15" x14ac:dyDescent="0.2">
      <c r="A953" s="317" t="s">
        <v>3289</v>
      </c>
      <c r="B953" s="318">
        <f>SYSTEMAREA.T*DEPTH.sT*AREAFRAC.sT</f>
        <v>1912500000000.0002</v>
      </c>
      <c r="C953" s="317" t="s">
        <v>957</v>
      </c>
    </row>
    <row r="954" spans="1:3" ht="15" x14ac:dyDescent="0.2">
      <c r="A954" s="317" t="s">
        <v>1937</v>
      </c>
      <c r="B954" s="318">
        <f>SYSTEMAREA.C*AREAFRAC.w0C*DEPTH.w0C</f>
        <v>871460000000</v>
      </c>
      <c r="C954" s="317" t="s">
        <v>957</v>
      </c>
    </row>
    <row r="955" spans="1:3" ht="15" x14ac:dyDescent="0.2">
      <c r="A955" s="317" t="s">
        <v>963</v>
      </c>
      <c r="B955" s="318">
        <f>SYSTEMAREA.R*AREAFRAC.w0R*DEPTH.w0R</f>
        <v>57142500000</v>
      </c>
      <c r="C955" s="317" t="s">
        <v>957</v>
      </c>
    </row>
    <row r="956" spans="1:3" ht="15" x14ac:dyDescent="0.2">
      <c r="A956" s="317" t="s">
        <v>1938</v>
      </c>
      <c r="B956" s="318">
        <f>SYSTEMAREA.C*AREAFRAC.w1C*DEPTH.w1C</f>
        <v>287581800000</v>
      </c>
      <c r="C956" s="321" t="s">
        <v>957</v>
      </c>
    </row>
    <row r="957" spans="1:3" ht="15" x14ac:dyDescent="0.2">
      <c r="A957" s="317" t="s">
        <v>965</v>
      </c>
      <c r="B957" s="318">
        <f>SYSTEMAREA.R*AREAFRAC.w1R*DEPTH.w1R</f>
        <v>18857025000</v>
      </c>
      <c r="C957" s="317" t="s">
        <v>957</v>
      </c>
    </row>
    <row r="958" spans="1:3" ht="15" x14ac:dyDescent="0.2">
      <c r="A958" s="317" t="s">
        <v>2964</v>
      </c>
      <c r="B958" s="318">
        <f>SYSTEMAREA.A*DEPTH.w2A*AREAFRAC.wA</f>
        <v>2550000000000000</v>
      </c>
      <c r="C958" s="321" t="s">
        <v>957</v>
      </c>
    </row>
    <row r="959" spans="1:3" ht="15" x14ac:dyDescent="0.2">
      <c r="A959" s="317" t="s">
        <v>1939</v>
      </c>
      <c r="B959" s="318">
        <f>SYSTEMAREA.C*AREAFRAC.w2C*DEPTH.w2C</f>
        <v>742682000000000</v>
      </c>
      <c r="C959" s="321" t="s">
        <v>957</v>
      </c>
    </row>
    <row r="960" spans="1:3" ht="15" x14ac:dyDescent="0.2">
      <c r="A960" s="317" t="s">
        <v>2535</v>
      </c>
      <c r="B960" s="318">
        <f>SYSTEMAREA.M*DEPTH.w2M*AREAFRAC.wM</f>
        <v>3878559000000000</v>
      </c>
      <c r="C960" s="321" t="s">
        <v>957</v>
      </c>
    </row>
    <row r="961" spans="1:3" ht="15" x14ac:dyDescent="0.2">
      <c r="A961" s="317" t="s">
        <v>967</v>
      </c>
      <c r="B961" s="318">
        <f>SYSTEMAREA.R*AREAFRAC.w2R*DEPTH.w2R</f>
        <v>10000000000.000011</v>
      </c>
      <c r="C961" s="317" t="s">
        <v>957</v>
      </c>
    </row>
    <row r="962" spans="1:3" ht="15" x14ac:dyDescent="0.2">
      <c r="A962" s="317" t="s">
        <v>3286</v>
      </c>
      <c r="B962" s="318">
        <f>SYSTEMAREA.T*DEPTH.w2T*AREAFRAC.wT</f>
        <v>8924999999999999</v>
      </c>
      <c r="C962" s="321" t="s">
        <v>957</v>
      </c>
    </row>
    <row r="963" spans="1:3" ht="15" x14ac:dyDescent="0.2">
      <c r="A963" s="317" t="s">
        <v>2966</v>
      </c>
      <c r="B963" s="318">
        <f>SYSTEMAREA.A*DEPTH.w3A*AREAFRAC.wA</f>
        <v>7.65E+16</v>
      </c>
      <c r="C963" s="321" t="s">
        <v>957</v>
      </c>
    </row>
    <row r="964" spans="1:3" ht="15" x14ac:dyDescent="0.2">
      <c r="A964" s="317" t="s">
        <v>2537</v>
      </c>
      <c r="B964" s="318">
        <f>SYSTEMAREA.M*DEPTH.w3M*AREAFRAC.wM</f>
        <v>1.1635677E+17</v>
      </c>
      <c r="C964" s="321" t="s">
        <v>957</v>
      </c>
    </row>
    <row r="965" spans="1:3" ht="15" x14ac:dyDescent="0.2">
      <c r="A965" s="317" t="s">
        <v>3287</v>
      </c>
      <c r="B965" s="318">
        <f>SYSTEMAREA.T*DEPTH.w3T*AREAFRAC.wT</f>
        <v>2.6774999999999997E+17</v>
      </c>
      <c r="C965" s="321" t="s">
        <v>957</v>
      </c>
    </row>
    <row r="966" spans="1:3" ht="15" x14ac:dyDescent="0.2">
      <c r="A966" s="319" t="s">
        <v>1998</v>
      </c>
      <c r="B966" s="318">
        <f>0.1*WATERflow.w1C.w2C</f>
        <v>2089.1164383561645</v>
      </c>
      <c r="C966" s="317" t="s">
        <v>1065</v>
      </c>
    </row>
    <row r="967" spans="1:3" ht="15" x14ac:dyDescent="0.2">
      <c r="A967" s="319" t="s">
        <v>2000</v>
      </c>
      <c r="B967" s="318">
        <v>0</v>
      </c>
      <c r="C967" s="317" t="s">
        <v>1065</v>
      </c>
    </row>
    <row r="968" spans="1:3" ht="15" x14ac:dyDescent="0.2">
      <c r="A968" s="319" t="s">
        <v>1064</v>
      </c>
      <c r="B968" s="318">
        <f>0.1*WATERflow.w2R.w2C</f>
        <v>1369.8544520547946</v>
      </c>
      <c r="C968" s="317" t="s">
        <v>1065</v>
      </c>
    </row>
    <row r="969" spans="1:3" ht="15" x14ac:dyDescent="0.2">
      <c r="A969" s="319" t="s">
        <v>1068</v>
      </c>
      <c r="B969" s="318">
        <v>0</v>
      </c>
      <c r="C969" s="317" t="s">
        <v>1065</v>
      </c>
    </row>
    <row r="970" spans="1:3" ht="15" x14ac:dyDescent="0.2">
      <c r="A970" s="319" t="s">
        <v>2002</v>
      </c>
      <c r="B970" s="318">
        <v>0</v>
      </c>
      <c r="C970" s="317" t="s">
        <v>1065</v>
      </c>
    </row>
    <row r="971" spans="1:3" ht="15" x14ac:dyDescent="0.2">
      <c r="A971" s="319" t="s">
        <v>2004</v>
      </c>
      <c r="B971" s="318">
        <f>((AREAFRAC.w1C+AREAFRAC.s1C*FRACrun.s1C+AREAFRAC.s2C*FRACrun.s2C+AREAFRAC.s3C*FRACrun.s3C)*RAINrate.C*SYSTEMAREA.C+WATERflow.w0C.w1C)*FRAC.w1C.w1R</f>
        <v>0</v>
      </c>
      <c r="C971" s="321" t="s">
        <v>1065</v>
      </c>
    </row>
    <row r="972" spans="1:3" ht="15" x14ac:dyDescent="0.2">
      <c r="A972" s="319" t="s">
        <v>2006</v>
      </c>
      <c r="B972" s="318">
        <f>((AREAFRAC.w1C+AREAFRAC.s1C*FRACrun.s1C+AREAFRAC.s2C*FRACrun.s2C+AREAFRAC.s3C*FRACrun.s3C)*RAINrate.C*SYSTEMAREA.C)*(1-FRAC.w1C.w1R)</f>
        <v>20891.164383561645</v>
      </c>
      <c r="C972" s="321" t="s">
        <v>1065</v>
      </c>
    </row>
    <row r="973" spans="1:3" ht="15" x14ac:dyDescent="0.2">
      <c r="A973" s="319" t="s">
        <v>1070</v>
      </c>
      <c r="B973" s="318">
        <v>0</v>
      </c>
      <c r="C973" s="317" t="s">
        <v>1065</v>
      </c>
    </row>
    <row r="974" spans="1:3" ht="15" x14ac:dyDescent="0.2">
      <c r="A974" s="319" t="s">
        <v>1072</v>
      </c>
      <c r="B974" s="318" t="e">
        <f>((AREAFRAC.w1R+AREAFRAC.s1R*FRACrun.s1R+AREAFRACs2R*FRACrun.s2R+AREAFRAC.s3R*FRACrun.s3R)*RAINrate.R*SYSTEMAREA.R+WATERflow.w1C.w1R)*(1-FRAC.w1R.w1C)</f>
        <v>#NAME?</v>
      </c>
      <c r="C974" s="317" t="s">
        <v>1065</v>
      </c>
    </row>
    <row r="975" spans="1:3" ht="15" x14ac:dyDescent="0.2">
      <c r="A975" s="319" t="s">
        <v>2998</v>
      </c>
      <c r="B975" s="318">
        <f>0</f>
        <v>0</v>
      </c>
      <c r="C975" s="321" t="s">
        <v>1065</v>
      </c>
    </row>
    <row r="976" spans="1:3" ht="15" x14ac:dyDescent="0.2">
      <c r="A976" s="319" t="s">
        <v>2014</v>
      </c>
      <c r="B976" s="318">
        <f>(VOLUME.w2C/TAU.w2C)-WATERflow.w2R.w2C</f>
        <v>23536593.185565703</v>
      </c>
      <c r="C976" s="321" t="s">
        <v>1065</v>
      </c>
    </row>
    <row r="977" spans="1:3" ht="15" x14ac:dyDescent="0.2">
      <c r="A977" s="319" t="s">
        <v>2012</v>
      </c>
      <c r="B977" s="318">
        <f>(10-1)*WATERflow.w1R.w2R</f>
        <v>12328.69006849315</v>
      </c>
      <c r="C977" s="321" t="s">
        <v>1065</v>
      </c>
    </row>
    <row r="978" spans="1:3" ht="15" x14ac:dyDescent="0.2">
      <c r="A978" s="319" t="s">
        <v>2587</v>
      </c>
      <c r="B978" s="318">
        <f>OceanCurrent</f>
        <v>150000000</v>
      </c>
      <c r="C978" s="321" t="s">
        <v>1065</v>
      </c>
    </row>
    <row r="979" spans="1:3" ht="15" x14ac:dyDescent="0.2">
      <c r="A979" s="319" t="s">
        <v>2585</v>
      </c>
      <c r="B979" s="318">
        <f>WATERflow.w2C.w2M</f>
        <v>23536593.185565703</v>
      </c>
      <c r="C979" s="321" t="s">
        <v>1065</v>
      </c>
    </row>
    <row r="980" spans="1:3" ht="15" x14ac:dyDescent="0.2">
      <c r="A980" s="319" t="s">
        <v>2589</v>
      </c>
      <c r="B980" s="318">
        <f>0</f>
        <v>0</v>
      </c>
      <c r="C980" s="321" t="s">
        <v>1065</v>
      </c>
    </row>
    <row r="981" spans="1:3" ht="15" x14ac:dyDescent="0.2">
      <c r="A981" s="319" t="s">
        <v>1074</v>
      </c>
      <c r="B981" s="318">
        <f>WATERflow.w1R.w2R+WATERflow.w2C.w2R</f>
        <v>13698.544520547945</v>
      </c>
      <c r="C981" s="317" t="s">
        <v>1065</v>
      </c>
    </row>
    <row r="982" spans="1:3" ht="15" x14ac:dyDescent="0.2">
      <c r="A982" s="319" t="s">
        <v>3316</v>
      </c>
      <c r="B982" s="318">
        <f>OceanCurrent</f>
        <v>150000000</v>
      </c>
      <c r="C982" s="321" t="s">
        <v>1065</v>
      </c>
    </row>
    <row r="983" spans="1:3" ht="15" x14ac:dyDescent="0.2">
      <c r="A983" s="317" t="s">
        <v>3058</v>
      </c>
      <c r="B983" s="318">
        <v>3</v>
      </c>
      <c r="C983" s="320" t="s">
        <v>1202</v>
      </c>
    </row>
    <row r="984" spans="1:3" ht="15" x14ac:dyDescent="0.2">
      <c r="A984" s="321" t="s">
        <v>747</v>
      </c>
      <c r="B984" s="321">
        <v>3</v>
      </c>
      <c r="C984" s="321" t="s">
        <v>697</v>
      </c>
    </row>
    <row r="985" spans="1:3" ht="15" x14ac:dyDescent="0.2">
      <c r="A985" s="317" t="s">
        <v>2686</v>
      </c>
      <c r="B985" s="318">
        <v>3</v>
      </c>
      <c r="C985" s="320" t="s">
        <v>1202</v>
      </c>
    </row>
    <row r="986" spans="1:3" ht="15" x14ac:dyDescent="0.2">
      <c r="A986" s="321" t="s">
        <v>696</v>
      </c>
      <c r="B986" s="321">
        <v>3</v>
      </c>
      <c r="C986" s="321" t="s">
        <v>697</v>
      </c>
    </row>
    <row r="987" spans="1:3" ht="15" x14ac:dyDescent="0.2">
      <c r="A987" s="317" t="s">
        <v>3372</v>
      </c>
      <c r="B987" s="321">
        <v>3</v>
      </c>
      <c r="C987" s="320" t="s">
        <v>1202</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40625" defaultRowHeight="12.75" customHeight="1" x14ac:dyDescent="0.2"/>
  <cols>
    <col min="1" max="1" width="2.5703125" style="26" customWidth="1" collapsed="1"/>
    <col min="2" max="2" width="33.140625" style="26" customWidth="1" collapsed="1"/>
    <col min="3" max="3" width="12.5703125" style="29" customWidth="1" collapsed="1"/>
    <col min="4" max="11" width="8.7109375" style="29" customWidth="1" collapsed="1"/>
    <col min="12" max="12" width="9.140625" style="29" customWidth="1" collapsed="1"/>
    <col min="13" max="14" width="3.7109375" style="26" customWidth="1" collapsed="1"/>
    <col min="15" max="41" width="9.140625" style="26" collapsed="1"/>
    <col min="42" max="42" width="10.5703125" style="26" customWidth="1" collapsed="1"/>
    <col min="43" max="51" width="9.140625" style="26" collapsed="1"/>
    <col min="52" max="62" width="9.140625" style="26"/>
    <col min="63" max="16384" width="9.140625" style="26" collapsed="1"/>
  </cols>
  <sheetData>
    <row r="1" spans="1:45" ht="12.75" customHeight="1" x14ac:dyDescent="0.2">
      <c r="A1" s="17"/>
      <c r="B1" s="17"/>
      <c r="C1" s="38"/>
      <c r="D1" s="38"/>
      <c r="E1" s="38"/>
      <c r="F1" s="38"/>
      <c r="G1" s="38"/>
      <c r="H1" s="38"/>
      <c r="I1" s="38"/>
      <c r="J1" s="38"/>
      <c r="K1" s="38"/>
      <c r="L1" s="38"/>
      <c r="M1" s="17"/>
      <c r="N1" s="156"/>
      <c r="O1" s="11"/>
      <c r="P1" s="11"/>
      <c r="Q1" s="11"/>
      <c r="R1" s="11"/>
      <c r="S1" s="11"/>
      <c r="T1" s="11"/>
      <c r="U1" s="11"/>
      <c r="V1" s="11"/>
      <c r="W1" s="410" t="s">
        <v>4688</v>
      </c>
      <c r="X1" s="410" t="s">
        <v>4689</v>
      </c>
      <c r="Y1" s="11"/>
      <c r="Z1" s="11"/>
      <c r="AA1" s="11"/>
      <c r="AB1" s="11"/>
      <c r="AC1" s="11"/>
      <c r="AD1" s="11"/>
      <c r="AE1" s="11">
        <v>5</v>
      </c>
      <c r="AF1" s="11"/>
      <c r="AG1" s="11"/>
      <c r="AH1" s="11"/>
      <c r="AI1" s="11"/>
      <c r="AJ1" s="11"/>
      <c r="AK1" s="410">
        <v>5</v>
      </c>
      <c r="AL1" s="410" t="s">
        <v>4690</v>
      </c>
      <c r="AM1" s="11"/>
      <c r="AN1" s="11"/>
      <c r="AO1" s="11"/>
      <c r="AP1" s="11"/>
      <c r="AQ1" s="11"/>
      <c r="AR1" s="410" t="s">
        <v>4691</v>
      </c>
      <c r="AS1" s="410" t="s">
        <v>4692</v>
      </c>
    </row>
    <row r="2" spans="1:45" ht="12.75" customHeight="1" x14ac:dyDescent="0.25">
      <c r="A2" s="17"/>
      <c r="B2" s="47" t="s">
        <v>57</v>
      </c>
      <c r="C2" s="38"/>
      <c r="D2" s="38"/>
      <c r="E2" s="38"/>
      <c r="F2" s="38"/>
      <c r="G2" s="38"/>
      <c r="H2" s="38"/>
      <c r="I2" s="38"/>
      <c r="J2" s="38"/>
      <c r="K2" s="38"/>
      <c r="L2" s="38"/>
      <c r="M2" s="17"/>
      <c r="N2" s="156"/>
      <c r="O2" s="11"/>
      <c r="P2" t="s">
        <v>4688</v>
      </c>
      <c r="Q2"/>
      <c r="R2" s="11"/>
      <c r="S2" s="11"/>
      <c r="T2" s="11"/>
      <c r="U2" s="11"/>
      <c r="V2" s="11"/>
      <c r="W2" s="11"/>
      <c r="X2"/>
      <c r="Y2" s="11"/>
      <c r="Z2" s="11"/>
      <c r="AA2" s="11"/>
      <c r="AB2" s="11"/>
      <c r="AC2" s="11"/>
      <c r="AD2" s="11"/>
      <c r="AE2" s="471" t="s">
        <v>251</v>
      </c>
      <c r="AF2" s="465"/>
      <c r="AG2" s="465" t="s">
        <v>117</v>
      </c>
      <c r="AH2" s="465" t="s">
        <v>4693</v>
      </c>
      <c r="AI2" s="465" t="s">
        <v>4694</v>
      </c>
      <c r="AJ2" s="466" t="s">
        <v>4695</v>
      </c>
      <c r="AK2" s="11"/>
      <c r="AL2"/>
      <c r="AM2" s="11"/>
      <c r="AN2" s="11"/>
      <c r="AO2" s="11"/>
      <c r="AP2" s="11"/>
      <c r="AQ2" s="11"/>
      <c r="AR2" s="11"/>
      <c r="AS2"/>
    </row>
    <row r="3" spans="1:45" ht="12.75" customHeight="1" x14ac:dyDescent="0.2">
      <c r="A3" s="17"/>
      <c r="B3" s="17"/>
      <c r="C3" s="38"/>
      <c r="D3" s="38"/>
      <c r="E3" s="38"/>
      <c r="F3" s="38"/>
      <c r="G3" s="38"/>
      <c r="H3" s="38"/>
      <c r="I3" s="38"/>
      <c r="J3" s="38"/>
      <c r="K3" s="38"/>
      <c r="L3" s="38"/>
      <c r="M3" s="17"/>
      <c r="N3" s="156"/>
      <c r="O3" s="11"/>
      <c r="P3" s="973"/>
      <c r="Q3" s="465" t="s">
        <v>251</v>
      </c>
      <c r="R3" s="465" t="s">
        <v>252</v>
      </c>
      <c r="S3" s="465" t="s">
        <v>4696</v>
      </c>
      <c r="T3" s="465" t="s">
        <v>253</v>
      </c>
      <c r="U3" s="465" t="s">
        <v>254</v>
      </c>
      <c r="V3" s="466" t="s">
        <v>4697</v>
      </c>
      <c r="W3" s="11"/>
      <c r="X3"/>
      <c r="Y3" s="11"/>
      <c r="Z3" s="11"/>
      <c r="AA3" s="11"/>
      <c r="AB3" s="11"/>
      <c r="AC3" s="11"/>
      <c r="AD3" s="11"/>
      <c r="AE3" s="974"/>
      <c r="AF3" s="410" t="s">
        <v>4698</v>
      </c>
      <c r="AG3" s="686">
        <f>C12</f>
        <v>19834.485140858316</v>
      </c>
      <c r="AH3" s="686">
        <f>SUM(C20,C36,C52)</f>
        <v>14416888.628978848</v>
      </c>
      <c r="AI3" s="686">
        <f>SUM(C28,C44,C68)</f>
        <v>4594082.6010091798</v>
      </c>
      <c r="AJ3" s="975">
        <f>SUM(C76,C84,C92)</f>
        <v>196614703.5183045</v>
      </c>
      <c r="AK3" s="11"/>
      <c r="AL3"/>
      <c r="AM3" s="11"/>
      <c r="AN3" s="11"/>
      <c r="AO3" s="11"/>
      <c r="AP3" s="11"/>
      <c r="AQ3" s="11"/>
      <c r="AR3" s="11"/>
      <c r="AS3"/>
    </row>
    <row r="4" spans="1:45" ht="12.75" customHeight="1" x14ac:dyDescent="0.2">
      <c r="A4" s="17"/>
      <c r="B4" s="21" t="s">
        <v>62</v>
      </c>
      <c r="C4" s="38" t="str">
        <f>CONCATENATE(version!$B$2," ",version!$B$3," ",version!$C$3)</f>
        <v>SimpleBox4nano vs 4.02-nano 44497</v>
      </c>
      <c r="D4" s="38"/>
      <c r="E4" s="38"/>
      <c r="F4" s="38"/>
      <c r="G4" s="21"/>
      <c r="H4" s="21"/>
      <c r="I4" s="21"/>
      <c r="J4" s="21"/>
      <c r="K4" s="38"/>
      <c r="L4" s="38"/>
      <c r="M4" s="17"/>
      <c r="N4" s="156"/>
      <c r="O4" s="11"/>
      <c r="P4" s="467" t="s">
        <v>117</v>
      </c>
      <c r="Q4" s="686">
        <f>$C$11</f>
        <v>53861.552851883891</v>
      </c>
      <c r="R4" s="11">
        <f>$E$11</f>
        <v>146289.46265059779</v>
      </c>
      <c r="S4" s="686">
        <f>SUM(T4:V4)</f>
        <v>172088.05475526943</v>
      </c>
      <c r="T4" s="11">
        <f>$G$11</f>
        <v>104391.194073911</v>
      </c>
      <c r="U4" s="11">
        <f>$I$11</f>
        <v>24485.455159098739</v>
      </c>
      <c r="V4" s="976">
        <f>$K$11</f>
        <v>43211.405522259709</v>
      </c>
      <c r="W4" s="11"/>
      <c r="X4" s="11"/>
      <c r="Y4" s="11"/>
      <c r="Z4" s="11"/>
      <c r="AA4" s="11"/>
      <c r="AB4" s="11"/>
      <c r="AC4" s="11"/>
      <c r="AD4" s="11"/>
      <c r="AE4" s="974"/>
      <c r="AF4" s="410" t="s">
        <v>4699</v>
      </c>
      <c r="AG4" s="686">
        <f>C15</f>
        <v>4853.2499357005527</v>
      </c>
      <c r="AH4" s="686">
        <f>SUM(C23,C39,C55)</f>
        <v>4809.8135296917872</v>
      </c>
      <c r="AI4" s="686">
        <f>SUM(C31,C47,C71)</f>
        <v>1.4314292847482936E-3</v>
      </c>
      <c r="AJ4" s="975">
        <f>SUM(C79,C87,C95)</f>
        <v>2.629383302972006</v>
      </c>
      <c r="AK4" s="11"/>
      <c r="AL4" s="11"/>
      <c r="AM4" s="11"/>
      <c r="AN4" s="11"/>
      <c r="AO4" s="11"/>
      <c r="AP4" s="11"/>
      <c r="AQ4" s="11"/>
      <c r="AR4" s="11"/>
      <c r="AS4" s="11"/>
    </row>
    <row r="5" spans="1:45" ht="12.75" customHeight="1" x14ac:dyDescent="0.3">
      <c r="A5" s="17"/>
      <c r="B5" s="21" t="s">
        <v>66</v>
      </c>
      <c r="C5" s="926" t="str">
        <f>ChemName</f>
        <v>nTiO2_10nm</v>
      </c>
      <c r="D5" s="38"/>
      <c r="E5" s="38"/>
      <c r="F5" s="38"/>
      <c r="G5" s="447"/>
      <c r="H5" s="448"/>
      <c r="I5" s="448"/>
      <c r="J5" s="448"/>
      <c r="K5" s="38"/>
      <c r="L5" s="38"/>
      <c r="M5" s="17"/>
      <c r="N5" s="156"/>
      <c r="O5" s="11"/>
      <c r="P5" s="467" t="s">
        <v>4693</v>
      </c>
      <c r="Q5" s="686">
        <f>SUM(C19,C35,C51)</f>
        <v>22600686.886008978</v>
      </c>
      <c r="R5" s="686">
        <f>SUM(E19,E35,E51)</f>
        <v>292861831523.79858</v>
      </c>
      <c r="S5" s="686">
        <f>SUM(T5:V5)</f>
        <v>195728942922081.63</v>
      </c>
      <c r="T5" s="686">
        <f>SUM(G51,G59)</f>
        <v>47414676143204.141</v>
      </c>
      <c r="U5" s="686">
        <f>SUM(I51,I59)</f>
        <v>31391282998486.945</v>
      </c>
      <c r="V5" s="975">
        <f>SUM(K51,K59)</f>
        <v>116922983780390.52</v>
      </c>
      <c r="W5" s="11"/>
      <c r="X5" s="11"/>
      <c r="Y5" s="11"/>
      <c r="Z5" s="11"/>
      <c r="AA5" s="11"/>
      <c r="AB5" s="11"/>
      <c r="AC5" s="11"/>
      <c r="AD5" s="11"/>
      <c r="AE5" s="974"/>
      <c r="AF5" s="410" t="s">
        <v>4700</v>
      </c>
      <c r="AG5" s="686">
        <f>C16</f>
        <v>29155.359756389829</v>
      </c>
      <c r="AH5" s="686">
        <f>SUM(C24,C40,C56)</f>
        <v>8073409.3445704002</v>
      </c>
      <c r="AI5" s="686">
        <f>SUM(C32,C48,C72)</f>
        <v>4457363.8350031842</v>
      </c>
      <c r="AJ5" s="975">
        <f>SUM(C80,C88,C96)</f>
        <v>4160070.8034800254</v>
      </c>
      <c r="AK5" s="11"/>
      <c r="AL5" s="11"/>
      <c r="AM5" s="11"/>
      <c r="AN5" s="11"/>
      <c r="AO5" s="11"/>
      <c r="AP5" s="11"/>
      <c r="AQ5" s="11"/>
      <c r="AR5" s="11"/>
      <c r="AS5" s="11"/>
    </row>
    <row r="6" spans="1:45" ht="12.75" customHeight="1" x14ac:dyDescent="0.2">
      <c r="A6" s="17"/>
      <c r="B6" s="21" t="s">
        <v>68</v>
      </c>
      <c r="C6" s="942" t="str">
        <f>ScenarioName</f>
        <v>default scenario</v>
      </c>
      <c r="D6" s="38"/>
      <c r="E6" s="38"/>
      <c r="F6" s="38"/>
      <c r="G6" s="21"/>
      <c r="H6" s="21"/>
      <c r="I6" s="21"/>
      <c r="J6" s="21"/>
      <c r="K6" s="38"/>
      <c r="L6" s="38"/>
      <c r="M6" s="17"/>
      <c r="N6" s="156"/>
      <c r="O6" s="11"/>
      <c r="P6" s="467" t="s">
        <v>4694</v>
      </c>
      <c r="Q6" s="686">
        <f>SUM(C27,C43,C67)</f>
        <v>44093782.279172376</v>
      </c>
      <c r="R6" s="686">
        <f>SUM(E27,E43,E67)</f>
        <v>1752137677.3443925</v>
      </c>
      <c r="S6" s="686">
        <f>SUM(T6:V6)</f>
        <v>76004234173.787201</v>
      </c>
      <c r="T6" s="686">
        <f>G67</f>
        <v>18340119901.155579</v>
      </c>
      <c r="U6" s="686">
        <f>I67</f>
        <v>12020390249.771753</v>
      </c>
      <c r="V6" s="975">
        <f>K67</f>
        <v>45643724022.859879</v>
      </c>
      <c r="W6" s="11"/>
      <c r="X6" s="11"/>
      <c r="Y6" s="11"/>
      <c r="Z6" s="11"/>
      <c r="AA6" s="11"/>
      <c r="AB6" s="11"/>
      <c r="AC6" s="11"/>
      <c r="AD6" s="11"/>
      <c r="AE6" s="977"/>
      <c r="AF6" s="479" t="s">
        <v>4701</v>
      </c>
      <c r="AG6" s="978">
        <f>C17</f>
        <v>18.458018935187482</v>
      </c>
      <c r="AH6" s="978">
        <f>SUM(C25,C41,C57)</f>
        <v>105579.09893003883</v>
      </c>
      <c r="AI6" s="978">
        <f>SUM(C33,C49,C73)</f>
        <v>35042335.841728583</v>
      </c>
      <c r="AJ6" s="979">
        <f>SUM(C81,C89,C97)</f>
        <v>15282183756.084309</v>
      </c>
      <c r="AK6" s="11"/>
      <c r="AL6" s="11"/>
      <c r="AM6" s="11"/>
      <c r="AN6" s="11"/>
      <c r="AO6" s="11"/>
      <c r="AP6" s="11"/>
      <c r="AQ6" s="11"/>
      <c r="AR6" s="11"/>
      <c r="AS6" s="11"/>
    </row>
    <row r="7" spans="1:45" ht="12.75" customHeight="1" x14ac:dyDescent="0.2">
      <c r="A7" s="17"/>
      <c r="B7" s="21" t="s">
        <v>70</v>
      </c>
      <c r="C7" s="942" t="str">
        <f>CaseName</f>
        <v>defaults only</v>
      </c>
      <c r="D7" s="38"/>
      <c r="E7" s="38"/>
      <c r="F7" s="38"/>
      <c r="G7" s="449"/>
      <c r="H7" s="21"/>
      <c r="I7" s="21"/>
      <c r="J7" s="21"/>
      <c r="K7" s="38"/>
      <c r="L7" s="38"/>
      <c r="M7" s="17"/>
      <c r="N7" s="156"/>
      <c r="O7" s="11"/>
      <c r="P7" s="464" t="s">
        <v>4695</v>
      </c>
      <c r="Q7" s="978">
        <f>SUM(C75,C83,C91)</f>
        <v>15482958533.035475</v>
      </c>
      <c r="R7" s="978">
        <f>SUM(E75,E83,E91)</f>
        <v>92039925.515704587</v>
      </c>
      <c r="S7" s="978">
        <f>SUM(T7:V7)</f>
        <v>3738100.9943784224</v>
      </c>
      <c r="T7" s="978">
        <f>G91</f>
        <v>3321124.3794951835</v>
      </c>
      <c r="U7" s="978">
        <f>I91</f>
        <v>322249.70199371205</v>
      </c>
      <c r="V7" s="979">
        <f>K91</f>
        <v>94726.912889526924</v>
      </c>
      <c r="W7" s="11"/>
      <c r="X7" s="11"/>
      <c r="Y7" s="11"/>
      <c r="Z7" s="11"/>
      <c r="AA7" s="11"/>
      <c r="AB7" s="11"/>
      <c r="AC7" s="11"/>
      <c r="AD7" s="11"/>
      <c r="AE7" s="11">
        <v>6</v>
      </c>
      <c r="AF7" s="11"/>
      <c r="AG7" s="686"/>
      <c r="AH7" s="686"/>
      <c r="AI7" s="686"/>
      <c r="AJ7" s="686"/>
      <c r="AK7" s="11"/>
      <c r="AL7" s="11"/>
      <c r="AM7" s="11"/>
      <c r="AN7" s="11"/>
      <c r="AO7" s="11"/>
      <c r="AP7" s="11"/>
      <c r="AQ7" s="11"/>
      <c r="AR7" s="11"/>
      <c r="AS7" s="11"/>
    </row>
    <row r="8" spans="1:45" ht="12.75" customHeight="1" thickBot="1" x14ac:dyDescent="0.25">
      <c r="A8" s="17"/>
      <c r="B8" s="17"/>
      <c r="C8" s="38"/>
      <c r="D8" s="38"/>
      <c r="E8" s="38"/>
      <c r="F8" s="38"/>
      <c r="G8" s="38"/>
      <c r="H8" s="38"/>
      <c r="I8" s="38"/>
      <c r="J8" s="38"/>
      <c r="K8" s="38"/>
      <c r="L8" s="38"/>
      <c r="M8" s="17"/>
      <c r="N8" s="156"/>
      <c r="O8" s="11"/>
      <c r="P8" s="11">
        <v>2</v>
      </c>
      <c r="Q8" s="686"/>
      <c r="R8" s="686"/>
      <c r="S8" s="686"/>
      <c r="T8" s="686"/>
      <c r="U8" s="686"/>
      <c r="V8" s="686"/>
      <c r="W8" s="11"/>
      <c r="X8" s="11"/>
      <c r="Y8" s="11"/>
      <c r="Z8" s="11"/>
      <c r="AA8" s="11"/>
      <c r="AB8" s="11"/>
      <c r="AC8" s="11"/>
      <c r="AD8" s="11"/>
      <c r="AE8" s="471" t="s">
        <v>252</v>
      </c>
      <c r="AF8" s="465" t="s">
        <v>4698</v>
      </c>
      <c r="AG8" s="980">
        <f>E12</f>
        <v>19750.913828623812</v>
      </c>
      <c r="AH8" s="980">
        <f>SUM(E20,E36,E52)</f>
        <v>283883661021.60364</v>
      </c>
      <c r="AI8" s="980">
        <f>SUM(E28,E44,E68)</f>
        <v>1517907161.0363684</v>
      </c>
      <c r="AJ8" s="981">
        <f>SUM(E76,E84,E92)</f>
        <v>26646318.010278631</v>
      </c>
      <c r="AK8" s="11"/>
      <c r="AL8" s="11"/>
      <c r="AM8" s="11"/>
      <c r="AN8" s="11"/>
      <c r="AO8" s="11"/>
      <c r="AP8" s="11"/>
      <c r="AQ8" s="11"/>
      <c r="AR8" s="11"/>
      <c r="AS8" s="11"/>
    </row>
    <row r="9" spans="1:45" ht="12.75" customHeight="1" x14ac:dyDescent="0.2">
      <c r="A9" s="17"/>
      <c r="B9" s="157"/>
      <c r="C9" s="105" t="s">
        <v>73</v>
      </c>
      <c r="D9" s="79"/>
      <c r="E9" s="79"/>
      <c r="F9" s="79"/>
      <c r="G9" s="79"/>
      <c r="H9" s="79"/>
      <c r="I9" s="79"/>
      <c r="J9" s="79"/>
      <c r="K9" s="79"/>
      <c r="L9" s="102"/>
      <c r="M9" s="17"/>
      <c r="N9" s="156"/>
      <c r="O9" s="11"/>
      <c r="P9" s="973"/>
      <c r="Q9" s="474" t="s">
        <v>251</v>
      </c>
      <c r="R9" s="474" t="s">
        <v>252</v>
      </c>
      <c r="S9" s="474" t="s">
        <v>4696</v>
      </c>
      <c r="T9" s="474" t="s">
        <v>253</v>
      </c>
      <c r="U9" s="474" t="s">
        <v>254</v>
      </c>
      <c r="V9" s="475" t="s">
        <v>4697</v>
      </c>
      <c r="W9" s="11"/>
      <c r="X9" s="11"/>
      <c r="Y9" s="11"/>
      <c r="Z9" s="11"/>
      <c r="AA9" s="11"/>
      <c r="AB9" s="11"/>
      <c r="AC9" s="11"/>
      <c r="AD9" s="11"/>
      <c r="AE9" s="467"/>
      <c r="AF9" s="410" t="s">
        <v>4699</v>
      </c>
      <c r="AG9" s="686">
        <f>E15</f>
        <v>774.358168003017</v>
      </c>
      <c r="AH9" s="686">
        <f>SUM(E23,E39,E55)</f>
        <v>1.9230303611256603</v>
      </c>
      <c r="AI9" s="686">
        <f>SUM(E31,E47,E71)</f>
        <v>1.4702863208258701E-7</v>
      </c>
      <c r="AJ9" s="975">
        <f>SUM(E79,E87,E95)</f>
        <v>1.2081739772556849E-2</v>
      </c>
      <c r="AK9" s="11"/>
      <c r="AL9" s="11"/>
      <c r="AM9" s="11"/>
      <c r="AN9" s="11"/>
      <c r="AO9" s="11"/>
      <c r="AP9" s="11"/>
      <c r="AQ9" s="11"/>
      <c r="AR9" s="11"/>
      <c r="AS9" s="11"/>
    </row>
    <row r="10" spans="1:45" ht="12.75" customHeight="1" x14ac:dyDescent="0.2">
      <c r="A10" s="17"/>
      <c r="B10" s="158"/>
      <c r="C10" s="43" t="s">
        <v>108</v>
      </c>
      <c r="D10" s="43"/>
      <c r="E10" s="43" t="s">
        <v>109</v>
      </c>
      <c r="F10" s="43"/>
      <c r="G10" s="43" t="s">
        <v>110</v>
      </c>
      <c r="H10" s="43"/>
      <c r="I10" s="43" t="s">
        <v>111</v>
      </c>
      <c r="J10" s="43"/>
      <c r="K10" s="43" t="s">
        <v>112</v>
      </c>
      <c r="L10" s="44"/>
      <c r="M10" s="17"/>
      <c r="N10" s="156"/>
      <c r="O10" s="11"/>
      <c r="P10" s="467" t="s">
        <v>223</v>
      </c>
      <c r="Q10" s="686">
        <f>C99</f>
        <v>215645509.2334334</v>
      </c>
      <c r="R10" s="686">
        <f>E99</f>
        <v>285428234251.56409</v>
      </c>
      <c r="S10" s="686">
        <f>SUM(T10:V10)</f>
        <v>189789325616655.31</v>
      </c>
      <c r="T10" s="686">
        <f>G99</f>
        <v>45977025813959.102</v>
      </c>
      <c r="U10" s="686">
        <f>I99</f>
        <v>30441062219251.539</v>
      </c>
      <c r="V10" s="975">
        <f>K99</f>
        <v>113371237583444.66</v>
      </c>
      <c r="W10" s="11"/>
      <c r="X10" s="11"/>
      <c r="Y10" s="11"/>
      <c r="Z10" s="11"/>
      <c r="AA10" s="11"/>
      <c r="AB10" s="11"/>
      <c r="AC10" s="11"/>
      <c r="AD10" s="11"/>
      <c r="AE10" s="467"/>
      <c r="AF10" s="410" t="s">
        <v>4700</v>
      </c>
      <c r="AG10" s="686">
        <f>E16</f>
        <v>125758.68371138113</v>
      </c>
      <c r="AH10" s="686">
        <f>SUM(E24,E40,E56)</f>
        <v>8977806002.3208752</v>
      </c>
      <c r="AI10" s="686">
        <f>SUM(E32,E48,E72)</f>
        <v>228535677.05697003</v>
      </c>
      <c r="AJ10" s="975">
        <f>SUM(E80,E88,E96)</f>
        <v>339391.09882754902</v>
      </c>
      <c r="AK10" s="11"/>
      <c r="AL10" s="11"/>
      <c r="AM10" s="11"/>
      <c r="AN10" s="11"/>
      <c r="AO10" s="11"/>
      <c r="AP10" s="11"/>
      <c r="AQ10" s="11"/>
      <c r="AR10" s="11"/>
      <c r="AS10" s="11"/>
    </row>
    <row r="11" spans="1:45" ht="12.75" customHeight="1" x14ac:dyDescent="0.2">
      <c r="A11" s="17"/>
      <c r="B11" s="452" t="s">
        <v>117</v>
      </c>
      <c r="C11" s="453">
        <f>SUM(C12,C15:C17)</f>
        <v>53861.552851883891</v>
      </c>
      <c r="D11" s="446">
        <f t="shared" ref="D11:D17" si="0">C11/$C$103</f>
        <v>3.4638307540983682E-6</v>
      </c>
      <c r="E11" s="453">
        <f>SUM(E12,E15:E17)</f>
        <v>146289.46265059779</v>
      </c>
      <c r="F11" s="446">
        <f t="shared" ref="F11:F17" si="1">E11/$E$103</f>
        <v>4.9639093029475058E-7</v>
      </c>
      <c r="G11" s="445">
        <f>SUM(G12,G15:G17)</f>
        <v>104391.194073911</v>
      </c>
      <c r="H11" s="446">
        <f t="shared" ref="H11:H17" si="2">G11/$G$103</f>
        <v>2.2008127409808217E-9</v>
      </c>
      <c r="I11" s="445">
        <f>SUM(I12,I15:I17)</f>
        <v>24485.455159098739</v>
      </c>
      <c r="J11" s="446">
        <f t="shared" ref="J11:J17" si="3">I11/$I$103</f>
        <v>7.7970952882390464E-10</v>
      </c>
      <c r="K11" s="445">
        <f>SUM(K12,K15:K17)</f>
        <v>43211.405522259709</v>
      </c>
      <c r="L11" s="461">
        <f t="shared" ref="L11:L17" si="4">K11/$K$103</f>
        <v>3.6942731049546691E-10</v>
      </c>
      <c r="M11" s="17"/>
      <c r="N11" s="156"/>
      <c r="O11" s="11"/>
      <c r="P11" s="467" t="s">
        <v>224</v>
      </c>
      <c r="Q11" s="686">
        <f>C100</f>
        <v>9665.6942801245968</v>
      </c>
      <c r="R11" s="686">
        <f>E100</f>
        <v>776.29328025094401</v>
      </c>
      <c r="S11" s="686">
        <f>SUM(T11:V11)</f>
        <v>18.640289349654239</v>
      </c>
      <c r="T11" s="686">
        <f>G100</f>
        <v>18.312400687725571</v>
      </c>
      <c r="U11" s="686">
        <f>I100</f>
        <v>0.1251953317852173</v>
      </c>
      <c r="V11" s="975">
        <f>K100</f>
        <v>0.20269333014345164</v>
      </c>
      <c r="W11" s="11"/>
      <c r="X11" s="11"/>
      <c r="Y11" s="11"/>
      <c r="Z11" s="11"/>
      <c r="AA11" s="11"/>
      <c r="AB11" s="11"/>
      <c r="AC11" s="11"/>
      <c r="AD11" s="11"/>
      <c r="AE11" s="464"/>
      <c r="AF11" s="479" t="s">
        <v>4701</v>
      </c>
      <c r="AG11" s="978">
        <f>E17</f>
        <v>5.506942589822696</v>
      </c>
      <c r="AH11" s="978">
        <f>SUM(E25,E41,E57)</f>
        <v>364497.95103256078</v>
      </c>
      <c r="AI11" s="978">
        <f>SUM(E33,E49,E73)</f>
        <v>5694839.2510539275</v>
      </c>
      <c r="AJ11" s="979">
        <f>SUM(E81,E89,E97)</f>
        <v>65054216.394516654</v>
      </c>
      <c r="AK11" s="11"/>
      <c r="AL11" s="11"/>
      <c r="AM11" s="11"/>
      <c r="AN11" s="11"/>
      <c r="AO11" s="11"/>
      <c r="AP11" s="11"/>
      <c r="AQ11" s="11"/>
      <c r="AR11" s="11"/>
      <c r="AS11" s="11"/>
    </row>
    <row r="12" spans="1:45" ht="12.75" customHeight="1" x14ac:dyDescent="0.2">
      <c r="A12" s="17"/>
      <c r="B12" s="443" t="s">
        <v>121</v>
      </c>
      <c r="C12" s="295">
        <f>(M.aRG)*Molweight</f>
        <v>19834.485140858316</v>
      </c>
      <c r="D12" s="446">
        <f t="shared" si="0"/>
        <v>1.2755536367757942E-6</v>
      </c>
      <c r="E12" s="296">
        <f>(M.aCG)*Molweight</f>
        <v>19750.913828623812</v>
      </c>
      <c r="F12" s="446">
        <f t="shared" si="1"/>
        <v>6.7019006782317719E-8</v>
      </c>
      <c r="G12" s="296">
        <f>(M.aMG)*Molweight</f>
        <v>3028.251774849517</v>
      </c>
      <c r="H12" s="446">
        <f t="shared" si="2"/>
        <v>6.3842694281932699E-11</v>
      </c>
      <c r="I12" s="296">
        <f>(M.aAG)*Molweight</f>
        <v>131.88737978947134</v>
      </c>
      <c r="J12" s="446">
        <f t="shared" si="3"/>
        <v>4.1997931459834525E-12</v>
      </c>
      <c r="K12" s="296">
        <f>(M.aTG)*Molweight</f>
        <v>234.44037378546398</v>
      </c>
      <c r="L12" s="461">
        <f t="shared" si="4"/>
        <v>2.0043013114789972E-12</v>
      </c>
      <c r="M12" s="17"/>
      <c r="N12" s="156"/>
      <c r="O12" s="11"/>
      <c r="P12" s="467" t="s">
        <v>225</v>
      </c>
      <c r="Q12" s="686">
        <f>C101</f>
        <v>16719999.342810001</v>
      </c>
      <c r="R12" s="686">
        <f>E101</f>
        <v>9206806829.1603832</v>
      </c>
      <c r="S12" s="686">
        <f>SUM(T12:V12)</f>
        <v>6014214592716.249</v>
      </c>
      <c r="T12" s="686">
        <f>G101</f>
        <v>1455783843856.6829</v>
      </c>
      <c r="U12" s="686">
        <f>I101</f>
        <v>962173378163.35962</v>
      </c>
      <c r="V12" s="975">
        <f>K101</f>
        <v>3596257370696.2065</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2">
      <c r="A13" s="17"/>
      <c r="B13" s="159" t="s">
        <v>123</v>
      </c>
      <c r="C13" s="295">
        <f>FRgas.aR*C12</f>
        <v>8.3953926698934575E-9</v>
      </c>
      <c r="D13" s="446">
        <f t="shared" si="0"/>
        <v>5.3990681261414549E-19</v>
      </c>
      <c r="E13" s="296">
        <f>FRgas.aC*E12</f>
        <v>8.3600192292841189E-9</v>
      </c>
      <c r="F13" s="446">
        <f t="shared" si="1"/>
        <v>2.8367304434072239E-20</v>
      </c>
      <c r="G13" s="296">
        <f>FRgas.aC*G12</f>
        <v>1.281775784579973E-9</v>
      </c>
      <c r="H13" s="446">
        <f t="shared" si="2"/>
        <v>2.7022858611876856E-23</v>
      </c>
      <c r="I13" s="296">
        <f>FRgas.aC*I12</f>
        <v>5.5824304673031063E-11</v>
      </c>
      <c r="J13" s="446">
        <f t="shared" si="3"/>
        <v>1.7776570625584922E-24</v>
      </c>
      <c r="K13" s="296">
        <f>FRgas.aC*K12</f>
        <v>9.9232169709870964E-11</v>
      </c>
      <c r="L13" s="461">
        <f t="shared" si="4"/>
        <v>8.4836568326070755E-25</v>
      </c>
      <c r="M13" s="17"/>
      <c r="N13" s="156"/>
      <c r="O13" s="11"/>
      <c r="P13" s="464" t="s">
        <v>227</v>
      </c>
      <c r="Q13" s="978">
        <f>C102</f>
        <v>15317331689.482986</v>
      </c>
      <c r="R13" s="978">
        <f>E102</f>
        <v>71113559.103545725</v>
      </c>
      <c r="S13" s="978">
        <f>SUM(T13:V13)</f>
        <v>1410857054.2652345</v>
      </c>
      <c r="T13" s="978">
        <f>G102</f>
        <v>210030786.78192335</v>
      </c>
      <c r="U13" s="978">
        <f>I102</f>
        <v>68138056.850550711</v>
      </c>
      <c r="V13" s="979">
        <f>K102</f>
        <v>1132688210.6327603</v>
      </c>
      <c r="W13" s="11"/>
      <c r="X13" s="11"/>
      <c r="Y13" s="11"/>
      <c r="Z13" s="11"/>
      <c r="AA13" s="11"/>
      <c r="AB13" s="11"/>
      <c r="AC13" s="11"/>
      <c r="AD13" s="11"/>
      <c r="AE13" s="471" t="s">
        <v>4696</v>
      </c>
      <c r="AF13" s="465" t="s">
        <v>4698</v>
      </c>
      <c r="AG13" s="980">
        <f t="shared" ref="AG13:AJ16" si="5">SUM(AG18,AG23,AG28)</f>
        <v>3394.5795284244523</v>
      </c>
      <c r="AH13" s="980">
        <f t="shared" si="5"/>
        <v>189723878481894.31</v>
      </c>
      <c r="AI13" s="980">
        <f t="shared" si="5"/>
        <v>65444284137.917244</v>
      </c>
      <c r="AJ13" s="981">
        <f t="shared" si="5"/>
        <v>2847228.4838516181</v>
      </c>
      <c r="AK13" s="11"/>
      <c r="AL13" s="11"/>
      <c r="AM13" s="11"/>
      <c r="AN13" s="11"/>
      <c r="AO13" s="11"/>
      <c r="AP13" s="11"/>
      <c r="AQ13" s="11"/>
      <c r="AR13" s="11"/>
      <c r="AS13" s="11"/>
    </row>
    <row r="14" spans="1:45" ht="12.75" customHeight="1" x14ac:dyDescent="0.2">
      <c r="A14" s="17"/>
      <c r="B14" s="159" t="s">
        <v>126</v>
      </c>
      <c r="C14" s="295">
        <f>(1-FRgas.aR)*C12</f>
        <v>19834.485140849923</v>
      </c>
      <c r="D14" s="446">
        <f t="shared" si="0"/>
        <v>1.2755536367752544E-6</v>
      </c>
      <c r="E14" s="296">
        <f>(1-FRgas.aC)*E12</f>
        <v>19750.913828615452</v>
      </c>
      <c r="F14" s="446">
        <f t="shared" si="1"/>
        <v>6.7019006782289357E-8</v>
      </c>
      <c r="G14" s="296">
        <f>(1-FRgas.aC)*G12</f>
        <v>3028.2517748482355</v>
      </c>
      <c r="H14" s="446">
        <f t="shared" si="2"/>
        <v>6.3842694281905686E-11</v>
      </c>
      <c r="I14" s="296">
        <f>(1-FRgas.aC)*I12</f>
        <v>131.88737978941552</v>
      </c>
      <c r="J14" s="446">
        <f t="shared" si="3"/>
        <v>4.1997931459816754E-12</v>
      </c>
      <c r="K14" s="296">
        <f>(1-FRgas.aC)*K12</f>
        <v>234.44037378536476</v>
      </c>
      <c r="L14" s="461">
        <f t="shared" si="4"/>
        <v>2.004301311478149E-12</v>
      </c>
      <c r="M14" s="17"/>
      <c r="N14" s="156"/>
      <c r="O14" s="11"/>
      <c r="P14" t="s">
        <v>4702</v>
      </c>
      <c r="Q14" s="335"/>
      <c r="R14" s="686"/>
      <c r="S14" s="686"/>
      <c r="T14" s="686"/>
      <c r="U14" s="686"/>
      <c r="V14" s="686"/>
      <c r="W14" s="11"/>
      <c r="X14" s="11"/>
      <c r="Y14" s="11"/>
      <c r="Z14" s="11"/>
      <c r="AA14" s="11"/>
      <c r="AB14" s="11"/>
      <c r="AC14" s="11"/>
      <c r="AD14" s="11"/>
      <c r="AE14" s="467"/>
      <c r="AF14" s="410" t="s">
        <v>4699</v>
      </c>
      <c r="AG14" s="686">
        <f t="shared" si="5"/>
        <v>18.631548869811304</v>
      </c>
      <c r="AH14" s="686">
        <f t="shared" si="5"/>
        <v>8.4327771452449747E-3</v>
      </c>
      <c r="AI14" s="686">
        <f t="shared" si="5"/>
        <v>9.3563930228439055E-19</v>
      </c>
      <c r="AJ14" s="975">
        <f t="shared" si="5"/>
        <v>3.0770269768738196E-4</v>
      </c>
      <c r="AK14" s="11"/>
      <c r="AL14" s="11"/>
      <c r="AM14" s="11"/>
      <c r="AN14" s="11"/>
      <c r="AO14" s="11"/>
      <c r="AP14" s="11"/>
      <c r="AQ14" s="11"/>
      <c r="AR14" s="11"/>
      <c r="AS14" s="11"/>
    </row>
    <row r="15" spans="1:45" ht="12.75" customHeight="1" x14ac:dyDescent="0.2">
      <c r="A15" s="17"/>
      <c r="B15" s="159" t="s">
        <v>128</v>
      </c>
      <c r="C15" s="295">
        <f>(M.aRS+M.cwRS)*Molweight</f>
        <v>4853.2499357005527</v>
      </c>
      <c r="D15" s="446">
        <f t="shared" si="0"/>
        <v>3.1211198887700687E-7</v>
      </c>
      <c r="E15" s="296">
        <f>(M.aCS+M.cwCS)*Molweight</f>
        <v>774.358168003017</v>
      </c>
      <c r="F15" s="446">
        <f t="shared" si="1"/>
        <v>2.6275602113217935E-9</v>
      </c>
      <c r="G15" s="296">
        <f>(M.aMS+M.cwMS)*Molweight</f>
        <v>18.303860597946002</v>
      </c>
      <c r="H15" s="446">
        <f t="shared" si="2"/>
        <v>3.858885796878135E-13</v>
      </c>
      <c r="I15" s="296">
        <f>(M.aAS+M.cwAS)*Molweight</f>
        <v>0.12512672751594622</v>
      </c>
      <c r="J15" s="446">
        <f t="shared" si="3"/>
        <v>3.9845083998155344E-15</v>
      </c>
      <c r="K15" s="296">
        <f>(M.aTS+M.cwTS)*Molweight</f>
        <v>0.20256154434935589</v>
      </c>
      <c r="L15" s="461">
        <f t="shared" si="4"/>
        <v>1.7317596045387211E-15</v>
      </c>
      <c r="M15" s="17"/>
      <c r="N15" s="156"/>
      <c r="O15" s="11"/>
      <c r="P15" s="476"/>
      <c r="Q15" s="477" t="s">
        <v>251</v>
      </c>
      <c r="R15" s="477" t="s">
        <v>252</v>
      </c>
      <c r="S15" s="477" t="s">
        <v>4696</v>
      </c>
      <c r="T15" s="477" t="s">
        <v>253</v>
      </c>
      <c r="U15" s="477" t="s">
        <v>254</v>
      </c>
      <c r="V15" s="478" t="s">
        <v>4697</v>
      </c>
      <c r="W15" s="11"/>
      <c r="X15" s="11"/>
      <c r="Y15" s="11"/>
      <c r="Z15" s="11"/>
      <c r="AA15" s="11"/>
      <c r="AB15" s="11"/>
      <c r="AC15" s="11"/>
      <c r="AD15" s="11"/>
      <c r="AE15" s="467"/>
      <c r="AF15" s="410" t="s">
        <v>4700</v>
      </c>
      <c r="AG15" s="686">
        <f t="shared" si="5"/>
        <v>168674.66160984914</v>
      </c>
      <c r="AH15" s="686">
        <f t="shared" si="5"/>
        <v>6004359951773.041</v>
      </c>
      <c r="AI15" s="686">
        <f t="shared" si="5"/>
        <v>9854216355.9472122</v>
      </c>
      <c r="AJ15" s="975">
        <f t="shared" si="5"/>
        <v>255912.59883127394</v>
      </c>
      <c r="AK15" s="11"/>
      <c r="AL15" s="11"/>
      <c r="AM15" s="11"/>
      <c r="AN15" s="11"/>
      <c r="AO15" s="11"/>
      <c r="AP15" s="11"/>
      <c r="AQ15" s="11"/>
      <c r="AR15" s="11"/>
      <c r="AS15" s="11"/>
    </row>
    <row r="16" spans="1:45" ht="12.75" customHeight="1" x14ac:dyDescent="0.2">
      <c r="A16" s="17"/>
      <c r="B16" s="159" t="s">
        <v>131</v>
      </c>
      <c r="C16" s="295">
        <f>(M.aRA+M.cwRA)*Molweight</f>
        <v>29155.359756389829</v>
      </c>
      <c r="D16" s="446">
        <f t="shared" si="0"/>
        <v>1.87497809520456E-6</v>
      </c>
      <c r="E16" s="296">
        <f>(M.aCA+M.cwCA)*Molweight</f>
        <v>125758.68371138113</v>
      </c>
      <c r="F16" s="446">
        <f t="shared" si="1"/>
        <v>4.2672567708608427E-7</v>
      </c>
      <c r="G16" s="296">
        <f>(M.aMA+M.cwMA)*Molweight</f>
        <v>101344.46139864756</v>
      </c>
      <c r="H16" s="446">
        <f t="shared" si="2"/>
        <v>2.1365804257020553E-9</v>
      </c>
      <c r="I16" s="296">
        <f>(M.aAA+M.cwAA)*Molweight</f>
        <v>24353.438951290471</v>
      </c>
      <c r="J16" s="446">
        <f t="shared" si="3"/>
        <v>7.7550563330640378E-10</v>
      </c>
      <c r="K16" s="296">
        <f>(M.aTA+M.cwTA)*Molweight</f>
        <v>42976.761259911116</v>
      </c>
      <c r="L16" s="461">
        <f t="shared" si="4"/>
        <v>3.6742126607930046E-10</v>
      </c>
      <c r="M16" s="17"/>
      <c r="N16" s="156"/>
      <c r="O16" s="11"/>
      <c r="P16" s="472" t="s">
        <v>224</v>
      </c>
      <c r="Q16" s="982">
        <f t="shared" ref="Q16:V18" si="6">Q11</f>
        <v>9665.6942801245968</v>
      </c>
      <c r="R16" s="982">
        <f t="shared" si="6"/>
        <v>776.29328025094401</v>
      </c>
      <c r="S16" s="982">
        <f t="shared" si="6"/>
        <v>18.640289349654239</v>
      </c>
      <c r="T16" s="982">
        <f t="shared" si="6"/>
        <v>18.312400687725571</v>
      </c>
      <c r="U16" s="982">
        <f t="shared" si="6"/>
        <v>0.1251953317852173</v>
      </c>
      <c r="V16" s="983">
        <f t="shared" si="6"/>
        <v>0.20269333014345164</v>
      </c>
      <c r="W16" s="11"/>
      <c r="X16" s="11"/>
      <c r="Y16" s="11"/>
      <c r="Z16" s="11"/>
      <c r="AA16" s="11"/>
      <c r="AB16" s="11"/>
      <c r="AC16" s="11"/>
      <c r="AD16" s="11"/>
      <c r="AE16" s="464"/>
      <c r="AF16" s="479" t="s">
        <v>4701</v>
      </c>
      <c r="AG16" s="978">
        <f t="shared" si="5"/>
        <v>0.18206812602295061</v>
      </c>
      <c r="AH16" s="978">
        <f t="shared" si="5"/>
        <v>704488414.24902761</v>
      </c>
      <c r="AI16" s="978">
        <f t="shared" si="5"/>
        <v>705733679.92275071</v>
      </c>
      <c r="AJ16" s="979">
        <f t="shared" si="5"/>
        <v>634959.9113878276</v>
      </c>
      <c r="AK16" s="11"/>
      <c r="AL16" s="11"/>
      <c r="AM16" s="11"/>
      <c r="AN16" s="11"/>
      <c r="AO16" s="11"/>
      <c r="AP16" s="11"/>
      <c r="AQ16" s="11"/>
      <c r="AR16" s="11"/>
      <c r="AS16" s="11"/>
    </row>
    <row r="17" spans="1:45" ht="12.75" customHeight="1" x14ac:dyDescent="0.2">
      <c r="A17" s="17"/>
      <c r="B17" s="159" t="s">
        <v>133</v>
      </c>
      <c r="C17" s="295">
        <f>(M.aRP+M.cwRP)*Molweight</f>
        <v>18.458018935187482</v>
      </c>
      <c r="D17" s="446">
        <f t="shared" si="0"/>
        <v>1.1870332410068303E-9</v>
      </c>
      <c r="E17" s="296">
        <f>(M.aCP+M.cwCP)*Molweight</f>
        <v>5.506942589822696</v>
      </c>
      <c r="F17" s="446">
        <f t="shared" si="1"/>
        <v>1.8686215026784779E-11</v>
      </c>
      <c r="G17" s="296">
        <f>(M.aMP+M.cwMP)*Molweight</f>
        <v>0.17703981596772794</v>
      </c>
      <c r="H17" s="446">
        <f t="shared" si="2"/>
        <v>3.7324171459022578E-15</v>
      </c>
      <c r="I17" s="296">
        <f>(M.aAP+M.cwAP)*Molweight</f>
        <v>3.7012912799567425E-3</v>
      </c>
      <c r="J17" s="446">
        <f t="shared" si="3"/>
        <v>1.1786311756033224E-16</v>
      </c>
      <c r="K17" s="296">
        <f>(M.aTP+M.cwTP)*Molweight</f>
        <v>1.3270187752659124E-3</v>
      </c>
      <c r="L17" s="461">
        <f t="shared" si="4"/>
        <v>1.134508288259534E-17</v>
      </c>
      <c r="M17" s="17"/>
      <c r="N17" s="156"/>
      <c r="O17" s="11"/>
      <c r="P17" s="472" t="s">
        <v>225</v>
      </c>
      <c r="Q17" s="982">
        <f t="shared" si="6"/>
        <v>16719999.342810001</v>
      </c>
      <c r="R17" s="982">
        <f t="shared" si="6"/>
        <v>9206806829.1603832</v>
      </c>
      <c r="S17" s="982">
        <f t="shared" si="6"/>
        <v>6014214592716.249</v>
      </c>
      <c r="T17" s="982">
        <f t="shared" si="6"/>
        <v>1455783843856.6829</v>
      </c>
      <c r="U17" s="982">
        <f t="shared" si="6"/>
        <v>962173378163.35962</v>
      </c>
      <c r="V17" s="983">
        <f t="shared" si="6"/>
        <v>3596257370696.2065</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2">
      <c r="A18" s="17"/>
      <c r="B18" s="159"/>
      <c r="C18" s="295"/>
      <c r="D18" s="446"/>
      <c r="E18" s="296"/>
      <c r="F18" s="446"/>
      <c r="G18" s="296"/>
      <c r="H18" s="446"/>
      <c r="I18" s="296"/>
      <c r="J18" s="446"/>
      <c r="K18" s="296"/>
      <c r="L18" s="461"/>
      <c r="M18" s="17"/>
      <c r="N18" s="156"/>
      <c r="O18" s="11"/>
      <c r="P18" s="473" t="s">
        <v>227</v>
      </c>
      <c r="Q18" s="984">
        <f t="shared" si="6"/>
        <v>15317331689.482986</v>
      </c>
      <c r="R18" s="984">
        <f t="shared" si="6"/>
        <v>71113559.103545725</v>
      </c>
      <c r="S18" s="984">
        <f t="shared" si="6"/>
        <v>1410857054.2652345</v>
      </c>
      <c r="T18" s="984">
        <f t="shared" si="6"/>
        <v>210030786.78192335</v>
      </c>
      <c r="U18" s="984">
        <f t="shared" si="6"/>
        <v>68138056.850550711</v>
      </c>
      <c r="V18" s="985">
        <f t="shared" si="6"/>
        <v>1132688210.6327603</v>
      </c>
      <c r="W18" s="11"/>
      <c r="X18" s="11"/>
      <c r="Y18" s="11"/>
      <c r="Z18" s="11"/>
      <c r="AA18" s="11"/>
      <c r="AB18" s="11"/>
      <c r="AC18" s="11"/>
      <c r="AD18" s="11"/>
      <c r="AE18" s="471" t="s">
        <v>253</v>
      </c>
      <c r="AF18" s="465" t="s">
        <v>4698</v>
      </c>
      <c r="AG18" s="980">
        <f>G12</f>
        <v>3028.251774849517</v>
      </c>
      <c r="AH18" s="980">
        <f>SUM(G52,G60)</f>
        <v>45961172494598.031</v>
      </c>
      <c r="AI18" s="980">
        <f>G68</f>
        <v>15850782373.682453</v>
      </c>
      <c r="AJ18" s="981">
        <f>G92</f>
        <v>2533959.1337734223</v>
      </c>
      <c r="AK18" s="11"/>
      <c r="AL18" s="11"/>
      <c r="AM18" s="11"/>
      <c r="AN18" s="11"/>
      <c r="AO18" s="11"/>
      <c r="AP18" s="11"/>
      <c r="AQ18" s="11"/>
      <c r="AR18" s="11"/>
      <c r="AS18" s="11"/>
    </row>
    <row r="19" spans="1:45" ht="12.75" customHeight="1" x14ac:dyDescent="0.2">
      <c r="A19" s="17"/>
      <c r="B19" s="104" t="s">
        <v>138</v>
      </c>
      <c r="C19" s="295">
        <f>SUM(C20,C23:C25)</f>
        <v>21801.226123792443</v>
      </c>
      <c r="D19" s="446">
        <f t="shared" ref="D19:D25" si="7">C19/$C$103</f>
        <v>1.4020345408961552E-6</v>
      </c>
      <c r="E19" s="295">
        <f>SUM(E20,E23:E25)</f>
        <v>152749.76817239696</v>
      </c>
      <c r="F19" s="446">
        <f t="shared" ref="F19:F25" si="8">E19/$E$103</f>
        <v>5.1831210636478316E-7</v>
      </c>
      <c r="G19" s="296"/>
      <c r="H19" s="446"/>
      <c r="I19" s="296"/>
      <c r="J19" s="446"/>
      <c r="K19" s="296"/>
      <c r="L19" s="461"/>
      <c r="M19" s="17"/>
      <c r="N19" s="156"/>
      <c r="O19" s="11"/>
      <c r="P19" s="11">
        <v>4</v>
      </c>
      <c r="Q19" s="686"/>
      <c r="R19" s="686"/>
      <c r="S19" s="686"/>
      <c r="T19" s="686"/>
      <c r="U19" s="686"/>
      <c r="V19" s="686"/>
      <c r="W19" s="11"/>
      <c r="X19" s="11"/>
      <c r="Y19" s="11"/>
      <c r="Z19" s="11"/>
      <c r="AA19" s="11"/>
      <c r="AB19" s="11"/>
      <c r="AC19" s="11"/>
      <c r="AD19" s="11"/>
      <c r="AE19" s="467"/>
      <c r="AF19" s="410" t="s">
        <v>4699</v>
      </c>
      <c r="AG19" s="686">
        <f>G15</f>
        <v>18.303860597946002</v>
      </c>
      <c r="AH19" s="686">
        <f>SUM(G55,G63)</f>
        <v>8.2360655427443936E-3</v>
      </c>
      <c r="AI19" s="335">
        <f>G71</f>
        <v>9.1433748093940993E-19</v>
      </c>
      <c r="AJ19" s="975">
        <f>G95</f>
        <v>3.0402423682114566E-4</v>
      </c>
      <c r="AK19" s="11"/>
      <c r="AL19" s="11"/>
      <c r="AM19" s="11"/>
      <c r="AN19" s="11"/>
      <c r="AO19" s="11"/>
      <c r="AP19" s="11"/>
      <c r="AQ19" s="11"/>
      <c r="AR19" s="11"/>
      <c r="AS19" s="11"/>
    </row>
    <row r="20" spans="1:45" ht="12.75" customHeight="1" x14ac:dyDescent="0.2">
      <c r="A20" s="17"/>
      <c r="B20" s="443" t="s">
        <v>121</v>
      </c>
      <c r="C20" s="295">
        <f>M.w0RD*Molweight</f>
        <v>14093.123275116644</v>
      </c>
      <c r="D20" s="446">
        <f t="shared" si="7"/>
        <v>9.0632726382564983E-7</v>
      </c>
      <c r="E20" s="295">
        <f>M.w0CD*Molweight</f>
        <v>75311.387853656925</v>
      </c>
      <c r="F20" s="446">
        <f t="shared" si="8"/>
        <v>2.5554738667510429E-7</v>
      </c>
      <c r="G20" s="296"/>
      <c r="H20" s="446"/>
      <c r="I20" s="296"/>
      <c r="J20" s="446"/>
      <c r="K20" s="296"/>
      <c r="L20" s="461"/>
      <c r="M20" s="17"/>
      <c r="N20" s="156"/>
      <c r="O20" s="11"/>
      <c r="P20" s="973"/>
      <c r="Q20" s="474" t="s">
        <v>251</v>
      </c>
      <c r="R20" s="474" t="s">
        <v>252</v>
      </c>
      <c r="S20" s="474" t="s">
        <v>4696</v>
      </c>
      <c r="T20" s="474" t="s">
        <v>253</v>
      </c>
      <c r="U20" s="474" t="s">
        <v>254</v>
      </c>
      <c r="V20" s="475" t="s">
        <v>4697</v>
      </c>
      <c r="W20" s="11"/>
      <c r="X20" s="11"/>
      <c r="Y20" s="11"/>
      <c r="Z20" s="11"/>
      <c r="AA20" s="11"/>
      <c r="AB20" s="11"/>
      <c r="AC20" s="11"/>
      <c r="AD20" s="11"/>
      <c r="AE20" s="467"/>
      <c r="AF20" s="410" t="s">
        <v>4700</v>
      </c>
      <c r="AG20" s="686">
        <f>G16</f>
        <v>101344.46139864756</v>
      </c>
      <c r="AH20" s="686">
        <f>SUM(G56,G64)</f>
        <v>1453398942627.969</v>
      </c>
      <c r="AI20" s="335">
        <f>G72</f>
        <v>2384639688.3104267</v>
      </c>
      <c r="AJ20" s="975">
        <f>G96</f>
        <v>160195.94189591595</v>
      </c>
      <c r="AK20" s="11"/>
      <c r="AL20" s="11"/>
      <c r="AM20" s="11"/>
      <c r="AN20" s="11"/>
      <c r="AO20" s="11"/>
      <c r="AP20" s="11"/>
      <c r="AQ20" s="11"/>
      <c r="AR20" s="11"/>
      <c r="AS20" s="11"/>
    </row>
    <row r="21" spans="1:45" ht="12.75" customHeight="1" x14ac:dyDescent="0.2">
      <c r="A21" s="17"/>
      <c r="B21" s="159" t="s">
        <v>142</v>
      </c>
      <c r="C21" s="295">
        <f>FRwD.w0R*C20</f>
        <v>14089.319158943727</v>
      </c>
      <c r="D21" s="446">
        <f t="shared" si="7"/>
        <v>9.0608262151783979E-7</v>
      </c>
      <c r="E21" s="295">
        <f>FRw.w0C*E20</f>
        <v>75291.059267654637</v>
      </c>
      <c r="F21" s="446">
        <f t="shared" si="8"/>
        <v>2.5547840750507786E-7</v>
      </c>
      <c r="G21" s="296"/>
      <c r="H21" s="446"/>
      <c r="I21" s="296"/>
      <c r="J21" s="446"/>
      <c r="K21" s="296"/>
      <c r="L21" s="461"/>
      <c r="M21" s="17"/>
      <c r="N21" s="156"/>
      <c r="O21" s="11"/>
      <c r="P21" s="464" t="s">
        <v>4703</v>
      </c>
      <c r="Q21" s="978">
        <f>$C$103</f>
        <v>15549706863.75351</v>
      </c>
      <c r="R21" s="978">
        <f>$E$103</f>
        <v>294706155416.12128</v>
      </c>
      <c r="S21" s="978">
        <f>SUM(T21:V21)</f>
        <v>195804951066444.44</v>
      </c>
      <c r="T21" s="978">
        <f>$G$103</f>
        <v>47433019688620.875</v>
      </c>
      <c r="U21" s="978">
        <f>$I$103</f>
        <v>31403303735471.875</v>
      </c>
      <c r="V21" s="979">
        <f>$K$103</f>
        <v>116968627642351.69</v>
      </c>
      <c r="W21" s="410">
        <v>2</v>
      </c>
      <c r="X21" s="410" t="s">
        <v>4704</v>
      </c>
      <c r="Y21" s="11"/>
      <c r="Z21" s="11"/>
      <c r="AA21" s="11"/>
      <c r="AB21" s="11"/>
      <c r="AC21" s="11"/>
      <c r="AD21" s="11"/>
      <c r="AE21" s="467"/>
      <c r="AF21" s="410" t="s">
        <v>4701</v>
      </c>
      <c r="AG21" s="686">
        <f>G17</f>
        <v>0.17703981596772794</v>
      </c>
      <c r="AH21" s="686">
        <f>SUM(G57,G65)</f>
        <v>104705978.13866331</v>
      </c>
      <c r="AI21" s="335">
        <f>G73</f>
        <v>104697839.1626984</v>
      </c>
      <c r="AJ21" s="975">
        <f>G97</f>
        <v>626969.30352182093</v>
      </c>
      <c r="AK21" s="410">
        <v>6</v>
      </c>
      <c r="AL21" s="410" t="s">
        <v>4705</v>
      </c>
      <c r="AM21" s="11"/>
      <c r="AN21" s="11"/>
      <c r="AO21" s="11"/>
      <c r="AP21" s="11"/>
      <c r="AQ21" s="11"/>
      <c r="AR21" s="11"/>
      <c r="AS21" s="11"/>
    </row>
    <row r="22" spans="1:45" ht="12.75" customHeight="1" x14ac:dyDescent="0.2">
      <c r="A22" s="17"/>
      <c r="B22" s="159" t="s">
        <v>144</v>
      </c>
      <c r="C22" s="295">
        <f>(1-FRwD.w0R)*C20</f>
        <v>3.8041161729175528</v>
      </c>
      <c r="D22" s="446">
        <f t="shared" si="7"/>
        <v>2.4464230780999337E-10</v>
      </c>
      <c r="E22" s="295">
        <f>(1-FRw.w0C)*E20</f>
        <v>20.32858600228143</v>
      </c>
      <c r="F22" s="446">
        <f t="shared" si="8"/>
        <v>6.8979170026420824E-11</v>
      </c>
      <c r="G22" s="296"/>
      <c r="H22" s="446"/>
      <c r="I22" s="296"/>
      <c r="J22" s="446"/>
      <c r="K22" s="296"/>
      <c r="L22" s="461"/>
      <c r="M22" s="17"/>
      <c r="N22" s="156"/>
      <c r="O22" s="11"/>
      <c r="P22" s="11"/>
      <c r="Q22" s="11"/>
      <c r="R22" s="11"/>
      <c r="S22" s="11"/>
      <c r="T22" s="11"/>
      <c r="U22" s="11"/>
      <c r="V22" s="11"/>
      <c r="W22" s="11"/>
      <c r="X22" t="s">
        <v>4706</v>
      </c>
      <c r="Y22" s="11"/>
      <c r="Z22" s="11"/>
      <c r="AA22" s="11"/>
      <c r="AB22" s="11"/>
      <c r="AC22" s="11"/>
      <c r="AD22" s="11"/>
      <c r="AE22" s="974"/>
      <c r="AF22" s="11"/>
      <c r="AG22" s="686"/>
      <c r="AH22" s="686"/>
      <c r="AI22" s="686"/>
      <c r="AJ22" s="975"/>
      <c r="AK22" s="11"/>
      <c r="AL22"/>
      <c r="AM22" s="11"/>
      <c r="AN22" s="11"/>
      <c r="AO22" s="11"/>
      <c r="AP22" s="11"/>
      <c r="AQ22" s="11"/>
      <c r="AR22" s="11"/>
      <c r="AS22" s="11"/>
    </row>
    <row r="23" spans="1:45" ht="12.75" customHeight="1" x14ac:dyDescent="0.2">
      <c r="A23" s="17"/>
      <c r="B23" s="159" t="s">
        <v>128</v>
      </c>
      <c r="C23" s="295">
        <f>M.w0RS*Molweight</f>
        <v>1.4328348343340476</v>
      </c>
      <c r="D23" s="446">
        <f t="shared" si="7"/>
        <v>9.2145456302716349E-11</v>
      </c>
      <c r="E23" s="295">
        <f>M.w0CS*Molweight</f>
        <v>0.11121903719453156</v>
      </c>
      <c r="F23" s="446">
        <f t="shared" si="8"/>
        <v>3.773895968935285E-13</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254</v>
      </c>
      <c r="AF23" s="410" t="s">
        <v>4698</v>
      </c>
      <c r="AG23" s="686">
        <f>I12</f>
        <v>131.88737978947134</v>
      </c>
      <c r="AH23" s="686">
        <f>SUM(I52,I60)</f>
        <v>30430640695335.715</v>
      </c>
      <c r="AI23" s="686">
        <f>I68</f>
        <v>10421275473.111683</v>
      </c>
      <c r="AJ23" s="975">
        <f>I92</f>
        <v>248310.82447821769</v>
      </c>
      <c r="AK23" s="11"/>
      <c r="AL23"/>
      <c r="AM23" s="11"/>
      <c r="AN23" s="11"/>
      <c r="AO23" s="11"/>
      <c r="AP23" s="11"/>
      <c r="AQ23" s="11"/>
      <c r="AR23" s="410" t="s">
        <v>4707</v>
      </c>
      <c r="AS23" s="410" t="s">
        <v>4708</v>
      </c>
    </row>
    <row r="24" spans="1:45" ht="12.75" customHeight="1" x14ac:dyDescent="0.2">
      <c r="A24" s="17"/>
      <c r="B24" s="159" t="s">
        <v>131</v>
      </c>
      <c r="C24" s="295">
        <f>M.w0RA*Molweight</f>
        <v>7700.8643655397964</v>
      </c>
      <c r="D24" s="446">
        <f t="shared" si="7"/>
        <v>4.9524177098737291E-7</v>
      </c>
      <c r="E24" s="295">
        <f>M.w0CA*Molweight</f>
        <v>77437.393667910015</v>
      </c>
      <c r="F24" s="446">
        <f t="shared" si="8"/>
        <v>2.6276137177579282E-7</v>
      </c>
      <c r="G24" s="296"/>
      <c r="H24" s="446"/>
      <c r="I24" s="296"/>
      <c r="J24" s="446"/>
      <c r="K24" s="296"/>
      <c r="L24" s="461"/>
      <c r="M24" s="17"/>
      <c r="N24" s="156"/>
      <c r="O24" s="11"/>
      <c r="P24" s="11">
        <v>4</v>
      </c>
      <c r="Q24" s="410" t="s">
        <v>4709</v>
      </c>
      <c r="R24" s="11"/>
      <c r="S24" s="11"/>
      <c r="T24" s="11"/>
      <c r="U24" s="11"/>
      <c r="V24" s="11"/>
      <c r="W24" s="11"/>
      <c r="X24" s="11"/>
      <c r="Y24" s="11"/>
      <c r="Z24" s="11"/>
      <c r="AA24" s="11"/>
      <c r="AB24" s="11"/>
      <c r="AC24" s="11"/>
      <c r="AD24" s="11"/>
      <c r="AE24" s="467"/>
      <c r="AF24" s="410" t="s">
        <v>4699</v>
      </c>
      <c r="AG24" s="686">
        <f>I15</f>
        <v>0.12512672751594622</v>
      </c>
      <c r="AH24" s="686">
        <f>SUM(I55,I63)</f>
        <v>6.704554901834025E-5</v>
      </c>
      <c r="AI24" s="686">
        <f>I71</f>
        <v>8.8723591347396024E-21</v>
      </c>
      <c r="AJ24" s="975">
        <f>I95</f>
        <v>1.5587202527366916E-6</v>
      </c>
      <c r="AK24" s="11"/>
      <c r="AL24" s="11"/>
      <c r="AM24" s="11"/>
      <c r="AN24" s="11"/>
      <c r="AO24" s="11"/>
      <c r="AP24" s="11"/>
      <c r="AQ24" s="11"/>
      <c r="AR24" s="11"/>
      <c r="AS24"/>
    </row>
    <row r="25" spans="1:45" ht="12.75" customHeight="1" x14ac:dyDescent="0.2">
      <c r="A25" s="17"/>
      <c r="B25" s="159" t="s">
        <v>133</v>
      </c>
      <c r="C25" s="295">
        <f>M.w0RP*Molweight</f>
        <v>5.805648301668719</v>
      </c>
      <c r="D25" s="446">
        <f t="shared" si="7"/>
        <v>3.7336062682967557E-10</v>
      </c>
      <c r="E25" s="295">
        <f>M.w0CP*Molweight</f>
        <v>0.87543179284445982</v>
      </c>
      <c r="F25" s="446">
        <f t="shared" si="8"/>
        <v>2.9705242892139851E-12</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4700</v>
      </c>
      <c r="AG25" s="686">
        <f>I16</f>
        <v>24353.438951290471</v>
      </c>
      <c r="AH25" s="686">
        <f>SUM(I56,I64)</f>
        <v>960608185572.22314</v>
      </c>
      <c r="AI25" s="686">
        <f>I72</f>
        <v>1565097694.938256</v>
      </c>
      <c r="AJ25" s="975">
        <f>I96</f>
        <v>70542.75943069128</v>
      </c>
      <c r="AK25" s="11"/>
      <c r="AL25" s="11"/>
      <c r="AM25" s="11"/>
      <c r="AN25" s="11"/>
      <c r="AO25" s="11"/>
      <c r="AP25" s="11"/>
      <c r="AQ25" s="11"/>
      <c r="AR25" s="11"/>
      <c r="AS25" s="11"/>
    </row>
    <row r="26" spans="1:45" ht="12.75" customHeight="1" x14ac:dyDescent="0.2">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4701</v>
      </c>
      <c r="AG26" s="686">
        <f>I17</f>
        <v>3.7012912799567425E-3</v>
      </c>
      <c r="AH26" s="686">
        <f>SUM(I57,I65)</f>
        <v>34117579.006951883</v>
      </c>
      <c r="AI26" s="686">
        <f>I73</f>
        <v>34017081.721814305</v>
      </c>
      <c r="AJ26" s="975">
        <f>I97</f>
        <v>3396.118083244342</v>
      </c>
      <c r="AK26" s="11"/>
      <c r="AL26" s="11"/>
      <c r="AM26" s="11"/>
      <c r="AN26" s="11"/>
      <c r="AO26" s="11"/>
      <c r="AP26" s="11"/>
      <c r="AQ26" s="11"/>
      <c r="AR26" s="11"/>
      <c r="AS26" s="11"/>
    </row>
    <row r="27" spans="1:45" ht="12.75" customHeight="1" x14ac:dyDescent="0.2">
      <c r="A27" s="17"/>
      <c r="B27" s="104" t="s">
        <v>155</v>
      </c>
      <c r="C27" s="295">
        <f>SUM(C28,C31:C33)</f>
        <v>2280.868112752175</v>
      </c>
      <c r="D27" s="446">
        <f t="shared" ref="D27:D33" si="9">C27/$C$103</f>
        <v>1.4668238653867467E-7</v>
      </c>
      <c r="E27" s="295">
        <f>SUM(E28,E31:E33)</f>
        <v>15352.53520417326</v>
      </c>
      <c r="F27" s="446">
        <f t="shared" ref="F27:F33" si="10">E27/$E$103</f>
        <v>5.2094382563864942E-8</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74"/>
      <c r="AF27" s="11"/>
      <c r="AG27" s="686"/>
      <c r="AH27" s="686"/>
      <c r="AI27" s="686"/>
      <c r="AJ27" s="975"/>
      <c r="AK27" s="11"/>
      <c r="AL27" s="11"/>
      <c r="AM27" s="11"/>
      <c r="AN27" s="11"/>
      <c r="AO27" s="11"/>
      <c r="AP27" s="11"/>
      <c r="AQ27" s="11"/>
      <c r="AR27" s="11"/>
      <c r="AS27" s="11"/>
    </row>
    <row r="28" spans="1:45" ht="12.75" customHeight="1" x14ac:dyDescent="0.2">
      <c r="A28" s="17"/>
      <c r="B28" s="443" t="s">
        <v>121</v>
      </c>
      <c r="C28" s="295">
        <f>M.sd0RD*Molweight</f>
        <v>386.47793709861003</v>
      </c>
      <c r="D28" s="446">
        <f t="shared" si="9"/>
        <v>2.4854355164694015E-8</v>
      </c>
      <c r="E28" s="295">
        <f>M.sd0CD*Molweight</f>
        <v>2046.9648731586703</v>
      </c>
      <c r="F28" s="446">
        <f t="shared" si="10"/>
        <v>6.9457825550619483E-9</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4697</v>
      </c>
      <c r="AF28" s="410" t="s">
        <v>4698</v>
      </c>
      <c r="AG28" s="686">
        <f>K12</f>
        <v>234.44037378546398</v>
      </c>
      <c r="AH28" s="686">
        <f>SUM(K52,K60)</f>
        <v>113332065291960.56</v>
      </c>
      <c r="AI28" s="686">
        <f>K68</f>
        <v>39172226291.123108</v>
      </c>
      <c r="AJ28" s="975">
        <f>K92</f>
        <v>64958.525599978064</v>
      </c>
      <c r="AK28" s="11"/>
      <c r="AL28" s="11"/>
      <c r="AM28" s="11"/>
      <c r="AN28" s="11"/>
      <c r="AO28" s="11"/>
      <c r="AP28" s="11"/>
      <c r="AQ28" s="11"/>
      <c r="AR28" s="11"/>
      <c r="AS28" s="11"/>
    </row>
    <row r="29" spans="1:45" ht="12.75" customHeight="1" x14ac:dyDescent="0.2">
      <c r="A29" s="17"/>
      <c r="B29" s="159" t="s">
        <v>159</v>
      </c>
      <c r="C29" s="295">
        <f>C28*FRACw.sdR</f>
        <v>309.18234967888804</v>
      </c>
      <c r="D29" s="446">
        <f t="shared" si="9"/>
        <v>1.9883484131755213E-8</v>
      </c>
      <c r="E29" s="295">
        <f>E28*FRACw.sdC</f>
        <v>1637.5718985269364</v>
      </c>
      <c r="F29" s="446">
        <f t="shared" si="10"/>
        <v>5.5566260440495584E-9</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4699</v>
      </c>
      <c r="AG29" s="335">
        <f>K15</f>
        <v>0.20256154434935589</v>
      </c>
      <c r="AH29" s="335">
        <f>SUM(K55,K63)</f>
        <v>1.2966605348224119E-4</v>
      </c>
      <c r="AI29" s="335">
        <f>K71</f>
        <v>1.2429462210241026E-20</v>
      </c>
      <c r="AJ29" s="468">
        <f>K95</f>
        <v>2.1197406134995792E-6</v>
      </c>
      <c r="AK29" s="11"/>
      <c r="AL29" s="11"/>
      <c r="AM29" s="11"/>
      <c r="AN29" s="11"/>
      <c r="AO29" s="11"/>
      <c r="AP29" s="11"/>
      <c r="AQ29" s="11"/>
      <c r="AR29" s="11"/>
      <c r="AS29" s="11"/>
    </row>
    <row r="30" spans="1:45" ht="12.75" customHeight="1" x14ac:dyDescent="0.2">
      <c r="A30" s="17"/>
      <c r="B30" s="159" t="s">
        <v>160</v>
      </c>
      <c r="C30" s="295">
        <f>C28*FRACs.sdR</f>
        <v>77.295587419721983</v>
      </c>
      <c r="D30" s="446">
        <f t="shared" si="9"/>
        <v>4.9708710329388015E-9</v>
      </c>
      <c r="E30" s="295">
        <f>E28*FRACs.sdC</f>
        <v>409.39297463173398</v>
      </c>
      <c r="F30" s="446">
        <f t="shared" si="10"/>
        <v>1.3891565110123892E-9</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4700</v>
      </c>
      <c r="AG30" s="335">
        <f>K16</f>
        <v>42976.761259911116</v>
      </c>
      <c r="AH30" s="335">
        <f>SUM(K56,K64)</f>
        <v>3590352823572.8491</v>
      </c>
      <c r="AI30" s="335">
        <f>K72</f>
        <v>5904478972.6985283</v>
      </c>
      <c r="AJ30" s="468">
        <f>K96</f>
        <v>25173.897504666711</v>
      </c>
      <c r="AK30" s="11"/>
      <c r="AL30" s="11"/>
      <c r="AM30" s="11"/>
      <c r="AN30" s="11"/>
      <c r="AO30" s="11"/>
      <c r="AP30" s="11"/>
      <c r="AQ30" s="11"/>
      <c r="AR30" s="11"/>
      <c r="AS30" s="11"/>
    </row>
    <row r="31" spans="1:45" ht="12.75" customHeight="1" x14ac:dyDescent="0.2">
      <c r="A31" s="17"/>
      <c r="B31" s="159" t="s">
        <v>128</v>
      </c>
      <c r="C31" s="295">
        <f>M.sd0RS*Molweight</f>
        <v>1.2798434141477188E-8</v>
      </c>
      <c r="D31" s="446">
        <f t="shared" si="9"/>
        <v>8.230659428899229E-19</v>
      </c>
      <c r="E31" s="295">
        <f>M.sd0CS*Molweight</f>
        <v>4.449720482401582E-10</v>
      </c>
      <c r="F31" s="446">
        <f t="shared" si="10"/>
        <v>1.5098837946288005E-21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4701</v>
      </c>
      <c r="AG31" s="469">
        <f>K17</f>
        <v>1.3270187752659124E-3</v>
      </c>
      <c r="AH31" s="469">
        <f>SUM(K57,K65)</f>
        <v>565664857.10341239</v>
      </c>
      <c r="AI31" s="469">
        <f>K73</f>
        <v>567018759.03823805</v>
      </c>
      <c r="AJ31" s="470">
        <f>K97</f>
        <v>4594.4897827624018</v>
      </c>
      <c r="AK31" s="11"/>
      <c r="AL31" s="11"/>
      <c r="AM31" s="11"/>
      <c r="AN31" s="11"/>
      <c r="AO31" s="11"/>
      <c r="AP31" s="11"/>
      <c r="AQ31" s="11"/>
      <c r="AR31" s="11"/>
      <c r="AS31" s="11"/>
    </row>
    <row r="32" spans="1:45" ht="12.75" customHeight="1" x14ac:dyDescent="0.2">
      <c r="A32" s="17"/>
      <c r="B32" s="159" t="s">
        <v>131</v>
      </c>
      <c r="C32" s="295">
        <f>M.sd0RA*Molweight</f>
        <v>1304.6871072470735</v>
      </c>
      <c r="D32" s="446">
        <f t="shared" si="9"/>
        <v>8.390428955855814E-8</v>
      </c>
      <c r="E32" s="295">
        <f>M.sd0CA*Molweight</f>
        <v>13215.995213198643</v>
      </c>
      <c r="F32" s="446">
        <f t="shared" si="10"/>
        <v>4.4844652784865755E-8</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6"/>
      <c r="AH32" s="686"/>
      <c r="AI32" s="686"/>
      <c r="AJ32" s="686"/>
      <c r="AK32" s="11"/>
      <c r="AL32" s="11"/>
      <c r="AM32" s="11"/>
      <c r="AN32" s="11"/>
      <c r="AO32" s="11"/>
      <c r="AP32" s="11"/>
      <c r="AQ32" s="11"/>
      <c r="AR32" s="11"/>
      <c r="AS32" s="11"/>
    </row>
    <row r="33" spans="1:45" ht="12.75" customHeight="1" x14ac:dyDescent="0.2">
      <c r="A33" s="17"/>
      <c r="B33" s="159" t="s">
        <v>133</v>
      </c>
      <c r="C33" s="295">
        <f>M.sd0RP*Molweight</f>
        <v>589.70306839369289</v>
      </c>
      <c r="D33" s="446">
        <f t="shared" si="9"/>
        <v>3.7923741814599443E-8</v>
      </c>
      <c r="E33" s="295">
        <f>M.sd0CP*Molweight</f>
        <v>89.575117815502296</v>
      </c>
      <c r="F33" s="446">
        <f t="shared" si="10"/>
        <v>3.0394722393573145E-10</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4691</v>
      </c>
      <c r="AF33" s="11"/>
      <c r="AG33" s="686"/>
      <c r="AH33" s="686"/>
      <c r="AI33" s="686"/>
      <c r="AJ33" s="686"/>
      <c r="AK33" s="11"/>
      <c r="AL33" s="11"/>
      <c r="AM33" s="11"/>
      <c r="AN33" s="11"/>
      <c r="AO33" s="11"/>
      <c r="AP33" s="11"/>
      <c r="AQ33" s="11"/>
      <c r="AR33" s="11"/>
      <c r="AS33" s="11"/>
    </row>
    <row r="34" spans="1:45" ht="12.75" customHeight="1" x14ac:dyDescent="0.2">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86" t="s">
        <v>251</v>
      </c>
      <c r="AF34" s="987"/>
      <c r="AG34" s="987" t="s">
        <v>117</v>
      </c>
      <c r="AH34" s="987" t="s">
        <v>4693</v>
      </c>
      <c r="AI34" s="987" t="s">
        <v>4694</v>
      </c>
      <c r="AJ34" s="988" t="s">
        <v>4695</v>
      </c>
      <c r="AK34" s="11"/>
      <c r="AL34" s="11"/>
      <c r="AM34" s="11"/>
      <c r="AN34" s="11"/>
      <c r="AO34" s="11"/>
      <c r="AP34" s="11"/>
      <c r="AQ34" s="11"/>
      <c r="AR34" s="11"/>
      <c r="AS34" s="11"/>
    </row>
    <row r="35" spans="1:45" ht="12.75" customHeight="1" x14ac:dyDescent="0.2">
      <c r="A35" s="17"/>
      <c r="B35" s="104" t="s">
        <v>185</v>
      </c>
      <c r="C35" s="295">
        <f>SUM(C36,C39:C41)</f>
        <v>18072261.038552448</v>
      </c>
      <c r="D35" s="446">
        <f t="shared" ref="D35:D41" si="11">C35/$C$103</f>
        <v>1.162225191568018E-3</v>
      </c>
      <c r="E35" s="295">
        <f>SUM(E36,E39:E41)</f>
        <v>1410216.1321056511</v>
      </c>
      <c r="F35" s="446">
        <f t="shared" ref="F35:F41" si="12">E35/$E$103</f>
        <v>4.7851600863729645E-6</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89"/>
      <c r="AF35" s="982" t="s">
        <v>4699</v>
      </c>
      <c r="AG35" s="982">
        <f t="shared" ref="AG35:AJ37" si="13">AG4</f>
        <v>4853.2499357005527</v>
      </c>
      <c r="AH35" s="982">
        <f t="shared" si="13"/>
        <v>4809.8135296917872</v>
      </c>
      <c r="AI35" s="982">
        <f t="shared" si="13"/>
        <v>1.4314292847482936E-3</v>
      </c>
      <c r="AJ35" s="983">
        <f t="shared" si="13"/>
        <v>2.629383302972006</v>
      </c>
      <c r="AK35" s="11"/>
      <c r="AL35" s="11"/>
      <c r="AM35" s="11"/>
      <c r="AN35" s="11"/>
      <c r="AO35" s="11"/>
      <c r="AP35" s="11"/>
      <c r="AQ35" s="11"/>
      <c r="AR35" s="11"/>
      <c r="AS35" s="11"/>
    </row>
    <row r="36" spans="1:45" ht="12.75" customHeight="1" x14ac:dyDescent="0.2">
      <c r="A36" s="17"/>
      <c r="B36" s="443" t="s">
        <v>121</v>
      </c>
      <c r="C36" s="295">
        <f>M.w1RD*Molweight</f>
        <v>10410419.325164855</v>
      </c>
      <c r="D36" s="446">
        <f t="shared" si="11"/>
        <v>6.6949296320380322E-4</v>
      </c>
      <c r="E36" s="295">
        <f>M.w1CD*Molweight</f>
        <v>1003992.8066027812</v>
      </c>
      <c r="F36" s="446">
        <f t="shared" si="12"/>
        <v>3.4067588618403857E-6</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89"/>
      <c r="AF36" s="982" t="s">
        <v>4700</v>
      </c>
      <c r="AG36" s="982">
        <f t="shared" si="13"/>
        <v>29155.359756389829</v>
      </c>
      <c r="AH36" s="982">
        <f t="shared" si="13"/>
        <v>8073409.3445704002</v>
      </c>
      <c r="AI36" s="982">
        <f t="shared" si="13"/>
        <v>4457363.8350031842</v>
      </c>
      <c r="AJ36" s="983">
        <f t="shared" si="13"/>
        <v>4160070.8034800254</v>
      </c>
      <c r="AK36" s="11"/>
      <c r="AL36" s="11"/>
      <c r="AM36" s="11"/>
      <c r="AN36" s="11"/>
      <c r="AO36" s="11"/>
      <c r="AP36" s="11"/>
      <c r="AQ36" s="11"/>
      <c r="AR36" s="11"/>
      <c r="AS36" s="11"/>
    </row>
    <row r="37" spans="1:45" ht="12.75" customHeight="1" x14ac:dyDescent="0.2">
      <c r="A37" s="17"/>
      <c r="B37" s="159" t="s">
        <v>142</v>
      </c>
      <c r="C37" s="295">
        <f>FRwD.w1R*C36</f>
        <v>10392544.14922818</v>
      </c>
      <c r="D37" s="446">
        <f t="shared" si="11"/>
        <v>6.6834341253424413E-4</v>
      </c>
      <c r="E37" s="295">
        <f>FRw.w1C*E36</f>
        <v>1002268.9040877501</v>
      </c>
      <c r="F37" s="446">
        <f t="shared" si="12"/>
        <v>3.4009092978480867E-6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90"/>
      <c r="AF37" s="984" t="s">
        <v>4701</v>
      </c>
      <c r="AG37" s="984">
        <f t="shared" si="13"/>
        <v>18.458018935187482</v>
      </c>
      <c r="AH37" s="984">
        <f t="shared" si="13"/>
        <v>105579.09893003883</v>
      </c>
      <c r="AI37" s="984">
        <f t="shared" si="13"/>
        <v>35042335.841728583</v>
      </c>
      <c r="AJ37" s="985">
        <f t="shared" si="13"/>
        <v>15282183756.084309</v>
      </c>
      <c r="AK37" s="11"/>
      <c r="AL37" s="11"/>
      <c r="AM37" s="11"/>
      <c r="AN37" s="11"/>
      <c r="AO37" s="11"/>
      <c r="AP37" s="11"/>
      <c r="AQ37" s="11"/>
      <c r="AR37" s="11"/>
      <c r="AS37" s="11"/>
    </row>
    <row r="38" spans="1:45" ht="12.75" customHeight="1" x14ac:dyDescent="0.2">
      <c r="A38" s="17"/>
      <c r="B38" s="159" t="s">
        <v>144</v>
      </c>
      <c r="C38" s="295">
        <f>(1-FRwD.w1R)*C36</f>
        <v>17875.175936674219</v>
      </c>
      <c r="D38" s="446">
        <f t="shared" si="11"/>
        <v>1.1495506695590126E-6</v>
      </c>
      <c r="E38" s="295">
        <f>(1-FRw.w1C)*E36</f>
        <v>1723.9025150310988</v>
      </c>
      <c r="F38" s="446">
        <f t="shared" si="12"/>
        <v>5.8495639922992813E-9</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4707</v>
      </c>
      <c r="AF38" s="11"/>
      <c r="AG38" s="686"/>
      <c r="AH38" s="686"/>
      <c r="AI38" s="686"/>
      <c r="AJ38" s="686"/>
      <c r="AK38" s="11"/>
      <c r="AL38" s="11"/>
      <c r="AM38" s="11"/>
      <c r="AN38" s="11"/>
      <c r="AO38" s="11"/>
      <c r="AP38" s="11"/>
      <c r="AQ38" s="11"/>
      <c r="AR38" s="11"/>
      <c r="AS38" s="11"/>
    </row>
    <row r="39" spans="1:45" ht="12.75" customHeight="1" x14ac:dyDescent="0.2">
      <c r="A39" s="17"/>
      <c r="B39" s="159" t="s">
        <v>128</v>
      </c>
      <c r="C39" s="295">
        <f>M.w1RS*Molweight</f>
        <v>4808.2272652780712</v>
      </c>
      <c r="D39" s="446">
        <f t="shared" si="11"/>
        <v>3.0921658571494278E-7</v>
      </c>
      <c r="E39" s="295">
        <f>M.w1CS*Molweight</f>
        <v>1.0989918472659448</v>
      </c>
      <c r="F39" s="446">
        <f t="shared" si="12"/>
        <v>3.7291105973480008E-12</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91" t="s">
        <v>252</v>
      </c>
      <c r="AF39" s="992" t="s">
        <v>4699</v>
      </c>
      <c r="AG39" s="987">
        <f t="shared" ref="AG39:AJ41" si="14">AG9</f>
        <v>774.358168003017</v>
      </c>
      <c r="AH39" s="987">
        <f t="shared" si="14"/>
        <v>1.9230303611256603</v>
      </c>
      <c r="AI39" s="987">
        <f t="shared" si="14"/>
        <v>1.4702863208258701E-7</v>
      </c>
      <c r="AJ39" s="988">
        <f t="shared" si="14"/>
        <v>1.2081739772556849E-2</v>
      </c>
      <c r="AK39" s="11"/>
      <c r="AL39" s="11"/>
      <c r="AM39" s="11"/>
      <c r="AN39" s="11"/>
      <c r="AO39" s="11"/>
      <c r="AP39" s="11"/>
      <c r="AQ39" s="11"/>
      <c r="AR39" s="11"/>
      <c r="AS39" s="11"/>
    </row>
    <row r="40" spans="1:45" ht="12.75" customHeight="1" x14ac:dyDescent="0.2">
      <c r="A40" s="17"/>
      <c r="B40" s="159" t="s">
        <v>131</v>
      </c>
      <c r="C40" s="295">
        <f>M.w1RA*Molweight</f>
        <v>7555937.0160556631</v>
      </c>
      <c r="D40" s="446">
        <f t="shared" si="11"/>
        <v>4.8592150850564346E-4</v>
      </c>
      <c r="E40" s="295">
        <f>M.w1CA*Molweight</f>
        <v>405797.10331889545</v>
      </c>
      <c r="F40" s="446">
        <f t="shared" si="12"/>
        <v>1.3769549629729152E-6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93"/>
      <c r="AF40" s="994" t="s">
        <v>4700</v>
      </c>
      <c r="AG40" s="982">
        <f t="shared" si="14"/>
        <v>125758.68371138113</v>
      </c>
      <c r="AH40" s="982">
        <f t="shared" si="14"/>
        <v>8977806002.3208752</v>
      </c>
      <c r="AI40" s="982">
        <f t="shared" si="14"/>
        <v>228535677.05697003</v>
      </c>
      <c r="AJ40" s="983">
        <f t="shared" si="14"/>
        <v>339391.09882754902</v>
      </c>
      <c r="AK40" s="11"/>
      <c r="AL40" s="11"/>
      <c r="AM40" s="11"/>
      <c r="AN40" s="11"/>
      <c r="AO40" s="11"/>
      <c r="AP40" s="11"/>
      <c r="AQ40" s="11"/>
      <c r="AR40" s="11"/>
      <c r="AS40" s="11"/>
    </row>
    <row r="41" spans="1:45" ht="12.75" customHeight="1" x14ac:dyDescent="0.2">
      <c r="A41" s="17"/>
      <c r="B41" s="159" t="s">
        <v>133</v>
      </c>
      <c r="C41" s="295">
        <f>M.w1RP*Molweight</f>
        <v>101096.47006665116</v>
      </c>
      <c r="D41" s="446">
        <f t="shared" si="11"/>
        <v>6.5015032728564057E-6</v>
      </c>
      <c r="E41" s="295">
        <f>M.w1CP*Molweight</f>
        <v>425.12319212701846</v>
      </c>
      <c r="F41" s="446">
        <f t="shared" si="12"/>
        <v>1.4425324490652393E-9</v>
      </c>
      <c r="G41" s="296"/>
      <c r="H41" s="446"/>
      <c r="I41" s="296"/>
      <c r="J41" s="446"/>
      <c r="K41" s="296"/>
      <c r="L41" s="461"/>
      <c r="M41" s="17"/>
      <c r="N41" s="156"/>
      <c r="O41" s="11"/>
      <c r="P41" s="11"/>
      <c r="Q41" s="11"/>
      <c r="R41" s="11"/>
      <c r="S41" s="11"/>
      <c r="T41" s="11"/>
      <c r="U41" s="11"/>
      <c r="V41" s="11"/>
      <c r="W41" s="410" t="s">
        <v>4702</v>
      </c>
      <c r="X41" s="410" t="s">
        <v>4710</v>
      </c>
      <c r="Y41" s="11"/>
      <c r="Z41" s="11"/>
      <c r="AA41" s="11"/>
      <c r="AB41" s="11"/>
      <c r="AC41" s="11"/>
      <c r="AD41" s="11"/>
      <c r="AE41" s="995"/>
      <c r="AF41" s="996" t="s">
        <v>4701</v>
      </c>
      <c r="AG41" s="984">
        <f t="shared" si="14"/>
        <v>5.506942589822696</v>
      </c>
      <c r="AH41" s="984">
        <f t="shared" si="14"/>
        <v>364497.95103256078</v>
      </c>
      <c r="AI41" s="984">
        <f t="shared" si="14"/>
        <v>5694839.2510539275</v>
      </c>
      <c r="AJ41" s="985">
        <f t="shared" si="14"/>
        <v>65054216.394516654</v>
      </c>
      <c r="AK41" s="11"/>
      <c r="AL41" s="11"/>
      <c r="AM41" s="11"/>
      <c r="AN41" s="11"/>
      <c r="AO41" s="11"/>
      <c r="AP41" s="11"/>
      <c r="AQ41" s="11"/>
      <c r="AR41" s="11"/>
      <c r="AS41" s="11"/>
    </row>
    <row r="42" spans="1:45" ht="12.75" customHeight="1" x14ac:dyDescent="0.2">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4711</v>
      </c>
      <c r="AF42" s="11"/>
      <c r="AG42" s="686"/>
      <c r="AH42" s="686"/>
      <c r="AI42" s="686"/>
      <c r="AJ42" s="686"/>
      <c r="AK42" s="410">
        <v>7</v>
      </c>
      <c r="AL42" s="410" t="s">
        <v>4712</v>
      </c>
      <c r="AM42" s="11"/>
      <c r="AN42" s="11"/>
      <c r="AO42" s="11"/>
      <c r="AP42" s="11"/>
      <c r="AQ42" s="11"/>
      <c r="AR42" s="11"/>
      <c r="AS42" s="11"/>
    </row>
    <row r="43" spans="1:45" ht="12.75" customHeight="1" x14ac:dyDescent="0.2">
      <c r="A43" s="17"/>
      <c r="B43" s="104" t="s">
        <v>190</v>
      </c>
      <c r="C43" s="295">
        <f>SUM(C44,C47:C49)</f>
        <v>42065037.251400605</v>
      </c>
      <c r="D43" s="446">
        <f t="shared" ref="D43:D49" si="15">C43/$C$103</f>
        <v>2.7051980863674377E-3</v>
      </c>
      <c r="E43" s="295">
        <f>SUM(E44,E47:E49)</f>
        <v>773787.45896019647</v>
      </c>
      <c r="F43" s="446">
        <f t="shared" ref="F43:F49" si="16">E43/$E$103</f>
        <v>2.6256236754458645E-6</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91" t="s">
        <v>4696</v>
      </c>
      <c r="AF43" s="992" t="s">
        <v>4699</v>
      </c>
      <c r="AG43" s="987">
        <f t="shared" ref="AG43:AJ45" si="17">AG14</f>
        <v>18.631548869811304</v>
      </c>
      <c r="AH43" s="987">
        <f t="shared" si="17"/>
        <v>8.4327771452449747E-3</v>
      </c>
      <c r="AI43" s="987">
        <f t="shared" si="17"/>
        <v>9.3563930228439055E-19</v>
      </c>
      <c r="AJ43" s="988">
        <f t="shared" si="17"/>
        <v>3.0770269768738196E-4</v>
      </c>
      <c r="AK43" s="686"/>
      <c r="AL43"/>
      <c r="AM43" s="11"/>
      <c r="AN43" s="11"/>
      <c r="AO43" s="11"/>
      <c r="AP43" s="11"/>
      <c r="AQ43" s="11"/>
      <c r="AR43" s="410" t="s">
        <v>4711</v>
      </c>
      <c r="AS43" s="410" t="s">
        <v>4713</v>
      </c>
    </row>
    <row r="44" spans="1:45" ht="12.75" customHeight="1" x14ac:dyDescent="0.2">
      <c r="A44" s="17"/>
      <c r="B44" s="443" t="s">
        <v>121</v>
      </c>
      <c r="C44" s="295">
        <f>M.sd1RD*Molweight</f>
        <v>4165345.3886591243</v>
      </c>
      <c r="D44" s="446">
        <f t="shared" si="15"/>
        <v>2.6787292038080651E-4</v>
      </c>
      <c r="E44" s="295">
        <f>M.sd1CD*Molweight</f>
        <v>400430.94519643573</v>
      </c>
      <c r="F44" s="446">
        <f t="shared" si="16"/>
        <v>1.3587464592690044E-6</v>
      </c>
      <c r="G44" s="296"/>
      <c r="H44" s="446"/>
      <c r="I44" s="296"/>
      <c r="J44" s="446"/>
      <c r="K44" s="296"/>
      <c r="L44" s="461"/>
      <c r="M44" s="17"/>
      <c r="N44" s="156"/>
      <c r="O44" s="11"/>
      <c r="P44" s="410">
        <v>4</v>
      </c>
      <c r="Q44" s="410" t="s">
        <v>4709</v>
      </c>
      <c r="R44" s="11"/>
      <c r="S44" s="11"/>
      <c r="T44" s="11"/>
      <c r="U44" s="11"/>
      <c r="V44" s="11"/>
      <c r="W44" s="11"/>
      <c r="X44" s="11"/>
      <c r="Y44" s="11"/>
      <c r="Z44" s="11"/>
      <c r="AA44" s="11"/>
      <c r="AB44" s="11"/>
      <c r="AC44" s="11"/>
      <c r="AD44" s="11"/>
      <c r="AE44" s="993"/>
      <c r="AF44" s="994" t="s">
        <v>4700</v>
      </c>
      <c r="AG44" s="982">
        <f t="shared" si="17"/>
        <v>168674.66160984914</v>
      </c>
      <c r="AH44" s="982">
        <f t="shared" si="17"/>
        <v>6004359951773.041</v>
      </c>
      <c r="AI44" s="982">
        <f t="shared" si="17"/>
        <v>9854216355.9472122</v>
      </c>
      <c r="AJ44" s="983">
        <f t="shared" si="17"/>
        <v>255912.59883127394</v>
      </c>
      <c r="AK44" s="11"/>
      <c r="AL44"/>
      <c r="AM44" s="11"/>
      <c r="AN44" s="11"/>
      <c r="AO44" s="11"/>
      <c r="AP44" s="11"/>
      <c r="AQ44" s="11"/>
      <c r="AR44" s="11"/>
      <c r="AS44"/>
    </row>
    <row r="45" spans="1:45" ht="12.75" customHeight="1" x14ac:dyDescent="0.2">
      <c r="A45" s="17"/>
      <c r="B45" s="159" t="s">
        <v>159</v>
      </c>
      <c r="C45" s="295">
        <f>C44*FRACw.sdR</f>
        <v>3332276.3109272998</v>
      </c>
      <c r="D45" s="446">
        <f t="shared" si="15"/>
        <v>2.1429833630464524E-4</v>
      </c>
      <c r="E45" s="295">
        <f>E44*FRACw.sdC</f>
        <v>320344.75615714863</v>
      </c>
      <c r="F45" s="446">
        <f t="shared" si="16"/>
        <v>1.0869971674152038E-6</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95"/>
      <c r="AF45" s="996" t="s">
        <v>4701</v>
      </c>
      <c r="AG45" s="984">
        <f t="shared" si="17"/>
        <v>0.18206812602295061</v>
      </c>
      <c r="AH45" s="984">
        <f t="shared" si="17"/>
        <v>704488414.24902761</v>
      </c>
      <c r="AI45" s="984">
        <f t="shared" si="17"/>
        <v>705733679.92275071</v>
      </c>
      <c r="AJ45" s="985">
        <f t="shared" si="17"/>
        <v>634959.9113878276</v>
      </c>
      <c r="AK45" s="11"/>
      <c r="AL45" s="11"/>
      <c r="AM45" s="11"/>
      <c r="AN45" s="11"/>
      <c r="AO45" s="11"/>
      <c r="AP45" s="11"/>
      <c r="AQ45" s="11"/>
      <c r="AR45" s="11"/>
      <c r="AS45"/>
    </row>
    <row r="46" spans="1:45" ht="12.75" customHeight="1" x14ac:dyDescent="0.2">
      <c r="A46" s="17"/>
      <c r="B46" s="159" t="s">
        <v>160</v>
      </c>
      <c r="C46" s="295">
        <f>C44*FRACs.sdR</f>
        <v>833069.07773182471</v>
      </c>
      <c r="D46" s="446">
        <f t="shared" si="15"/>
        <v>5.3574584076161289E-5</v>
      </c>
      <c r="E46" s="295">
        <f>E44*FRACs.sdC</f>
        <v>80086.189039287128</v>
      </c>
      <c r="F46" s="446">
        <f t="shared" si="16"/>
        <v>2.7174929185380085E-7</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2">
      <c r="A47" s="17"/>
      <c r="B47" s="159" t="s">
        <v>128</v>
      </c>
      <c r="C47" s="295">
        <f>M.sd1RS*Molweight</f>
        <v>1.4314162122162236E-3</v>
      </c>
      <c r="D47" s="446">
        <f t="shared" si="15"/>
        <v>9.2054224864705722E-14</v>
      </c>
      <c r="E47" s="295">
        <f>M.sd1CS*Molweight</f>
        <v>1.4655514093489767E-7</v>
      </c>
      <c r="F47" s="446">
        <f t="shared" si="16"/>
        <v>4.9729243261975205E-19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97"/>
      <c r="AG47" s="11"/>
      <c r="AH47" s="11"/>
      <c r="AI47" s="11"/>
      <c r="AJ47" s="11"/>
      <c r="AK47" s="11"/>
      <c r="AL47" s="11"/>
      <c r="AM47" s="11"/>
      <c r="AN47" s="11"/>
      <c r="AO47" s="11"/>
      <c r="AP47" s="11"/>
      <c r="AQ47" s="11"/>
      <c r="AR47" s="11"/>
      <c r="AS47" s="11"/>
    </row>
    <row r="48" spans="1:45" ht="12.75" customHeight="1" x14ac:dyDescent="0.2">
      <c r="A48" s="17"/>
      <c r="B48" s="159" t="s">
        <v>131</v>
      </c>
      <c r="C48" s="295">
        <f>M.sd1RA*Molweight</f>
        <v>4200978.9990256382</v>
      </c>
      <c r="D48" s="446">
        <f t="shared" si="15"/>
        <v>2.7016451408599565E-4</v>
      </c>
      <c r="E48" s="295">
        <f>M.sd1CA*Molweight</f>
        <v>229321.8580129875</v>
      </c>
      <c r="F48" s="446">
        <f t="shared" si="16"/>
        <v>7.7813732016960424E-7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2">
      <c r="A49" s="17"/>
      <c r="B49" s="159" t="s">
        <v>133</v>
      </c>
      <c r="C49" s="295">
        <f>M.sd1RP*Molweight</f>
        <v>33698712.862284422</v>
      </c>
      <c r="D49" s="446">
        <f t="shared" si="15"/>
        <v>2.1671606518085811E-3</v>
      </c>
      <c r="E49" s="295">
        <f>M.sd1CP*Molweight</f>
        <v>144034.65575062676</v>
      </c>
      <c r="F49" s="446">
        <f t="shared" si="16"/>
        <v>4.8873989600675865E-7</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2">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2">
      <c r="A51" s="17"/>
      <c r="B51" s="104" t="s">
        <v>201</v>
      </c>
      <c r="C51" s="295">
        <f>SUM(C52,C55:C57)</f>
        <v>4506624.6213327404</v>
      </c>
      <c r="D51" s="446">
        <f t="shared" ref="D51:D57" si="18">C51/$C$103</f>
        <v>2.8982055165539605E-4</v>
      </c>
      <c r="E51" s="295">
        <f>SUM(E52,E55:E57)</f>
        <v>292860268557.89832</v>
      </c>
      <c r="F51" s="446">
        <f t="shared" ref="F51:F57" si="19">E51/$E$103</f>
        <v>0.99373651746222746</v>
      </c>
      <c r="G51" s="296">
        <f>SUM(G52,G55:G57)</f>
        <v>1529426982531.0342</v>
      </c>
      <c r="H51" s="446">
        <f t="shared" ref="H51:H57" si="20">G51/$G$103</f>
        <v>3.2243930337370906E-2</v>
      </c>
      <c r="I51" s="296">
        <f>SUM(I52,I55:I57)</f>
        <v>1225141763887.418</v>
      </c>
      <c r="J51" s="446">
        <f t="shared" ref="J51:J57" si="21">I51/$I$103</f>
        <v>3.9013148877821681E-2</v>
      </c>
      <c r="K51" s="296">
        <f>SUM(K52,K55:K57)</f>
        <v>3519568070981.8379</v>
      </c>
      <c r="L51" s="461">
        <f t="shared" ref="L51:L57" si="22">K51/$K$103</f>
        <v>3.0089846670197932E-2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2">
      <c r="A52" s="17"/>
      <c r="B52" s="443" t="s">
        <v>121</v>
      </c>
      <c r="C52" s="295">
        <f>M.w2RD*Molweight</f>
        <v>3992376.1805388769</v>
      </c>
      <c r="D52" s="446">
        <f t="shared" si="18"/>
        <v>2.5674928894287632E-4</v>
      </c>
      <c r="E52" s="295">
        <f>M.w2CD*Molweight</f>
        <v>283882581717.40918</v>
      </c>
      <c r="F52" s="446">
        <f t="shared" si="19"/>
        <v>0.96327333684826044</v>
      </c>
      <c r="G52" s="296">
        <f>M.w2MD*Molweight</f>
        <v>1482617899710.4875</v>
      </c>
      <c r="H52" s="446">
        <f t="shared" si="20"/>
        <v>3.1257084399080877E-2</v>
      </c>
      <c r="I52" s="296">
        <f>M.w2AD*Molweight</f>
        <v>1187713573757.5503</v>
      </c>
      <c r="J52" s="446">
        <f t="shared" si="21"/>
        <v>3.78212937008904E-2</v>
      </c>
      <c r="K52" s="296">
        <f>M.w2TD*Molweight</f>
        <v>3411688293649.9893</v>
      </c>
      <c r="L52" s="461">
        <f t="shared" si="22"/>
        <v>2.9167549986836763E-2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2">
      <c r="A53" s="17"/>
      <c r="B53" s="159" t="s">
        <v>142</v>
      </c>
      <c r="C53" s="295">
        <f>FRwD.w2R*C52</f>
        <v>3989503.7378476262</v>
      </c>
      <c r="D53" s="446">
        <f t="shared" si="18"/>
        <v>2.5656456245790662E-4</v>
      </c>
      <c r="E53" s="295">
        <f>FRw.w2C*E52</f>
        <v>283678333317.42059</v>
      </c>
      <c r="F53" s="446">
        <f t="shared" si="19"/>
        <v>0.96258027904734622</v>
      </c>
      <c r="G53" s="296">
        <f>FRw.w2M*G52</f>
        <v>1481551182858.8291</v>
      </c>
      <c r="H53" s="446">
        <f t="shared" si="20"/>
        <v>3.1234595490327838E-2</v>
      </c>
      <c r="I53" s="296">
        <f>FRw.w2A*I52</f>
        <v>1186859035252.1687</v>
      </c>
      <c r="J53" s="446">
        <f t="shared" si="21"/>
        <v>3.7794081961877841E-2</v>
      </c>
      <c r="K53" s="296">
        <f>FRw.w2T*K52</f>
        <v>3409233645425.2827</v>
      </c>
      <c r="L53" s="461">
        <f t="shared" si="22"/>
        <v>2.9146564460425253E-2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2">
      <c r="A54" s="17"/>
      <c r="B54" s="159" t="s">
        <v>144</v>
      </c>
      <c r="C54" s="295">
        <f>(1-FRwD.w2R)*C52</f>
        <v>2872.4426912506797</v>
      </c>
      <c r="D54" s="446">
        <f t="shared" si="18"/>
        <v>1.8472648496971775E-7</v>
      </c>
      <c r="E54" s="295">
        <f>(1-FRw.w2C)*E52</f>
        <v>204248399.98857048</v>
      </c>
      <c r="F54" s="446">
        <f t="shared" si="19"/>
        <v>6.9305780091418313E-4</v>
      </c>
      <c r="G54" s="296">
        <f>(1-FRw.w2M)*G52</f>
        <v>1066716851.6585013</v>
      </c>
      <c r="H54" s="446">
        <f t="shared" si="20"/>
        <v>2.2488908753039086E-5</v>
      </c>
      <c r="I54" s="296">
        <f>(1-FRw.w2A)*I52</f>
        <v>854538505.38167703</v>
      </c>
      <c r="J54" s="446">
        <f t="shared" si="21"/>
        <v>2.7211739012555728E-5</v>
      </c>
      <c r="K54" s="296">
        <f>(1-FRw.w2T)*K52</f>
        <v>2454648224.7065358</v>
      </c>
      <c r="L54" s="461">
        <f t="shared" si="22"/>
        <v>2.0985526411509025E-5</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2">
      <c r="A55" s="17"/>
      <c r="B55" s="159" t="s">
        <v>128</v>
      </c>
      <c r="C55" s="295">
        <f>M.w2RS*Molweight</f>
        <v>0.15342957938143861</v>
      </c>
      <c r="D55" s="446">
        <f t="shared" si="18"/>
        <v>9.8670399851127858E-12</v>
      </c>
      <c r="E55" s="295">
        <f>M.w2CS*Molweight</f>
        <v>0.71281947666518375</v>
      </c>
      <c r="F55" s="446">
        <f t="shared" si="19"/>
        <v>2.4187464820973687E-12</v>
      </c>
      <c r="G55" s="296">
        <f>M.w2MS*Molweight</f>
        <v>8.2357227421771002E-3</v>
      </c>
      <c r="H55" s="446">
        <f t="shared" si="20"/>
        <v>1.7362847223814512E-16</v>
      </c>
      <c r="I55" s="296">
        <f>M.w2AS*Molweight</f>
        <v>6.704228159453465E-5</v>
      </c>
      <c r="J55" s="446">
        <f t="shared" si="21"/>
        <v>2.1348798890483124E-18</v>
      </c>
      <c r="K55" s="296">
        <f>M.w2TS*Molweight</f>
        <v>1.2966134410313131E-4</v>
      </c>
      <c r="L55" s="461">
        <f t="shared" si="22"/>
        <v>1.1085138529588414E-18</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2">
      <c r="A56" s="17"/>
      <c r="B56" s="159" t="s">
        <v>131</v>
      </c>
      <c r="C56" s="295">
        <f>M.w2RA*Molweight</f>
        <v>509771.46414919768</v>
      </c>
      <c r="D56" s="446">
        <f t="shared" si="18"/>
        <v>3.2783348819100829E-5</v>
      </c>
      <c r="E56" s="295">
        <f>M.w2CA*Molweight</f>
        <v>8977322767.8238888</v>
      </c>
      <c r="F56" s="446">
        <f t="shared" si="19"/>
        <v>3.0461945238802444E-2</v>
      </c>
      <c r="G56" s="296">
        <f>M.w2MA*Molweight</f>
        <v>46807383968.270668</v>
      </c>
      <c r="H56" s="446">
        <f t="shared" si="20"/>
        <v>9.8681012247465462E-4</v>
      </c>
      <c r="I56" s="296">
        <f>M.w2AA*Molweight</f>
        <v>37427540307.66169</v>
      </c>
      <c r="J56" s="446">
        <f t="shared" si="21"/>
        <v>1.1918344841337534E-3</v>
      </c>
      <c r="K56" s="296">
        <f>M.w2TA*Molweight</f>
        <v>107871925822.11069</v>
      </c>
      <c r="L56" s="461">
        <f t="shared" si="22"/>
        <v>9.2222955844146971E-4</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2">
      <c r="A57" s="17"/>
      <c r="B57" s="159" t="s">
        <v>133</v>
      </c>
      <c r="C57" s="295">
        <f>M.w2RP*Molweight</f>
        <v>4476.8232150859922</v>
      </c>
      <c r="D57" s="446">
        <f t="shared" si="18"/>
        <v>2.8790402637888326E-7</v>
      </c>
      <c r="E57" s="295">
        <f>M.w2CP*Molweight</f>
        <v>364071.95240864094</v>
      </c>
      <c r="F57" s="446">
        <f t="shared" si="19"/>
        <v>1.2353727457595041E-6</v>
      </c>
      <c r="G57" s="296">
        <f>M.w2MP*Molweight</f>
        <v>1698852.2675678472</v>
      </c>
      <c r="H57" s="446">
        <f t="shared" si="20"/>
        <v>3.5815815200468881E-8</v>
      </c>
      <c r="I57" s="296">
        <f>M.w2AP*Molweight</f>
        <v>649822.20596274501</v>
      </c>
      <c r="J57" s="446">
        <f t="shared" si="21"/>
        <v>2.0692797529730372E-8</v>
      </c>
      <c r="K57" s="296">
        <f>M.w2TP*Molweight</f>
        <v>7851509.7376186885</v>
      </c>
      <c r="L57" s="461">
        <f t="shared" si="22"/>
        <v>6.7124919697491899E-8</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2">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2">
      <c r="A59" s="17"/>
      <c r="B59" s="104" t="s">
        <v>214</v>
      </c>
      <c r="C59" s="295"/>
      <c r="D59" s="446"/>
      <c r="E59" s="296"/>
      <c r="F59" s="446"/>
      <c r="G59" s="296">
        <f>SUM(G60,G63:G65)</f>
        <v>45885249160673.109</v>
      </c>
      <c r="H59" s="446">
        <f t="shared" ref="H59:H65" si="23">G59/$G$103</f>
        <v>0.96736934443330258</v>
      </c>
      <c r="I59" s="296">
        <f>SUM(I60,I63:I65)</f>
        <v>30166141234599.527</v>
      </c>
      <c r="J59" s="446">
        <f t="shared" ref="J59:J65" si="24">I59/$I$103</f>
        <v>0.96060406537816279</v>
      </c>
      <c r="K59" s="296">
        <f>SUM(K60,K63:K65)</f>
        <v>113403415709408.67</v>
      </c>
      <c r="L59" s="461">
        <f t="shared" ref="L59:L65" si="25">K59/$K$103</f>
        <v>0.96951993021715055</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2">
      <c r="A60" s="17"/>
      <c r="B60" s="443" t="s">
        <v>121</v>
      </c>
      <c r="C60" s="295"/>
      <c r="D60" s="446"/>
      <c r="E60" s="296"/>
      <c r="F60" s="446"/>
      <c r="G60" s="296">
        <f>M.w3MD*Molweight</f>
        <v>44478554594887.547</v>
      </c>
      <c r="H60" s="446">
        <f t="shared" si="23"/>
        <v>0.93771290309728894</v>
      </c>
      <c r="I60" s="296">
        <f>M.w3AD*Molweight</f>
        <v>29242927121578.164</v>
      </c>
      <c r="J60" s="446">
        <f t="shared" si="24"/>
        <v>0.93120543519586962</v>
      </c>
      <c r="K60" s="296">
        <f>M.w3TD*Molweight</f>
        <v>109920376998310.58</v>
      </c>
      <c r="L60" s="461">
        <f t="shared" si="25"/>
        <v>0.9397423840382898</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2">
      <c r="A61" s="17"/>
      <c r="B61" s="159" t="s">
        <v>142</v>
      </c>
      <c r="C61" s="295"/>
      <c r="D61" s="446"/>
      <c r="E61" s="296"/>
      <c r="F61" s="446"/>
      <c r="G61" s="296">
        <f>FRw.w3M*G60</f>
        <v>44446553076672.336</v>
      </c>
      <c r="H61" s="446">
        <f t="shared" si="23"/>
        <v>0.93703823556768007</v>
      </c>
      <c r="I61" s="296">
        <f>FRw.w3A*I60</f>
        <v>29221887362677.035</v>
      </c>
      <c r="J61" s="446">
        <f t="shared" si="24"/>
        <v>0.93053544967210566</v>
      </c>
      <c r="K61" s="296">
        <f>FRw.w3T*K60</f>
        <v>109841291268597.17</v>
      </c>
      <c r="L61" s="461">
        <f t="shared" si="25"/>
        <v>0.93906625633372931</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2">
      <c r="A62" s="17"/>
      <c r="B62" s="159" t="s">
        <v>144</v>
      </c>
      <c r="C62" s="295"/>
      <c r="D62" s="446"/>
      <c r="E62" s="296"/>
      <c r="F62" s="446"/>
      <c r="G62" s="296">
        <f>(1-FRw.w3M)*G60</f>
        <v>32001518215.208412</v>
      </c>
      <c r="H62" s="446">
        <f t="shared" si="23"/>
        <v>6.7466752960882099E-4</v>
      </c>
      <c r="I62" s="296">
        <f>(1-FRw.w3A)*I60</f>
        <v>21039758901.13031</v>
      </c>
      <c r="J62" s="446">
        <f t="shared" si="24"/>
        <v>6.6998552376400667E-4</v>
      </c>
      <c r="K62" s="296">
        <f>(1-FRw.w3T)*K60</f>
        <v>79085729713.400665</v>
      </c>
      <c r="L62" s="461">
        <f t="shared" si="25"/>
        <v>6.7612770456037662E-4</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2">
      <c r="A63" s="17"/>
      <c r="B63" s="159" t="s">
        <v>128</v>
      </c>
      <c r="C63" s="295"/>
      <c r="D63" s="446"/>
      <c r="E63" s="296"/>
      <c r="F63" s="446"/>
      <c r="G63" s="296">
        <f>M.w3MS*Molweight</f>
        <v>3.4280056729326453E-7</v>
      </c>
      <c r="H63" s="446">
        <f t="shared" si="23"/>
        <v>7.2270449898323046E-21</v>
      </c>
      <c r="I63" s="296">
        <f>M.w3AS*Molweight</f>
        <v>3.2674238056012223E-9</v>
      </c>
      <c r="J63" s="446">
        <f t="shared" si="24"/>
        <v>1.0404713571300065E-22</v>
      </c>
      <c r="K63" s="296">
        <f>M.w3TS*Molweight</f>
        <v>4.7093791098749908E-9</v>
      </c>
      <c r="L63" s="461">
        <f t="shared" si="25"/>
        <v>4.0261899321197397E-23</v>
      </c>
      <c r="M63" s="17"/>
      <c r="N63" s="156"/>
      <c r="O63" s="11"/>
      <c r="P63" s="11"/>
      <c r="Q63" s="11"/>
      <c r="R63" s="11"/>
      <c r="S63" s="11"/>
      <c r="T63" s="11"/>
      <c r="U63" s="11"/>
      <c r="V63" s="11"/>
      <c r="W63" s="11"/>
      <c r="X63" s="11"/>
      <c r="Y63" s="11"/>
      <c r="Z63" s="11"/>
      <c r="AA63" s="11"/>
      <c r="AB63" s="11"/>
      <c r="AC63" s="11"/>
      <c r="AD63" s="11"/>
      <c r="AE63" s="11"/>
      <c r="AF63" t="s">
        <v>4714</v>
      </c>
      <c r="AG63" s="11"/>
      <c r="AH63" s="11"/>
      <c r="AI63" s="11"/>
      <c r="AJ63" s="11"/>
      <c r="AK63" s="11"/>
      <c r="AL63" s="11"/>
      <c r="AM63" s="11"/>
      <c r="AN63" s="11"/>
    </row>
    <row r="64" spans="1:40" ht="12.75" customHeight="1" x14ac:dyDescent="0.2">
      <c r="A64" s="17"/>
      <c r="B64" s="159" t="s">
        <v>131</v>
      </c>
      <c r="C64" s="295"/>
      <c r="D64" s="446"/>
      <c r="E64" s="296"/>
      <c r="F64" s="446"/>
      <c r="G64" s="296">
        <f>M.w3MA*Molweight</f>
        <v>1406591558659.6982</v>
      </c>
      <c r="H64" s="446">
        <f t="shared" si="23"/>
        <v>2.9654269702696957E-2</v>
      </c>
      <c r="I64" s="296">
        <f>M.w3AA*Molweight</f>
        <v>923180645264.5614</v>
      </c>
      <c r="J64" s="446">
        <f t="shared" si="24"/>
        <v>2.9397564442297026E-2</v>
      </c>
      <c r="K64" s="296">
        <f>M.w3TA*Molweight</f>
        <v>3482480897750.7383</v>
      </c>
      <c r="L64" s="461">
        <f t="shared" si="25"/>
        <v>2.9772777264677516E-2</v>
      </c>
      <c r="M64" s="17"/>
      <c r="N64" s="156"/>
      <c r="O64" s="11"/>
      <c r="P64" s="11"/>
      <c r="Q64" s="11"/>
      <c r="R64" s="11"/>
      <c r="S64" s="11"/>
      <c r="T64" s="11"/>
      <c r="U64" s="11"/>
      <c r="V64" s="11"/>
      <c r="W64" s="11"/>
      <c r="X64" s="11"/>
      <c r="Y64" s="11"/>
      <c r="Z64" s="11"/>
      <c r="AA64" s="11"/>
      <c r="AB64" s="11"/>
      <c r="AC64" s="11"/>
      <c r="AD64" s="11"/>
      <c r="AE64" s="11"/>
      <c r="AF64" s="480" t="s">
        <v>251</v>
      </c>
      <c r="AG64" s="987"/>
      <c r="AH64" s="987" t="s">
        <v>117</v>
      </c>
      <c r="AI64" s="987"/>
      <c r="AJ64" s="987" t="s">
        <v>4693</v>
      </c>
      <c r="AK64" s="987"/>
      <c r="AL64" s="987" t="s">
        <v>4694</v>
      </c>
      <c r="AM64" s="987"/>
      <c r="AN64" s="988" t="s">
        <v>4695</v>
      </c>
    </row>
    <row r="65" spans="1:51" ht="12.75" customHeight="1" x14ac:dyDescent="0.2">
      <c r="A65" s="17"/>
      <c r="B65" s="454" t="s">
        <v>133</v>
      </c>
      <c r="C65" s="295"/>
      <c r="D65" s="446"/>
      <c r="E65" s="296"/>
      <c r="F65" s="446"/>
      <c r="G65" s="296">
        <f>M.w3MP*Molweight</f>
        <v>103007125.87109546</v>
      </c>
      <c r="H65" s="446">
        <f t="shared" si="23"/>
        <v>2.171633316775882E-6</v>
      </c>
      <c r="I65" s="296">
        <f>M.w3AP*Molweight</f>
        <v>33467756.80098914</v>
      </c>
      <c r="J65" s="446">
        <f t="shared" si="24"/>
        <v>1.0657399961133818E-6</v>
      </c>
      <c r="K65" s="296">
        <f>M.w3TP*Molweight</f>
        <v>557813347.3657937</v>
      </c>
      <c r="L65" s="461">
        <f t="shared" si="25"/>
        <v>4.7689141833089448E-6</v>
      </c>
      <c r="M65" s="17"/>
      <c r="N65" s="156"/>
      <c r="O65" s="11"/>
      <c r="P65" s="11"/>
      <c r="Q65" s="11"/>
      <c r="R65" s="11"/>
      <c r="S65" s="11"/>
      <c r="T65" s="11"/>
      <c r="U65" s="11"/>
      <c r="V65" s="11"/>
      <c r="W65" s="11"/>
      <c r="X65" s="11"/>
      <c r="Y65" s="11"/>
      <c r="Z65" s="11"/>
      <c r="AA65" s="11"/>
      <c r="AB65" s="11"/>
      <c r="AC65" s="11"/>
      <c r="AD65" s="11"/>
      <c r="AE65" s="11"/>
      <c r="AF65" s="989"/>
      <c r="AG65" s="982" t="s">
        <v>4699</v>
      </c>
      <c r="AH65" s="982">
        <f>AG35</f>
        <v>4853.2499357005527</v>
      </c>
      <c r="AI65" s="982" t="s">
        <v>4699</v>
      </c>
      <c r="AJ65" s="982">
        <f>AH35</f>
        <v>4809.8135296917872</v>
      </c>
      <c r="AK65" s="982" t="s">
        <v>4699</v>
      </c>
      <c r="AL65" s="982">
        <f>AI35</f>
        <v>1.4314292847482936E-3</v>
      </c>
      <c r="AM65" s="982" t="s">
        <v>4699</v>
      </c>
      <c r="AN65" s="983">
        <f>AJ35</f>
        <v>2.629383302972006</v>
      </c>
      <c r="AO65" s="11"/>
      <c r="AP65" s="11"/>
      <c r="AQ65" t="s">
        <v>4715</v>
      </c>
      <c r="AR65" s="11"/>
      <c r="AS65" s="11"/>
      <c r="AT65" s="11"/>
      <c r="AU65" s="11"/>
      <c r="AV65" s="11"/>
      <c r="AW65" s="11"/>
      <c r="AX65" s="11"/>
      <c r="AY65" s="11"/>
    </row>
    <row r="66" spans="1:51" ht="12.75" customHeight="1" x14ac:dyDescent="0.2">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89"/>
      <c r="AG66" s="982" t="s">
        <v>4700</v>
      </c>
      <c r="AH66" s="982">
        <f>AG36</f>
        <v>29155.359756389829</v>
      </c>
      <c r="AI66" s="982" t="s">
        <v>4700</v>
      </c>
      <c r="AJ66" s="982">
        <f>AH36</f>
        <v>8073409.3445704002</v>
      </c>
      <c r="AK66" s="982" t="s">
        <v>4700</v>
      </c>
      <c r="AL66" s="982">
        <f>AI36</f>
        <v>4457363.8350031842</v>
      </c>
      <c r="AM66" s="982" t="s">
        <v>4700</v>
      </c>
      <c r="AN66" s="983">
        <f>AJ36</f>
        <v>4160070.8034800254</v>
      </c>
      <c r="AO66" s="11"/>
      <c r="AP66" s="11"/>
      <c r="AQ66" s="991" t="s">
        <v>4696</v>
      </c>
      <c r="AR66" s="992"/>
      <c r="AS66" s="987" t="s">
        <v>117</v>
      </c>
      <c r="AT66" s="992"/>
      <c r="AU66" s="987" t="s">
        <v>4693</v>
      </c>
      <c r="AV66" s="992"/>
      <c r="AW66" s="987" t="s">
        <v>4694</v>
      </c>
      <c r="AX66" s="992"/>
      <c r="AY66" s="988" t="s">
        <v>4695</v>
      </c>
    </row>
    <row r="67" spans="1:51" ht="12.75" customHeight="1" x14ac:dyDescent="0.2">
      <c r="A67" s="17"/>
      <c r="B67" s="104" t="s">
        <v>217</v>
      </c>
      <c r="C67" s="295">
        <f>SUM(C68,C71:C73)</f>
        <v>2026464.1596590236</v>
      </c>
      <c r="D67" s="446">
        <f t="shared" ref="D67:D73" si="26">C67/$C$103</f>
        <v>1.3032169528434827E-4</v>
      </c>
      <c r="E67" s="295">
        <f>SUM(E68,E71:E73)</f>
        <v>1751348537.3502281</v>
      </c>
      <c r="F67" s="446">
        <f t="shared" ref="F67:F73" si="27">E67/$E$103</f>
        <v>5.9426941214626022E-3</v>
      </c>
      <c r="G67" s="296">
        <f>SUM(G68,G71:G73)</f>
        <v>18340119901.155579</v>
      </c>
      <c r="H67" s="446">
        <f t="shared" ref="H67:H73" si="28">G67/$G$103</f>
        <v>3.8665301137374883E-4</v>
      </c>
      <c r="I67" s="296">
        <f>SUM(I68,I71:I73)</f>
        <v>12020390249.771753</v>
      </c>
      <c r="J67" s="446">
        <f t="shared" ref="J67:J73" si="29">I67/$I$103</f>
        <v>3.8277470265633286E-4</v>
      </c>
      <c r="K67" s="296">
        <f>SUM(K68,K71:K73)</f>
        <v>45643724022.859879</v>
      </c>
      <c r="L67" s="461">
        <f t="shared" ref="L67:L73" si="30">K67/$K$103</f>
        <v>3.9022193337534994E-4</v>
      </c>
      <c r="M67" s="17"/>
      <c r="N67" s="156"/>
      <c r="O67" s="11"/>
      <c r="P67" t="s">
        <v>4716</v>
      </c>
      <c r="Q67" s="11"/>
      <c r="R67" s="11"/>
      <c r="S67" s="11"/>
      <c r="T67" s="11"/>
      <c r="U67" s="11"/>
      <c r="V67" s="11"/>
      <c r="W67" t="s">
        <v>4717</v>
      </c>
      <c r="X67" s="11"/>
      <c r="Y67" s="11"/>
      <c r="Z67" s="11"/>
      <c r="AA67" s="11"/>
      <c r="AB67" s="11"/>
      <c r="AC67" s="11"/>
      <c r="AD67" s="11"/>
      <c r="AE67" s="11"/>
      <c r="AF67" s="990"/>
      <c r="AG67" s="984" t="s">
        <v>4701</v>
      </c>
      <c r="AH67" s="984">
        <f>AG37</f>
        <v>18.458018935187482</v>
      </c>
      <c r="AI67" s="984" t="s">
        <v>4701</v>
      </c>
      <c r="AJ67" s="984">
        <f>AH37</f>
        <v>105579.09893003883</v>
      </c>
      <c r="AK67" s="984" t="s">
        <v>4701</v>
      </c>
      <c r="AL67" s="984">
        <f>AI37</f>
        <v>35042335.841728583</v>
      </c>
      <c r="AM67" s="984" t="s">
        <v>4701</v>
      </c>
      <c r="AN67" s="985">
        <f>AJ37</f>
        <v>15282183756.084309</v>
      </c>
      <c r="AO67" s="11"/>
      <c r="AP67" s="11"/>
      <c r="AQ67" s="993"/>
      <c r="AR67" s="994" t="s">
        <v>4699</v>
      </c>
      <c r="AS67" s="982">
        <f>AG43</f>
        <v>18.631548869811304</v>
      </c>
      <c r="AT67" s="994" t="s">
        <v>4699</v>
      </c>
      <c r="AU67" s="982">
        <f>AH43</f>
        <v>8.4327771452449747E-3</v>
      </c>
      <c r="AV67" s="994" t="s">
        <v>4699</v>
      </c>
      <c r="AW67" s="982">
        <f>AI43</f>
        <v>9.3563930228439055E-19</v>
      </c>
      <c r="AX67" s="994" t="s">
        <v>4699</v>
      </c>
      <c r="AY67" s="983">
        <f>AJ43</f>
        <v>3.0770269768738196E-4</v>
      </c>
    </row>
    <row r="68" spans="1:51" ht="12.75" customHeight="1" x14ac:dyDescent="0.2">
      <c r="A68" s="17"/>
      <c r="B68" s="443" t="s">
        <v>121</v>
      </c>
      <c r="C68" s="295">
        <f>M.sd2RD*Molweight</f>
        <v>428350.73441295681</v>
      </c>
      <c r="D68" s="446">
        <f t="shared" si="26"/>
        <v>2.7547190321088674E-5</v>
      </c>
      <c r="E68" s="295">
        <f>M.sd2CD*Molweight</f>
        <v>1517504683.1262987</v>
      </c>
      <c r="F68" s="446">
        <f t="shared" si="27"/>
        <v>5.1492127165908754E-3</v>
      </c>
      <c r="G68" s="296">
        <f>M.sdMD*Molweight</f>
        <v>15850782373.682453</v>
      </c>
      <c r="H68" s="446">
        <f t="shared" si="28"/>
        <v>3.3417190129864403E-4</v>
      </c>
      <c r="I68" s="296">
        <f>M.sdAD*Molweight</f>
        <v>10421275473.111683</v>
      </c>
      <c r="J68" s="446">
        <f t="shared" si="29"/>
        <v>3.3185283818849419E-4</v>
      </c>
      <c r="K68" s="296">
        <f>M.sdTD*Molweight</f>
        <v>39172226291.123108</v>
      </c>
      <c r="L68" s="461">
        <f t="shared" si="30"/>
        <v>3.3489515163756382E-4</v>
      </c>
      <c r="M68" s="166"/>
      <c r="N68" s="156"/>
      <c r="O68" s="11"/>
      <c r="P68" s="991"/>
      <c r="Q68" s="992" t="s">
        <v>251</v>
      </c>
      <c r="R68" s="991"/>
      <c r="S68" s="992" t="s">
        <v>252</v>
      </c>
      <c r="T68" s="991"/>
      <c r="U68" s="992" t="s">
        <v>4696</v>
      </c>
      <c r="V68" s="11"/>
      <c r="W68" s="991"/>
      <c r="X68" s="992" t="s">
        <v>251</v>
      </c>
      <c r="Y68" s="991"/>
      <c r="Z68" s="992" t="s">
        <v>252</v>
      </c>
      <c r="AA68" s="991"/>
      <c r="AB68" s="992" t="s">
        <v>4696</v>
      </c>
      <c r="AC68" s="11"/>
      <c r="AD68" s="11"/>
      <c r="AE68" s="11"/>
      <c r="AF68" s="11"/>
      <c r="AG68" s="11"/>
      <c r="AH68" s="11"/>
      <c r="AI68" s="11"/>
      <c r="AJ68" s="11"/>
      <c r="AK68" s="11"/>
      <c r="AL68" s="11"/>
      <c r="AM68" s="11"/>
      <c r="AN68" s="11"/>
      <c r="AO68" s="11"/>
      <c r="AP68" s="11"/>
      <c r="AQ68" s="993"/>
      <c r="AR68" s="994" t="s">
        <v>4700</v>
      </c>
      <c r="AS68" s="982">
        <f>AG44</f>
        <v>168674.66160984914</v>
      </c>
      <c r="AT68" s="994" t="s">
        <v>4700</v>
      </c>
      <c r="AU68" s="982">
        <f>AH44</f>
        <v>6004359951773.041</v>
      </c>
      <c r="AV68" s="994" t="s">
        <v>4700</v>
      </c>
      <c r="AW68" s="982">
        <f>AI44</f>
        <v>9854216355.9472122</v>
      </c>
      <c r="AX68" s="994" t="s">
        <v>4700</v>
      </c>
      <c r="AY68" s="983">
        <f>AJ44</f>
        <v>255912.59883127394</v>
      </c>
    </row>
    <row r="69" spans="1:51" ht="12.75" customHeight="1" x14ac:dyDescent="0.2">
      <c r="A69" s="17"/>
      <c r="B69" s="159" t="s">
        <v>159</v>
      </c>
      <c r="C69" s="295">
        <f>C68*FRACw.sdR</f>
        <v>342680.58753036545</v>
      </c>
      <c r="D69" s="446">
        <f t="shared" si="26"/>
        <v>2.203775225687094E-5</v>
      </c>
      <c r="E69" s="295">
        <f>E68*FRACw.sdC</f>
        <v>1214003746.501039</v>
      </c>
      <c r="F69" s="446">
        <f t="shared" si="27"/>
        <v>4.1193701732727007E-3</v>
      </c>
      <c r="G69" s="296">
        <f>FRACw.sdM*G68</f>
        <v>12680625898.945963</v>
      </c>
      <c r="H69" s="446">
        <f t="shared" si="28"/>
        <v>2.6733752103891523E-4</v>
      </c>
      <c r="I69" s="296">
        <f>FRACw.sdA*I68</f>
        <v>8337020378.4893465</v>
      </c>
      <c r="J69" s="446">
        <f t="shared" si="29"/>
        <v>2.6548227055079535E-4</v>
      </c>
      <c r="K69" s="296">
        <f>FRACw.sdT*K68</f>
        <v>31337781032.898487</v>
      </c>
      <c r="L69" s="461">
        <f t="shared" si="30"/>
        <v>2.6791612131005108E-4</v>
      </c>
      <c r="M69" s="166"/>
      <c r="N69" s="156"/>
      <c r="O69" s="11"/>
      <c r="P69" s="993" t="s">
        <v>117</v>
      </c>
      <c r="Q69" s="982">
        <f>Q4</f>
        <v>53861.552851883891</v>
      </c>
      <c r="R69" s="993" t="s">
        <v>117</v>
      </c>
      <c r="S69" s="994">
        <f>R4</f>
        <v>146289.46265059779</v>
      </c>
      <c r="T69" s="993" t="s">
        <v>117</v>
      </c>
      <c r="U69" s="982">
        <f>S4</f>
        <v>172088.05475526943</v>
      </c>
      <c r="V69" s="11"/>
      <c r="W69" s="993" t="s">
        <v>224</v>
      </c>
      <c r="X69" s="982">
        <f>Q16</f>
        <v>9665.6942801245968</v>
      </c>
      <c r="Y69" s="993" t="s">
        <v>224</v>
      </c>
      <c r="Z69" s="982">
        <f>R16</f>
        <v>776.29328025094401</v>
      </c>
      <c r="AA69" s="993" t="s">
        <v>224</v>
      </c>
      <c r="AB69" s="982">
        <f>S16</f>
        <v>18.640289349654239</v>
      </c>
      <c r="AC69" s="11"/>
      <c r="AD69" s="11"/>
      <c r="AE69" s="11"/>
      <c r="AF69" s="11"/>
      <c r="AG69" s="11"/>
      <c r="AH69" s="11"/>
      <c r="AI69" s="11"/>
      <c r="AJ69" s="11"/>
      <c r="AK69" s="11"/>
      <c r="AL69" s="11"/>
      <c r="AM69" s="11"/>
      <c r="AN69" s="11"/>
      <c r="AO69" s="11"/>
      <c r="AP69" s="11"/>
      <c r="AQ69" s="995"/>
      <c r="AR69" s="996" t="s">
        <v>4701</v>
      </c>
      <c r="AS69" s="984">
        <f>AG45</f>
        <v>0.18206812602295061</v>
      </c>
      <c r="AT69" s="996" t="s">
        <v>4701</v>
      </c>
      <c r="AU69" s="984">
        <f>AH45</f>
        <v>704488414.24902761</v>
      </c>
      <c r="AV69" s="996" t="s">
        <v>4701</v>
      </c>
      <c r="AW69" s="984">
        <f>AI45</f>
        <v>705733679.92275071</v>
      </c>
      <c r="AX69" s="996" t="s">
        <v>4701</v>
      </c>
      <c r="AY69" s="985">
        <f>AJ45</f>
        <v>634959.9113878276</v>
      </c>
    </row>
    <row r="70" spans="1:51" ht="12.75" customHeight="1" x14ac:dyDescent="0.2">
      <c r="A70" s="17"/>
      <c r="B70" s="159" t="s">
        <v>160</v>
      </c>
      <c r="C70" s="295">
        <f>C68*FRACs.sdR</f>
        <v>85670.146882591347</v>
      </c>
      <c r="D70" s="446">
        <f t="shared" si="26"/>
        <v>5.5094380642177342E-6</v>
      </c>
      <c r="E70" s="295">
        <f>E68*FRACs.sdC</f>
        <v>303500936.62525964</v>
      </c>
      <c r="F70" s="446">
        <f t="shared" si="27"/>
        <v>1.0298425433181747E-3</v>
      </c>
      <c r="G70" s="296">
        <f>(1-FRACw.sdM)*G68</f>
        <v>3170156474.7364898</v>
      </c>
      <c r="H70" s="446">
        <f t="shared" si="28"/>
        <v>6.6834380259728779E-5</v>
      </c>
      <c r="I70" s="296">
        <f>(1-FRACw.sdA)*I68</f>
        <v>2084255094.6223361</v>
      </c>
      <c r="J70" s="446">
        <f t="shared" si="29"/>
        <v>6.6370567637698825E-5</v>
      </c>
      <c r="K70" s="296">
        <f>(1-FRACw.sdT)*K68</f>
        <v>7834445258.2246199</v>
      </c>
      <c r="L70" s="461">
        <f t="shared" si="30"/>
        <v>6.6979030327512755E-5</v>
      </c>
      <c r="M70" s="166"/>
      <c r="N70" s="156"/>
      <c r="O70" s="11"/>
      <c r="P70" s="993" t="s">
        <v>4693</v>
      </c>
      <c r="Q70" s="982">
        <f>Q5</f>
        <v>22600686.886008978</v>
      </c>
      <c r="R70" s="993" t="s">
        <v>4693</v>
      </c>
      <c r="S70" s="982">
        <f>R5</f>
        <v>292861831523.79858</v>
      </c>
      <c r="T70" s="993" t="s">
        <v>4693</v>
      </c>
      <c r="U70" s="982">
        <f>S5</f>
        <v>195728942922081.63</v>
      </c>
      <c r="V70" s="11"/>
      <c r="W70" s="993" t="s">
        <v>225</v>
      </c>
      <c r="X70" s="982">
        <f>Q17</f>
        <v>16719999.342810001</v>
      </c>
      <c r="Y70" s="993" t="s">
        <v>225</v>
      </c>
      <c r="Z70" s="982">
        <f>R17</f>
        <v>9206806829.1603832</v>
      </c>
      <c r="AA70" s="993" t="s">
        <v>225</v>
      </c>
      <c r="AB70" s="982">
        <f>S17</f>
        <v>6014214592716.249</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2">
      <c r="A71" s="17"/>
      <c r="B71" s="159" t="s">
        <v>128</v>
      </c>
      <c r="C71" s="295">
        <f>M.sd2RS*Molweight</f>
        <v>2.740979286530712E-10</v>
      </c>
      <c r="D71" s="446">
        <f t="shared" si="26"/>
        <v>1.7627208734847322E-20</v>
      </c>
      <c r="E71" s="295">
        <f>M.sd2CS*Molweight</f>
        <v>2.8519099449200311E-11</v>
      </c>
      <c r="F71" s="446">
        <f t="shared" si="27"/>
        <v>9.6771305672023411E-23</v>
      </c>
      <c r="G71" s="296">
        <f>M.sdMS*Molweight</f>
        <v>9.1433748093940993E-19</v>
      </c>
      <c r="H71" s="446">
        <f t="shared" si="28"/>
        <v>1.9276391993208022E-32</v>
      </c>
      <c r="I71" s="296">
        <f>M.sdAS*Molweight</f>
        <v>8.8723591347396024E-21</v>
      </c>
      <c r="J71" s="446">
        <f t="shared" si="29"/>
        <v>2.8252948191300498E-34</v>
      </c>
      <c r="K71" s="296">
        <f>M.sdTS*Molweight</f>
        <v>1.2429462210241026E-20</v>
      </c>
      <c r="L71" s="461">
        <f t="shared" si="30"/>
        <v>1.0626321314332152E-34</v>
      </c>
      <c r="M71" s="166"/>
      <c r="N71" s="156"/>
      <c r="O71" s="11"/>
      <c r="P71" s="993" t="s">
        <v>4694</v>
      </c>
      <c r="Q71" s="982">
        <f>Q6</f>
        <v>44093782.279172376</v>
      </c>
      <c r="R71" s="993" t="s">
        <v>4694</v>
      </c>
      <c r="S71" s="982">
        <f>R6</f>
        <v>1752137677.3443925</v>
      </c>
      <c r="T71" s="993" t="s">
        <v>4694</v>
      </c>
      <c r="U71" s="982">
        <f>S6</f>
        <v>76004234173.787201</v>
      </c>
      <c r="V71" s="11"/>
      <c r="W71" s="995" t="s">
        <v>227</v>
      </c>
      <c r="X71" s="984">
        <f>Q18</f>
        <v>15317331689.482986</v>
      </c>
      <c r="Y71" s="995" t="s">
        <v>227</v>
      </c>
      <c r="Z71" s="984">
        <f>R18</f>
        <v>71113559.103545725</v>
      </c>
      <c r="AA71" s="995" t="s">
        <v>227</v>
      </c>
      <c r="AB71" s="984">
        <f>S18</f>
        <v>1410857054.2652345</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2">
      <c r="A72" s="17"/>
      <c r="B72" s="159" t="s">
        <v>131</v>
      </c>
      <c r="C72" s="295">
        <f>M.sd2RA*Molweight</f>
        <v>255080.14887029849</v>
      </c>
      <c r="D72" s="446">
        <f t="shared" si="26"/>
        <v>1.640417733307194E-5</v>
      </c>
      <c r="E72" s="295">
        <f>M.sd2CA*Molweight</f>
        <v>228293139.20374385</v>
      </c>
      <c r="F72" s="446">
        <f t="shared" si="27"/>
        <v>7.7464666077773942E-4</v>
      </c>
      <c r="G72" s="296">
        <f>M.sdMA*Molweight</f>
        <v>2384639688.3104267</v>
      </c>
      <c r="H72" s="446">
        <f t="shared" si="28"/>
        <v>5.0273832531950291E-5</v>
      </c>
      <c r="I72" s="296">
        <f>M.sdAA*Molweight</f>
        <v>1565097694.938256</v>
      </c>
      <c r="J72" s="446">
        <f t="shared" si="29"/>
        <v>4.9838631887968727E-5</v>
      </c>
      <c r="K72" s="296">
        <f>M.sdTA*Molweight</f>
        <v>5904478972.6985283</v>
      </c>
      <c r="L72" s="461">
        <f t="shared" si="30"/>
        <v>5.0479167719675376E-5</v>
      </c>
      <c r="M72" s="166"/>
      <c r="N72" s="156"/>
      <c r="O72" s="11"/>
      <c r="P72" s="995" t="s">
        <v>4695</v>
      </c>
      <c r="Q72" s="984">
        <f>Q7</f>
        <v>15482958533.035475</v>
      </c>
      <c r="R72" s="995" t="s">
        <v>4695</v>
      </c>
      <c r="S72" s="984">
        <f>R7</f>
        <v>92039925.515704587</v>
      </c>
      <c r="T72" s="995" t="s">
        <v>4695</v>
      </c>
      <c r="U72" s="984">
        <f>S7</f>
        <v>3738100.9943784224</v>
      </c>
      <c r="V72" s="11"/>
      <c r="W72" s="11"/>
      <c r="X72" s="11"/>
      <c r="Y72" s="11"/>
      <c r="Z72" s="686"/>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2">
      <c r="A73" s="17"/>
      <c r="B73" s="159" t="s">
        <v>133</v>
      </c>
      <c r="C73" s="295">
        <f>M.sd2RP*Molweight</f>
        <v>1343033.276375768</v>
      </c>
      <c r="D73" s="446">
        <f t="shared" si="26"/>
        <v>8.637032763018763E-5</v>
      </c>
      <c r="E73" s="295">
        <f>M.sd2CP*Molweight</f>
        <v>5550715.0201854855</v>
      </c>
      <c r="F73" s="446">
        <f t="shared" si="27"/>
        <v>1.8834744093987272E-5</v>
      </c>
      <c r="G73" s="296">
        <f>M.sdMP*Molweight</f>
        <v>104697839.1626984</v>
      </c>
      <c r="H73" s="446">
        <f t="shared" si="28"/>
        <v>2.207277543154506E-6</v>
      </c>
      <c r="I73" s="296">
        <f>M.sdAP*Molweight</f>
        <v>34017081.721814305</v>
      </c>
      <c r="J73" s="446">
        <f t="shared" si="29"/>
        <v>1.0832325798699331E-6</v>
      </c>
      <c r="K73" s="296">
        <f>M.sdTP*Molweight</f>
        <v>567018759.03823805</v>
      </c>
      <c r="L73" s="461">
        <f t="shared" si="30"/>
        <v>4.8476140181107282E-6</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2">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2">
      <c r="A75" s="17"/>
      <c r="B75" s="104" t="s">
        <v>219</v>
      </c>
      <c r="C75" s="295">
        <f>SUM(C76,C79:C81)</f>
        <v>82170960.031627327</v>
      </c>
      <c r="D75" s="446">
        <f t="shared" ref="D75:D81" si="31">C75/$C$103</f>
        <v>5.2844057287773369E-3</v>
      </c>
      <c r="E75" s="295">
        <f>SUM(E76,E79:E81)</f>
        <v>10741797.75675584</v>
      </c>
      <c r="F75" s="446">
        <f t="shared" ref="F75:F81" si="32">E75/$C$103</f>
        <v>6.9080387501034221E-4</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2">
      <c r="A76" s="17"/>
      <c r="B76" s="443" t="s">
        <v>121</v>
      </c>
      <c r="C76" s="295">
        <f>M.s1R*Molweight</f>
        <v>7748392.8118722085</v>
      </c>
      <c r="D76" s="446">
        <f t="shared" si="31"/>
        <v>4.9829832033257003E-4</v>
      </c>
      <c r="E76" s="295">
        <f>M.s1C*Molweight</f>
        <v>4260511.8347440735</v>
      </c>
      <c r="F76" s="446">
        <f t="shared" si="32"/>
        <v>2.7399306444003522E-4</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2">
      <c r="A77" s="17"/>
      <c r="B77" s="159" t="s">
        <v>220</v>
      </c>
      <c r="C77" s="295">
        <f>C76*FRwD.s1R</f>
        <v>51313.859681272901</v>
      </c>
      <c r="D77" s="446">
        <f t="shared" si="31"/>
        <v>3.2999888763746355E-6</v>
      </c>
      <c r="E77" s="295">
        <f>E76*FRw.s1C</f>
        <v>28215.310163868035</v>
      </c>
      <c r="F77" s="446">
        <f t="shared" si="32"/>
        <v>1.814523605563147E-6</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2">
      <c r="A78" s="17"/>
      <c r="B78" s="159" t="s">
        <v>160</v>
      </c>
      <c r="C78" s="295">
        <f>C76*FRs.s1R</f>
        <v>7697078.9521909356</v>
      </c>
      <c r="D78" s="446">
        <f t="shared" si="31"/>
        <v>4.9499833145619536E-4</v>
      </c>
      <c r="E78" s="295">
        <f>E76*FRs.s1C</f>
        <v>4232296.5245802049</v>
      </c>
      <c r="F78" s="446">
        <f t="shared" si="32"/>
        <v>2.7217854083447202E-4</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2">
      <c r="A79" s="17"/>
      <c r="B79" s="159" t="s">
        <v>128</v>
      </c>
      <c r="C79" s="295">
        <f>M.s1RS*Molweight</f>
        <v>4.3340709719427273E-2</v>
      </c>
      <c r="D79" s="446">
        <f t="shared" si="31"/>
        <v>2.7872364475535428E-12</v>
      </c>
      <c r="E79" s="295">
        <f>M.s1CS*Molweight</f>
        <v>3.3629572375907775E-3</v>
      </c>
      <c r="F79" s="446">
        <f t="shared" si="32"/>
        <v>2.1627142344592088E-13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2">
      <c r="A80" s="17"/>
      <c r="B80" s="159" t="s">
        <v>131</v>
      </c>
      <c r="C80" s="295">
        <f>M.s1RA*Molweight</f>
        <v>55100.783523922051</v>
      </c>
      <c r="D80" s="446">
        <f t="shared" si="31"/>
        <v>3.5435255472476085E-6</v>
      </c>
      <c r="E80" s="295">
        <f>M.s1CA*Molweight</f>
        <v>54267.115205467271</v>
      </c>
      <c r="F80" s="446">
        <f t="shared" si="32"/>
        <v>3.4899124260640791E-6</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2">
      <c r="A81" s="17"/>
      <c r="B81" s="159" t="s">
        <v>133</v>
      </c>
      <c r="C81" s="295">
        <f>M.s1RP*Molweight</f>
        <v>74367466.392890483</v>
      </c>
      <c r="D81" s="446">
        <f t="shared" si="31"/>
        <v>4.7825638801102834E-3</v>
      </c>
      <c r="E81" s="295">
        <f>M.s1CP*Molweight</f>
        <v>6427018.8034433424</v>
      </c>
      <c r="F81" s="446">
        <f t="shared" si="32"/>
        <v>4.1332089792797151E-4</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2">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2">
      <c r="A83" s="17"/>
      <c r="B83" s="104" t="s">
        <v>221</v>
      </c>
      <c r="C83" s="295">
        <f>SUM(C84,C87:C89)</f>
        <v>15370353884.103245</v>
      </c>
      <c r="D83" s="446">
        <f t="shared" ref="D83:D89" si="33">C83/$C$103</f>
        <v>0.98846582889171131</v>
      </c>
      <c r="E83" s="295">
        <f>SUM(E84,E87:E89)</f>
        <v>77319684.145335466</v>
      </c>
      <c r="F83" s="446">
        <f t="shared" ref="F83:F89" si="34">E83/$C$103</f>
        <v>4.9724206908085362E-3</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2">
      <c r="A84" s="17"/>
      <c r="B84" s="443" t="s">
        <v>121</v>
      </c>
      <c r="C84" s="295">
        <f>M.s2R*Molweight</f>
        <v>185996535.59092405</v>
      </c>
      <c r="D84" s="446">
        <f t="shared" si="33"/>
        <v>1.1961417486556191E-2</v>
      </c>
      <c r="E84" s="295">
        <f>M.s2C*Molweight</f>
        <v>20807838.829333048</v>
      </c>
      <c r="F84" s="446">
        <f t="shared" si="34"/>
        <v>1.3381499092974085E-3</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2">
      <c r="A85" s="17"/>
      <c r="B85" s="159" t="s">
        <v>220</v>
      </c>
      <c r="C85" s="295">
        <f>C84*FRwD.s2R</f>
        <v>1231765.1363637354</v>
      </c>
      <c r="D85" s="446">
        <f t="shared" si="33"/>
        <v>7.9214685341431722E-5</v>
      </c>
      <c r="E85" s="295">
        <f>E84*FRw.s2C</f>
        <v>137800.25714790099</v>
      </c>
      <c r="F85" s="446">
        <f t="shared" si="34"/>
        <v>8.8619199291219113E-6</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2">
      <c r="A86" s="17"/>
      <c r="B86" s="159" t="s">
        <v>160</v>
      </c>
      <c r="C86" s="295">
        <f>C84*FRs.s2R</f>
        <v>184764770.45456031</v>
      </c>
      <c r="D86" s="446">
        <f t="shared" si="33"/>
        <v>1.1882202801214759E-2</v>
      </c>
      <c r="E86" s="295">
        <f>E84*FRs.s2C</f>
        <v>20670038.572185148</v>
      </c>
      <c r="F86" s="446">
        <f t="shared" si="34"/>
        <v>1.3292879893682865E-3</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2">
      <c r="A87" s="17"/>
      <c r="B87" s="159" t="s">
        <v>128</v>
      </c>
      <c r="C87" s="295">
        <f>M.s2RS*Molweight</f>
        <v>2.5699904785416794</v>
      </c>
      <c r="D87" s="446">
        <f t="shared" si="33"/>
        <v>1.6527581523304133E-10</v>
      </c>
      <c r="E87" s="295">
        <f>M.s2CS*Molweight</f>
        <v>7.4732428173398579E-3</v>
      </c>
      <c r="F87" s="446">
        <f t="shared" si="34"/>
        <v>4.8060345335255461E-13</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2">
      <c r="A88" s="17"/>
      <c r="B88" s="159" t="s">
        <v>131</v>
      </c>
      <c r="C88" s="295">
        <f>M.s2RA*Molweight</f>
        <v>4084562.3223546511</v>
      </c>
      <c r="D88" s="446">
        <f t="shared" si="33"/>
        <v>2.6267776995049329E-4</v>
      </c>
      <c r="E88" s="295">
        <f>M.s2CA*Molweight</f>
        <v>265025.05206450127</v>
      </c>
      <c r="F88" s="446">
        <f t="shared" si="34"/>
        <v>1.7043733003242447E-5</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4718</v>
      </c>
      <c r="AG88" s="11"/>
      <c r="AH88" s="11"/>
      <c r="AI88" s="11"/>
      <c r="AJ88" s="11"/>
      <c r="AK88" s="11"/>
      <c r="AL88" s="11"/>
      <c r="AM88" s="11"/>
      <c r="AN88" s="11"/>
    </row>
    <row r="89" spans="1:40" ht="12.75" customHeight="1" x14ac:dyDescent="0.2">
      <c r="A89" s="17"/>
      <c r="B89" s="159" t="s">
        <v>133</v>
      </c>
      <c r="C89" s="295">
        <f>M.s2RP*Molweight</f>
        <v>15180272783.619976</v>
      </c>
      <c r="D89" s="446">
        <f t="shared" si="33"/>
        <v>0.97624173346992882</v>
      </c>
      <c r="E89" s="295">
        <f>M.s2CP*Molweight</f>
        <v>56246820.256464668</v>
      </c>
      <c r="F89" s="446">
        <f t="shared" si="34"/>
        <v>3.6172270480272816E-3</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91" t="s">
        <v>252</v>
      </c>
      <c r="AG89" s="992"/>
      <c r="AH89" s="987" t="s">
        <v>117</v>
      </c>
      <c r="AI89" s="987"/>
      <c r="AJ89" s="987" t="s">
        <v>4693</v>
      </c>
      <c r="AK89" s="987"/>
      <c r="AL89" s="987" t="s">
        <v>4694</v>
      </c>
      <c r="AM89" s="987"/>
      <c r="AN89" s="988" t="s">
        <v>4695</v>
      </c>
    </row>
    <row r="90" spans="1:40" ht="12.75" customHeight="1" x14ac:dyDescent="0.2">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93"/>
      <c r="AG90" s="994" t="s">
        <v>4699</v>
      </c>
      <c r="AH90" s="982">
        <f>AG39</f>
        <v>774.358168003017</v>
      </c>
      <c r="AI90" s="994" t="s">
        <v>4699</v>
      </c>
      <c r="AJ90" s="982">
        <f>AH39</f>
        <v>1.9230303611256603</v>
      </c>
      <c r="AK90" s="994" t="s">
        <v>4699</v>
      </c>
      <c r="AL90" s="982">
        <f>AI39</f>
        <v>1.4702863208258701E-7</v>
      </c>
      <c r="AM90" s="994" t="s">
        <v>4699</v>
      </c>
      <c r="AN90" s="983">
        <f>AJ39</f>
        <v>1.2081739772556849E-2</v>
      </c>
    </row>
    <row r="91" spans="1:40" ht="12.75" customHeight="1" x14ac:dyDescent="0.2">
      <c r="A91" s="17"/>
      <c r="B91" s="104" t="s">
        <v>222</v>
      </c>
      <c r="C91" s="295">
        <f>SUM(C92,C95:C97)</f>
        <v>30433688.900602706</v>
      </c>
      <c r="D91" s="446">
        <f t="shared" ref="D91:D97" si="35">C91/$C$103</f>
        <v>1.957187306954569E-3</v>
      </c>
      <c r="E91" s="295">
        <f>SUM(E92,E95:E97)</f>
        <v>3978443.6136132721</v>
      </c>
      <c r="F91" s="446">
        <f t="shared" ref="F91:F97" si="36">E91/$C$103</f>
        <v>2.5585328704086737E-4</v>
      </c>
      <c r="G91" s="296">
        <f>SUM(G92,G95:G97)</f>
        <v>3321124.3794951835</v>
      </c>
      <c r="H91" s="446">
        <f t="shared" ref="H91:H97" si="37">G91/$G$103</f>
        <v>7.0017139985964614E-8</v>
      </c>
      <c r="I91" s="296">
        <f>SUM(I92,I95:I97)</f>
        <v>322249.70199371205</v>
      </c>
      <c r="J91" s="446">
        <f t="shared" ref="J91:J97" si="38">I91/$I$103</f>
        <v>1.0261649688459755E-8</v>
      </c>
      <c r="K91" s="296">
        <f>SUM(K92,K95:K97)</f>
        <v>94726.912889526924</v>
      </c>
      <c r="L91" s="461">
        <f t="shared" ref="L91:L97" si="39">K91/$K$103</f>
        <v>8.0984888682432021E-10</v>
      </c>
      <c r="M91" s="166"/>
      <c r="N91" s="156"/>
      <c r="O91" s="11"/>
      <c r="P91" s="11"/>
      <c r="Q91" s="11"/>
      <c r="R91" s="11"/>
      <c r="S91" s="11"/>
      <c r="T91" s="11"/>
      <c r="U91" s="11"/>
      <c r="V91" s="11"/>
      <c r="W91" s="11"/>
      <c r="X91" s="11"/>
      <c r="Y91" s="11"/>
      <c r="Z91" s="11"/>
      <c r="AA91" s="11"/>
      <c r="AB91" s="11"/>
      <c r="AC91" s="11"/>
      <c r="AD91" s="11"/>
      <c r="AE91" s="11"/>
      <c r="AF91" s="993"/>
      <c r="AG91" s="994" t="s">
        <v>4700</v>
      </c>
      <c r="AH91" s="982">
        <f>AG40</f>
        <v>125758.68371138113</v>
      </c>
      <c r="AI91" s="994" t="s">
        <v>4700</v>
      </c>
      <c r="AJ91" s="982">
        <f>AH40</f>
        <v>8977806002.3208752</v>
      </c>
      <c r="AK91" s="994" t="s">
        <v>4700</v>
      </c>
      <c r="AL91" s="982">
        <f>AI40</f>
        <v>228535677.05697003</v>
      </c>
      <c r="AM91" s="994" t="s">
        <v>4700</v>
      </c>
      <c r="AN91" s="983">
        <f>AJ40</f>
        <v>339391.09882754902</v>
      </c>
    </row>
    <row r="92" spans="1:40" ht="12.75" customHeight="1" x14ac:dyDescent="0.2">
      <c r="A92" s="17"/>
      <c r="B92" s="443" t="s">
        <v>121</v>
      </c>
      <c r="C92" s="295">
        <f>M.s3R*Molweight</f>
        <v>2869775.1155082243</v>
      </c>
      <c r="D92" s="446">
        <f t="shared" si="35"/>
        <v>1.8455493345650734E-4</v>
      </c>
      <c r="E92" s="295">
        <f>M.s3C*Molweight</f>
        <v>1577967.3462015078</v>
      </c>
      <c r="F92" s="446">
        <f t="shared" si="36"/>
        <v>1.0147891275556855E-4</v>
      </c>
      <c r="G92" s="296">
        <f>M.sMD*Molweight</f>
        <v>2533959.1337734223</v>
      </c>
      <c r="H92" s="446">
        <f t="shared" si="37"/>
        <v>5.3421838845763306E-8</v>
      </c>
      <c r="I92" s="296">
        <f>M.sAD*Molweight</f>
        <v>248310.82447821769</v>
      </c>
      <c r="J92" s="446">
        <f t="shared" si="38"/>
        <v>7.907156093189522E-9</v>
      </c>
      <c r="K92" s="296">
        <f>M.sTD*Molweight</f>
        <v>64958.525599978064</v>
      </c>
      <c r="L92" s="461">
        <f t="shared" si="39"/>
        <v>5.5534998494295451E-10</v>
      </c>
      <c r="M92" s="166"/>
      <c r="N92" s="156"/>
      <c r="O92" s="11"/>
      <c r="P92" s="11"/>
      <c r="Q92" s="11"/>
      <c r="R92" s="11"/>
      <c r="S92" s="11"/>
      <c r="T92" s="11"/>
      <c r="U92" s="11"/>
      <c r="V92" s="11"/>
      <c r="W92" s="11"/>
      <c r="X92" s="11"/>
      <c r="Y92" s="11"/>
      <c r="Z92" s="11"/>
      <c r="AA92" s="11"/>
      <c r="AB92" s="11"/>
      <c r="AC92" s="11"/>
      <c r="AD92" s="11"/>
      <c r="AE92" s="11"/>
      <c r="AF92" s="995"/>
      <c r="AG92" s="996" t="s">
        <v>4701</v>
      </c>
      <c r="AH92" s="984">
        <f>AG41</f>
        <v>5.506942589822696</v>
      </c>
      <c r="AI92" s="996" t="s">
        <v>4701</v>
      </c>
      <c r="AJ92" s="984">
        <f>AH41</f>
        <v>364497.95103256078</v>
      </c>
      <c r="AK92" s="996" t="s">
        <v>4701</v>
      </c>
      <c r="AL92" s="984">
        <f>AI41</f>
        <v>5694839.2510539275</v>
      </c>
      <c r="AM92" s="996" t="s">
        <v>4701</v>
      </c>
      <c r="AN92" s="985">
        <f>AJ41</f>
        <v>65054216.394516654</v>
      </c>
    </row>
    <row r="93" spans="1:40" ht="12.75" customHeight="1" x14ac:dyDescent="0.2">
      <c r="A93" s="17"/>
      <c r="B93" s="159" t="s">
        <v>220</v>
      </c>
      <c r="C93" s="295">
        <f>C92*FRwD.s3R</f>
        <v>19005.133215286252</v>
      </c>
      <c r="D93" s="446">
        <f t="shared" si="35"/>
        <v>1.2222181023609757E-6</v>
      </c>
      <c r="E93" s="295">
        <f>E92*FRw.s3C</f>
        <v>10450.114875506675</v>
      </c>
      <c r="F93" s="446">
        <f t="shared" si="36"/>
        <v>6.7204577983820234E-7</v>
      </c>
      <c r="G93" s="296">
        <f>FRw.sM*G92</f>
        <v>16781.186316380281</v>
      </c>
      <c r="H93" s="446">
        <f t="shared" si="37"/>
        <v>3.5378701222359807E-10</v>
      </c>
      <c r="I93" s="296">
        <f>FRw.sA*I92</f>
        <v>1644.4425462133622</v>
      </c>
      <c r="J93" s="446">
        <f t="shared" si="38"/>
        <v>5.2365272140327954E-11</v>
      </c>
      <c r="K93" s="296">
        <f>FRw.sT*K92</f>
        <v>430.18891125813286</v>
      </c>
      <c r="L93" s="461">
        <f t="shared" si="39"/>
        <v>3.6778144698208911E-12</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2">
      <c r="A94" s="17"/>
      <c r="B94" s="159" t="s">
        <v>160</v>
      </c>
      <c r="C94" s="295">
        <f>C92*FRs.s3R</f>
        <v>2850769.982292938</v>
      </c>
      <c r="D94" s="446">
        <f t="shared" si="35"/>
        <v>1.8333271535414636E-4</v>
      </c>
      <c r="E94" s="295">
        <f>E92*FRs.s3C</f>
        <v>1567517.231326001</v>
      </c>
      <c r="F94" s="446">
        <f t="shared" si="36"/>
        <v>1.0080686697573034E-4</v>
      </c>
      <c r="G94" s="296">
        <f>(1-FRw.sM)*G92</f>
        <v>2517177.9474570421</v>
      </c>
      <c r="H94" s="446">
        <f t="shared" si="37"/>
        <v>5.3068051833539708E-8</v>
      </c>
      <c r="I94" s="296">
        <f>(1-FRw.sA)*I92</f>
        <v>246666.38193200433</v>
      </c>
      <c r="J94" s="446">
        <f t="shared" si="38"/>
        <v>7.8547908210491933E-9</v>
      </c>
      <c r="K94" s="296">
        <f>(1-FRw.sT)*K92</f>
        <v>64528.33668871993</v>
      </c>
      <c r="L94" s="461">
        <f t="shared" si="39"/>
        <v>5.5167217047313363E-10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2">
      <c r="A95" s="17"/>
      <c r="B95" s="159" t="s">
        <v>128</v>
      </c>
      <c r="C95" s="295">
        <f>M.s3RS*Molweight</f>
        <v>1.6052114710898988E-2</v>
      </c>
      <c r="D95" s="446">
        <f t="shared" si="35"/>
        <v>1.032309795390201E-12</v>
      </c>
      <c r="E95" s="295">
        <f>M.s3CS*Molweight</f>
        <v>1.2455397176262138E-3</v>
      </c>
      <c r="F95" s="446">
        <f t="shared" si="36"/>
        <v>8.0100527202192908E-14</v>
      </c>
      <c r="G95" s="296">
        <f>M.sMS*Molweight</f>
        <v>3.0402423682114566E-4</v>
      </c>
      <c r="H95" s="446">
        <f t="shared" si="37"/>
        <v>6.4095484288570545E-18</v>
      </c>
      <c r="I95" s="296">
        <f>M.sAS*Molweight</f>
        <v>1.5587202527366916E-6</v>
      </c>
      <c r="J95" s="446">
        <f t="shared" si="38"/>
        <v>4.9635550000302217E-20</v>
      </c>
      <c r="K95" s="296">
        <f>M.sTS*Molweight</f>
        <v>2.1197406134995792E-6</v>
      </c>
      <c r="L95" s="461">
        <f t="shared" si="39"/>
        <v>1.8122300451202946E-20</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2">
      <c r="A96" s="17"/>
      <c r="B96" s="159" t="s">
        <v>131</v>
      </c>
      <c r="C96" s="295">
        <f>M.s3RA*Molweight</f>
        <v>20407.697601452612</v>
      </c>
      <c r="D96" s="446">
        <f t="shared" si="35"/>
        <v>1.3124168693509662E-6</v>
      </c>
      <c r="E96" s="295">
        <f>M.s3CA*Molweight</f>
        <v>20098.931557580465</v>
      </c>
      <c r="F96" s="446">
        <f t="shared" si="36"/>
        <v>1.2925601578015103E-6</v>
      </c>
      <c r="G96" s="296">
        <f>M.sMA*Molweight</f>
        <v>160195.94189591595</v>
      </c>
      <c r="H96" s="446">
        <f t="shared" si="37"/>
        <v>3.3773085278470425E-9</v>
      </c>
      <c r="I96" s="296">
        <f>M.sAA*Molweight</f>
        <v>70542.75943069128</v>
      </c>
      <c r="J96" s="446">
        <f t="shared" si="38"/>
        <v>2.2463483468145135E-9</v>
      </c>
      <c r="K96" s="296">
        <f>M.sTA*Molweight</f>
        <v>25173.897504666711</v>
      </c>
      <c r="L96" s="461">
        <f t="shared" si="39"/>
        <v>2.1521922597604124E-10</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2">
      <c r="A97" s="17"/>
      <c r="B97" s="159" t="s">
        <v>133</v>
      </c>
      <c r="C97" s="295">
        <f>M.s3RP*Molweight</f>
        <v>27543506.071440913</v>
      </c>
      <c r="D97" s="446">
        <f t="shared" si="35"/>
        <v>1.7713199555964006E-3</v>
      </c>
      <c r="E97" s="295">
        <f>M.s3CP*Molweight</f>
        <v>2380377.3346086442</v>
      </c>
      <c r="F97" s="446">
        <f t="shared" si="36"/>
        <v>1.530818140473968E-4</v>
      </c>
      <c r="G97" s="296">
        <f>M.sMP*Molweight</f>
        <v>626969.30352182093</v>
      </c>
      <c r="H97" s="446">
        <f t="shared" si="37"/>
        <v>1.3217992605944718E-8</v>
      </c>
      <c r="I97" s="296">
        <f>M.sAP*Molweight</f>
        <v>3396.118083244342</v>
      </c>
      <c r="J97" s="446">
        <f t="shared" si="38"/>
        <v>1.0814524840608497E-10</v>
      </c>
      <c r="K97" s="296">
        <f>M.sTP*Molweight</f>
        <v>4594.4897827624018</v>
      </c>
      <c r="L97" s="461">
        <f t="shared" si="39"/>
        <v>3.927967588720209E-11</v>
      </c>
      <c r="M97" s="166"/>
      <c r="N97" s="156"/>
    </row>
    <row r="98" spans="1:14" ht="12.75" customHeight="1" x14ac:dyDescent="0.2">
      <c r="A98" s="17"/>
      <c r="B98" s="158"/>
      <c r="C98" s="458"/>
      <c r="D98" s="460"/>
      <c r="E98" s="297"/>
      <c r="F98" s="460"/>
      <c r="G98" s="297"/>
      <c r="H98" s="460"/>
      <c r="I98" s="297"/>
      <c r="J98" s="460"/>
      <c r="K98" s="297"/>
      <c r="L98" s="462"/>
      <c r="M98" s="166"/>
      <c r="N98" s="156"/>
    </row>
    <row r="99" spans="1:14" ht="12.75" customHeight="1" x14ac:dyDescent="0.2">
      <c r="A99" s="304"/>
      <c r="B99" s="304" t="s">
        <v>223</v>
      </c>
      <c r="C99" s="124">
        <f>SUM(C12,C20,C28,C36,C44,C52,C68,C76,C84,C92)</f>
        <v>215645509.2334334</v>
      </c>
      <c r="D99" s="446">
        <f>C99/$C$103</f>
        <v>1.386813983844961E-2</v>
      </c>
      <c r="E99" s="124">
        <f>SUM(E12,E20,E28,E36,E44,E52,E68,E76,E84,E92)</f>
        <v>285428234251.56409</v>
      </c>
      <c r="F99" s="446">
        <f>E99/$E$103</f>
        <v>0.96851806114651084</v>
      </c>
      <c r="G99" s="124">
        <f>SUM(G12,G52,G60,G68,G92)</f>
        <v>45977025813959.102</v>
      </c>
      <c r="H99" s="446">
        <f>G99/$G$103</f>
        <v>0.96930421288335</v>
      </c>
      <c r="I99" s="124">
        <f>SUM(I12,I52,I60,I68,I92)</f>
        <v>30441062219251.539</v>
      </c>
      <c r="J99" s="446">
        <f>I99/$I$103</f>
        <v>0.96935858964630439</v>
      </c>
      <c r="K99" s="124">
        <f>SUM(K12,K52,K60,K68,K92)</f>
        <v>113371237583444.66</v>
      </c>
      <c r="L99" s="461">
        <f>K99/$K$103</f>
        <v>0.96924482973411841</v>
      </c>
      <c r="M99" s="166"/>
      <c r="N99" s="156"/>
    </row>
    <row r="100" spans="1:14" ht="12.75" customHeight="1" x14ac:dyDescent="0.2">
      <c r="A100" s="304"/>
      <c r="B100" s="455" t="s">
        <v>224</v>
      </c>
      <c r="C100" s="459">
        <f>SUM(C15,C23,C31,C39,C47,C55,C71,C79,C87,C95)</f>
        <v>9665.6942801245968</v>
      </c>
      <c r="D100" s="446">
        <f>C100/$C$103</f>
        <v>6.2159977450477905E-7</v>
      </c>
      <c r="E100" s="459">
        <f>SUM(E15,E23,E31,E39,E47,E55,E71,E79,E87,E95)</f>
        <v>776.29328025094401</v>
      </c>
      <c r="F100" s="446">
        <f>E100/$E$103</f>
        <v>2.6341264543824269E-9</v>
      </c>
      <c r="G100" s="459">
        <f>SUM(G15,G55,G71,G63,G95)</f>
        <v>18.312400687725571</v>
      </c>
      <c r="H100" s="446">
        <f>G100/$G$103</f>
        <v>3.8606862493552556E-13</v>
      </c>
      <c r="I100" s="459">
        <f>SUM(I15,I55,I71,I63,I95)</f>
        <v>0.1251953317852173</v>
      </c>
      <c r="J100" s="446">
        <f>I100/$I$103</f>
        <v>3.986693019301718E-15</v>
      </c>
      <c r="K100" s="459">
        <f>SUM(K15,K55,K71,K63,K95)</f>
        <v>0.20269333014345164</v>
      </c>
      <c r="L100" s="461">
        <f>K100/$K$103</f>
        <v>1.7328862809540307E-15</v>
      </c>
      <c r="M100" s="166"/>
      <c r="N100" s="156"/>
    </row>
    <row r="101" spans="1:14" ht="12.75" customHeight="1" x14ac:dyDescent="0.2">
      <c r="A101" s="304"/>
      <c r="B101" s="456" t="s">
        <v>225</v>
      </c>
      <c r="C101" s="459">
        <f>SUM(C16,C24,C32,C40,C48,C56,C72,C80,C88,C96)</f>
        <v>16719999.342810001</v>
      </c>
      <c r="D101" s="446">
        <f>C101/$C$103</f>
        <v>1.0752613852666544E-3</v>
      </c>
      <c r="E101" s="459">
        <f>SUM(E16,E24,E32,E40,E48,E56,E72,E80,E88,E96)</f>
        <v>9206806829.1603832</v>
      </c>
      <c r="F101" s="446">
        <f>E101/$E$103</f>
        <v>3.1240632948980964E-2</v>
      </c>
      <c r="G101" s="459">
        <f>SUM(G16,G56,G64,G72,G96)</f>
        <v>1455783843856.6829</v>
      </c>
      <c r="H101" s="446">
        <f>G101/$G$103</f>
        <v>3.0691359171592519E-2</v>
      </c>
      <c r="I101" s="459">
        <f>SUM(I16,I56,I64,I72,I96)</f>
        <v>962173378163.35962</v>
      </c>
      <c r="J101" s="446">
        <f>I101/$I$103</f>
        <v>3.0639240580172727E-2</v>
      </c>
      <c r="K101" s="459">
        <f>SUM(K16,K56,K64,K72,K96)</f>
        <v>3596257370696.2065</v>
      </c>
      <c r="L101" s="461">
        <f>K101/$K$103</f>
        <v>3.0745486573479155E-2</v>
      </c>
      <c r="M101" s="166"/>
      <c r="N101" s="156"/>
    </row>
    <row r="102" spans="1:14" ht="12.75" customHeight="1" x14ac:dyDescent="0.2">
      <c r="A102" s="304"/>
      <c r="B102" s="456" t="s">
        <v>227</v>
      </c>
      <c r="C102" s="459">
        <f>SUM(C17,C25,C33,C41,C49,C57,C73,C81,C89,C97)</f>
        <v>15317331689.482986</v>
      </c>
      <c r="D102" s="446">
        <f>C102/$C$103</f>
        <v>0.98505597717650928</v>
      </c>
      <c r="E102" s="459">
        <f>SUM(E17,E25,E33,E41,E49,E57,E73,E81,E89,E97)</f>
        <v>71113559.103545725</v>
      </c>
      <c r="F102" s="446">
        <f>E102/$E$103</f>
        <v>2.4130327038176144E-4</v>
      </c>
      <c r="G102" s="459">
        <f>SUM(G17,G57,G65,G73,G97)</f>
        <v>210030786.78192335</v>
      </c>
      <c r="H102" s="446">
        <f>G102/$G$103</f>
        <v>4.4279446714692193E-6</v>
      </c>
      <c r="I102" s="459">
        <f>SUM(I17,I57,I65,I73,I97)</f>
        <v>68138056.850550711</v>
      </c>
      <c r="J102" s="446">
        <f>I102/$I$103</f>
        <v>2.169773518879314E-6</v>
      </c>
      <c r="K102" s="459">
        <f>SUM(K17,K57,K65,K73,K97)</f>
        <v>1132688210.6327603</v>
      </c>
      <c r="L102" s="461">
        <f>K102/$K$103</f>
        <v>9.6836924008043981E-6</v>
      </c>
      <c r="M102" s="166"/>
      <c r="N102" s="156"/>
    </row>
    <row r="103" spans="1:14" ht="12.75" customHeight="1" thickBot="1" x14ac:dyDescent="0.25">
      <c r="A103" s="304"/>
      <c r="B103" s="482" t="s">
        <v>228</v>
      </c>
      <c r="C103" s="485">
        <f>SUM(C99:C102)</f>
        <v>15549706863.75351</v>
      </c>
      <c r="D103" s="485"/>
      <c r="E103" s="485">
        <f>SUM(E99:E102)</f>
        <v>294706155416.12128</v>
      </c>
      <c r="F103" s="485"/>
      <c r="G103" s="485">
        <f>SUM(G99:G102)</f>
        <v>47433019688620.875</v>
      </c>
      <c r="H103" s="485"/>
      <c r="I103" s="485">
        <f>SUM(I99:I102)</f>
        <v>31403303735471.875</v>
      </c>
      <c r="J103" s="485"/>
      <c r="K103" s="485">
        <f>SUM(K99:K102)</f>
        <v>116968627642351.69</v>
      </c>
      <c r="L103" s="486"/>
      <c r="M103" s="166"/>
      <c r="N103" s="156"/>
    </row>
    <row r="104" spans="1:14" ht="12.75" customHeight="1" x14ac:dyDescent="0.2">
      <c r="A104" s="17"/>
      <c r="B104" s="98"/>
      <c r="C104" s="21"/>
      <c r="D104" s="21"/>
      <c r="E104" s="21"/>
      <c r="F104" s="21"/>
      <c r="G104" s="21"/>
      <c r="H104" s="444"/>
      <c r="I104" s="21"/>
      <c r="J104" s="21"/>
      <c r="K104" s="21"/>
      <c r="L104" s="21"/>
      <c r="M104" s="166"/>
      <c r="N104" s="156"/>
    </row>
    <row r="105" spans="1:14" ht="12.75" customHeight="1" x14ac:dyDescent="0.2">
      <c r="A105" s="17"/>
      <c r="B105" s="98"/>
      <c r="C105" s="21"/>
      <c r="D105" s="21"/>
      <c r="E105" s="21"/>
      <c r="F105" s="21"/>
      <c r="G105" s="21"/>
      <c r="H105" s="21"/>
      <c r="I105" s="21"/>
      <c r="J105" s="21"/>
      <c r="K105" s="21"/>
      <c r="L105" s="21"/>
      <c r="M105" s="166"/>
      <c r="N105" s="156"/>
    </row>
    <row r="106" spans="1:14" ht="12.75" customHeight="1" x14ac:dyDescent="0.2">
      <c r="A106" s="17"/>
      <c r="B106" s="98"/>
      <c r="C106" s="21"/>
      <c r="D106" s="21"/>
      <c r="E106" s="21"/>
      <c r="F106" s="21"/>
      <c r="G106" s="21"/>
      <c r="H106" s="21"/>
      <c r="I106" s="21"/>
      <c r="J106" s="21"/>
      <c r="K106" s="21"/>
      <c r="L106" s="21"/>
      <c r="M106" s="166"/>
      <c r="N106" s="156"/>
    </row>
    <row r="107" spans="1:14" ht="12.75" customHeight="1" x14ac:dyDescent="0.2">
      <c r="A107" s="17"/>
      <c r="B107" s="98"/>
      <c r="C107" s="21"/>
      <c r="D107" s="21"/>
      <c r="E107" s="21"/>
      <c r="F107" s="21"/>
      <c r="G107" s="21"/>
      <c r="H107" s="21"/>
      <c r="I107" s="21"/>
      <c r="J107" s="21"/>
      <c r="K107" s="21"/>
      <c r="L107" s="21"/>
      <c r="M107" s="166"/>
      <c r="N107" s="156"/>
    </row>
    <row r="108" spans="1:14" ht="12.75" customHeight="1" x14ac:dyDescent="0.2">
      <c r="A108" s="17"/>
      <c r="B108" s="98"/>
      <c r="C108" s="21"/>
      <c r="D108" s="21"/>
      <c r="E108" s="21"/>
      <c r="F108" s="21"/>
      <c r="G108" s="21"/>
      <c r="H108" s="21"/>
      <c r="I108" s="21"/>
      <c r="J108" s="21"/>
      <c r="K108" s="21"/>
      <c r="L108" s="21"/>
      <c r="M108" s="166"/>
      <c r="N108" s="156"/>
    </row>
    <row r="109" spans="1:14" ht="12.75" customHeight="1" x14ac:dyDescent="0.2">
      <c r="A109" s="17"/>
      <c r="B109" s="98"/>
      <c r="C109" s="21"/>
      <c r="D109" s="21"/>
      <c r="E109" s="21"/>
      <c r="F109" s="21"/>
      <c r="G109" s="21"/>
      <c r="H109" s="21"/>
      <c r="I109" s="21"/>
      <c r="J109" s="21"/>
      <c r="K109" s="21"/>
      <c r="L109" s="21"/>
      <c r="M109" s="166"/>
      <c r="N109" s="156"/>
    </row>
    <row r="110" spans="1:14" ht="12.75" customHeight="1" x14ac:dyDescent="0.2">
      <c r="A110" s="17"/>
      <c r="B110" s="98"/>
      <c r="C110" s="21"/>
      <c r="D110" s="21"/>
      <c r="E110" s="21"/>
      <c r="F110" s="21"/>
      <c r="G110" s="21"/>
      <c r="H110" s="21"/>
      <c r="I110" s="21"/>
      <c r="J110" s="21"/>
      <c r="K110" s="21"/>
      <c r="L110" s="21"/>
      <c r="M110" s="166"/>
      <c r="N110" s="156"/>
    </row>
    <row r="111" spans="1:14" ht="12.75" customHeight="1" x14ac:dyDescent="0.2">
      <c r="A111" s="17"/>
      <c r="B111" s="98"/>
      <c r="C111" s="21"/>
      <c r="D111" s="21"/>
      <c r="E111" s="21"/>
      <c r="F111" s="21"/>
      <c r="G111" s="21"/>
      <c r="H111" s="21"/>
      <c r="I111" s="21"/>
      <c r="J111" s="21"/>
      <c r="K111" s="21"/>
      <c r="L111" s="21"/>
      <c r="M111" s="166"/>
      <c r="N111" s="156"/>
    </row>
    <row r="112" spans="1:14" ht="12.75" customHeight="1" x14ac:dyDescent="0.2">
      <c r="A112" s="17"/>
      <c r="B112" s="98"/>
      <c r="C112" s="21"/>
      <c r="D112" s="21"/>
      <c r="E112" s="21"/>
      <c r="F112" s="21"/>
      <c r="G112" s="21"/>
      <c r="H112" s="21"/>
      <c r="I112" s="21"/>
      <c r="J112" s="21"/>
      <c r="K112" s="21"/>
      <c r="L112" s="21"/>
      <c r="M112" s="166"/>
      <c r="N112" s="156"/>
    </row>
    <row r="113" spans="1:14" ht="12.75" customHeight="1" x14ac:dyDescent="0.2">
      <c r="A113" s="17"/>
      <c r="B113" s="98"/>
      <c r="C113" s="21"/>
      <c r="D113" s="21"/>
      <c r="E113" s="21"/>
      <c r="F113" s="21"/>
      <c r="G113" s="21"/>
      <c r="H113" s="21"/>
      <c r="I113" s="21"/>
      <c r="J113" s="21"/>
      <c r="K113" s="21"/>
      <c r="L113" s="21"/>
      <c r="M113" s="166"/>
      <c r="N113" s="156"/>
    </row>
    <row r="114" spans="1:14" ht="12.75" customHeight="1" x14ac:dyDescent="0.2">
      <c r="A114" s="17"/>
      <c r="B114" s="98"/>
      <c r="C114" s="21"/>
      <c r="D114" s="21"/>
      <c r="E114" s="21"/>
      <c r="F114" s="21"/>
      <c r="G114" s="21"/>
      <c r="H114" s="21"/>
      <c r="I114" s="21"/>
      <c r="J114" s="21"/>
      <c r="K114" s="21"/>
      <c r="L114" s="21"/>
      <c r="M114" s="166"/>
      <c r="N114" s="156"/>
    </row>
    <row r="115" spans="1:14" ht="12.75" customHeight="1" x14ac:dyDescent="0.2">
      <c r="A115" s="17"/>
      <c r="B115" s="98"/>
      <c r="C115" s="21"/>
      <c r="D115" s="21"/>
      <c r="E115" s="21"/>
      <c r="F115" s="21"/>
      <c r="G115" s="21"/>
      <c r="H115" s="21"/>
      <c r="I115" s="21"/>
      <c r="J115" s="21"/>
      <c r="K115" s="21"/>
      <c r="L115" s="21"/>
      <c r="M115" s="166"/>
      <c r="N115" s="156"/>
    </row>
    <row r="116" spans="1:14" ht="12.75" customHeight="1" x14ac:dyDescent="0.2">
      <c r="A116" s="17"/>
      <c r="B116" s="98"/>
      <c r="C116" s="21"/>
      <c r="D116" s="21"/>
      <c r="E116" s="21"/>
      <c r="F116" s="21"/>
      <c r="G116" s="21"/>
      <c r="H116" s="21"/>
      <c r="I116" s="21"/>
      <c r="J116" s="21"/>
      <c r="K116" s="21"/>
      <c r="L116" s="21"/>
      <c r="M116" s="166"/>
      <c r="N116" s="156"/>
    </row>
    <row r="117" spans="1:14" ht="12.75" customHeight="1" x14ac:dyDescent="0.2">
      <c r="A117" s="17"/>
      <c r="B117" s="98"/>
      <c r="C117" s="21"/>
      <c r="D117" s="21"/>
      <c r="E117" s="21"/>
      <c r="F117" s="21"/>
      <c r="G117" s="21"/>
      <c r="H117" s="21"/>
      <c r="I117" s="21"/>
      <c r="J117" s="21"/>
      <c r="K117" s="21"/>
      <c r="L117" s="21"/>
      <c r="M117" s="166"/>
      <c r="N117" s="156"/>
    </row>
    <row r="118" spans="1:14" ht="12.75" customHeight="1" x14ac:dyDescent="0.2">
      <c r="A118" s="17"/>
      <c r="B118" s="98"/>
      <c r="C118" s="21"/>
      <c r="D118" s="21"/>
      <c r="E118" s="21"/>
      <c r="F118" s="21"/>
      <c r="G118" s="21"/>
      <c r="H118" s="21"/>
      <c r="I118" s="21"/>
      <c r="J118" s="21"/>
      <c r="K118" s="21"/>
      <c r="L118" s="21"/>
      <c r="M118" s="166"/>
      <c r="N118" s="156"/>
    </row>
    <row r="119" spans="1:14" ht="12.75" customHeight="1" x14ac:dyDescent="0.2">
      <c r="A119" s="17"/>
      <c r="B119" s="98"/>
      <c r="C119" s="21"/>
      <c r="D119" s="21"/>
      <c r="E119" s="21"/>
      <c r="F119" s="21"/>
      <c r="G119" s="21"/>
      <c r="H119" s="21"/>
      <c r="I119" s="21"/>
      <c r="J119" s="21"/>
      <c r="K119" s="21"/>
      <c r="L119" s="21"/>
      <c r="M119" s="166"/>
      <c r="N119" s="156"/>
    </row>
    <row r="120" spans="1:14" ht="12.75" customHeight="1" x14ac:dyDescent="0.2">
      <c r="A120" s="17"/>
      <c r="B120" s="98"/>
      <c r="C120" s="21"/>
      <c r="D120" s="21"/>
      <c r="E120" s="21"/>
      <c r="F120" s="21"/>
      <c r="G120" s="21"/>
      <c r="H120" s="21"/>
      <c r="I120" s="21"/>
      <c r="J120" s="21"/>
      <c r="K120" s="21"/>
      <c r="L120" s="21"/>
      <c r="M120" s="166"/>
      <c r="N120" s="156"/>
    </row>
    <row r="121" spans="1:14" ht="12.75" customHeight="1" x14ac:dyDescent="0.2">
      <c r="A121" s="17"/>
      <c r="B121" s="98"/>
      <c r="C121" s="21"/>
      <c r="D121" s="21"/>
      <c r="E121" s="21"/>
      <c r="F121" s="21"/>
      <c r="G121" s="21"/>
      <c r="H121" s="21"/>
      <c r="I121" s="21"/>
      <c r="J121" s="21"/>
      <c r="K121" s="21"/>
      <c r="L121" s="21"/>
      <c r="M121" s="166"/>
      <c r="N121" s="156"/>
    </row>
    <row r="122" spans="1:14" ht="12.75" customHeight="1" x14ac:dyDescent="0.2">
      <c r="A122" s="17"/>
      <c r="B122" s="98"/>
      <c r="C122" s="21"/>
      <c r="D122" s="21"/>
      <c r="E122" s="21"/>
      <c r="F122" s="21"/>
      <c r="G122" s="21"/>
      <c r="H122" s="21"/>
      <c r="I122" s="21"/>
      <c r="J122" s="21"/>
      <c r="K122" s="21"/>
      <c r="L122" s="21"/>
      <c r="M122" s="166"/>
      <c r="N122" s="156"/>
    </row>
    <row r="123" spans="1:14" ht="12.75" customHeight="1" x14ac:dyDescent="0.2">
      <c r="A123" s="17"/>
      <c r="B123" s="98"/>
      <c r="C123" s="21"/>
      <c r="D123" s="21"/>
      <c r="E123" s="21"/>
      <c r="F123" s="21"/>
      <c r="G123" s="21"/>
      <c r="H123" s="21"/>
      <c r="I123" s="21"/>
      <c r="J123" s="21"/>
      <c r="K123" s="21"/>
      <c r="L123" s="21"/>
      <c r="M123" s="166"/>
      <c r="N123" s="156"/>
    </row>
    <row r="124" spans="1:14" ht="12.75" customHeight="1" x14ac:dyDescent="0.2">
      <c r="A124" s="17"/>
      <c r="B124" s="98"/>
      <c r="C124" s="21"/>
      <c r="D124" s="21"/>
      <c r="E124" s="21"/>
      <c r="F124" s="21"/>
      <c r="G124" s="21"/>
      <c r="H124" s="21"/>
      <c r="I124" s="21"/>
      <c r="J124" s="21"/>
      <c r="K124" s="21"/>
      <c r="L124" s="21"/>
      <c r="M124" s="17"/>
      <c r="N124" s="156"/>
    </row>
    <row r="125" spans="1:14" ht="12.75" customHeight="1" x14ac:dyDescent="0.2">
      <c r="A125" s="17"/>
      <c r="B125" s="98"/>
      <c r="C125" s="21"/>
      <c r="D125" s="21"/>
      <c r="E125" s="21"/>
      <c r="F125" s="21"/>
      <c r="G125" s="21"/>
      <c r="H125" s="21"/>
      <c r="I125" s="21"/>
      <c r="J125" s="21"/>
      <c r="K125" s="21"/>
      <c r="L125" s="21"/>
      <c r="M125" s="17"/>
      <c r="N125" s="156"/>
    </row>
    <row r="126" spans="1:14" ht="12.75" customHeight="1" x14ac:dyDescent="0.2">
      <c r="A126" s="17"/>
      <c r="B126" s="98"/>
      <c r="C126" s="21"/>
      <c r="D126" s="21"/>
      <c r="E126" s="21"/>
      <c r="F126" s="21"/>
      <c r="G126" s="21"/>
      <c r="H126" s="21"/>
      <c r="I126" s="21"/>
      <c r="J126" s="21"/>
      <c r="K126" s="21"/>
      <c r="L126" s="21"/>
      <c r="M126" s="17"/>
      <c r="N126" s="156"/>
    </row>
    <row r="127" spans="1:14" ht="12.75" customHeight="1" x14ac:dyDescent="0.2">
      <c r="A127" s="17"/>
      <c r="B127" s="98"/>
      <c r="C127" s="21"/>
      <c r="D127" s="21"/>
      <c r="E127" s="21"/>
      <c r="F127" s="21"/>
      <c r="G127" s="21"/>
      <c r="H127" s="21"/>
      <c r="I127" s="21"/>
      <c r="J127" s="21"/>
      <c r="K127" s="21"/>
      <c r="L127" s="21"/>
      <c r="M127" s="17"/>
      <c r="N127" s="156"/>
    </row>
    <row r="128" spans="1:14" ht="12.75" customHeight="1" x14ac:dyDescent="0.2">
      <c r="A128" s="17"/>
      <c r="B128" s="98"/>
      <c r="C128" s="21"/>
      <c r="D128" s="21"/>
      <c r="E128" s="21"/>
      <c r="F128" s="21"/>
      <c r="G128" s="21"/>
      <c r="H128" s="21"/>
      <c r="I128" s="21"/>
      <c r="J128" s="21"/>
      <c r="K128" s="21"/>
      <c r="L128" s="21"/>
      <c r="M128" s="17"/>
      <c r="N128" s="156"/>
    </row>
    <row r="129" spans="1:14" ht="12.75" customHeight="1" x14ac:dyDescent="0.2">
      <c r="A129" s="17"/>
      <c r="B129" s="98"/>
      <c r="C129" s="21"/>
      <c r="D129" s="21"/>
      <c r="E129" s="21"/>
      <c r="F129" s="21"/>
      <c r="G129" s="21"/>
      <c r="H129" s="21"/>
      <c r="I129" s="21"/>
      <c r="J129" s="21"/>
      <c r="K129" s="21"/>
      <c r="L129" s="21"/>
      <c r="M129" s="17"/>
      <c r="N129" s="156"/>
    </row>
    <row r="130" spans="1:14" ht="12.75" customHeight="1" x14ac:dyDescent="0.2">
      <c r="A130" s="17"/>
      <c r="B130" s="98"/>
      <c r="C130" s="21"/>
      <c r="D130" s="21"/>
      <c r="E130" s="21"/>
      <c r="F130" s="21"/>
      <c r="G130" s="21"/>
      <c r="H130" s="21"/>
      <c r="I130" s="21"/>
      <c r="J130" s="21"/>
      <c r="K130" s="21"/>
      <c r="L130" s="21"/>
      <c r="M130" s="17"/>
      <c r="N130" s="156"/>
    </row>
    <row r="131" spans="1:14" ht="12.75" customHeight="1" x14ac:dyDescent="0.2">
      <c r="A131" s="17"/>
      <c r="B131" s="98"/>
      <c r="C131" s="21"/>
      <c r="D131" s="21"/>
      <c r="E131" s="21"/>
      <c r="F131" s="21"/>
      <c r="G131" s="21"/>
      <c r="H131" s="21"/>
      <c r="I131" s="21"/>
      <c r="J131" s="21"/>
      <c r="K131" s="21"/>
      <c r="L131" s="21"/>
      <c r="M131" s="17"/>
      <c r="N131" s="156"/>
    </row>
    <row r="132" spans="1:14" ht="12.75" customHeight="1" x14ac:dyDescent="0.2">
      <c r="A132" s="17"/>
      <c r="B132" s="98"/>
      <c r="C132" s="21"/>
      <c r="D132" s="21"/>
      <c r="E132" s="21"/>
      <c r="F132" s="21"/>
      <c r="G132" s="21"/>
      <c r="H132" s="21"/>
      <c r="I132" s="21"/>
      <c r="J132" s="21"/>
      <c r="K132" s="21"/>
      <c r="L132" s="21"/>
      <c r="M132" s="17"/>
      <c r="N132" s="156"/>
    </row>
    <row r="133" spans="1:14" ht="12.75" customHeight="1" x14ac:dyDescent="0.2">
      <c r="A133" s="17"/>
      <c r="B133" s="98"/>
      <c r="C133" s="21"/>
      <c r="D133" s="21"/>
      <c r="E133" s="21"/>
      <c r="F133" s="21"/>
      <c r="G133" s="21"/>
      <c r="H133" s="21"/>
      <c r="I133" s="21"/>
      <c r="J133" s="21"/>
      <c r="K133" s="21"/>
      <c r="L133" s="21"/>
      <c r="M133" s="17"/>
      <c r="N133" s="156"/>
    </row>
    <row r="134" spans="1:14" ht="12.75" customHeight="1" x14ac:dyDescent="0.2">
      <c r="A134" s="17"/>
      <c r="B134" s="98"/>
      <c r="C134" s="21"/>
      <c r="D134" s="21"/>
      <c r="E134" s="21"/>
      <c r="F134" s="21"/>
      <c r="G134" s="21"/>
      <c r="H134" s="21"/>
      <c r="I134" s="21"/>
      <c r="J134" s="21"/>
      <c r="K134" s="21"/>
      <c r="L134" s="21"/>
      <c r="M134" s="17"/>
      <c r="N134" s="156"/>
    </row>
    <row r="135" spans="1:14" ht="12.75" customHeight="1" x14ac:dyDescent="0.2">
      <c r="A135" s="17"/>
      <c r="B135" s="98"/>
      <c r="C135" s="21"/>
      <c r="D135" s="21"/>
      <c r="E135" s="21"/>
      <c r="F135" s="21"/>
      <c r="G135" s="21"/>
      <c r="H135" s="21"/>
      <c r="I135" s="21"/>
      <c r="J135" s="21"/>
      <c r="K135" s="21"/>
      <c r="L135" s="21"/>
      <c r="M135" s="17"/>
      <c r="N135" s="156"/>
    </row>
    <row r="136" spans="1:14" ht="12.75" customHeight="1" x14ac:dyDescent="0.2">
      <c r="A136" s="17"/>
      <c r="B136" s="98"/>
      <c r="C136" s="21"/>
      <c r="D136" s="21"/>
      <c r="E136" s="21"/>
      <c r="F136" s="21"/>
      <c r="G136" s="21"/>
      <c r="H136" s="21"/>
      <c r="I136" s="21"/>
      <c r="J136" s="21"/>
      <c r="K136" s="21"/>
      <c r="L136" s="21"/>
      <c r="M136" s="17"/>
      <c r="N136" s="156"/>
    </row>
    <row r="137" spans="1:14" ht="12.75" customHeight="1" x14ac:dyDescent="0.2">
      <c r="A137" s="17"/>
      <c r="B137" s="98"/>
      <c r="C137" s="21"/>
      <c r="D137" s="21"/>
      <c r="E137" s="21"/>
      <c r="F137" s="21"/>
      <c r="G137" s="21"/>
      <c r="H137" s="21"/>
      <c r="I137" s="21"/>
      <c r="J137" s="21"/>
      <c r="K137" s="21"/>
      <c r="L137" s="21"/>
      <c r="M137" s="17"/>
      <c r="N137" s="156"/>
    </row>
    <row r="138" spans="1:14" ht="12.75" customHeight="1" x14ac:dyDescent="0.2">
      <c r="A138" s="17"/>
      <c r="B138" s="98"/>
      <c r="C138" s="21"/>
      <c r="D138" s="21"/>
      <c r="E138" s="21"/>
      <c r="F138" s="21"/>
      <c r="G138" s="21"/>
      <c r="H138" s="21"/>
      <c r="I138" s="21"/>
      <c r="J138" s="21"/>
      <c r="K138" s="21"/>
      <c r="L138" s="21"/>
      <c r="M138" s="17"/>
      <c r="N138" s="17"/>
    </row>
    <row r="139" spans="1:14" ht="12.75" customHeight="1" x14ac:dyDescent="0.2">
      <c r="A139" s="17"/>
      <c r="B139" s="98"/>
      <c r="C139" s="21"/>
      <c r="D139" s="21"/>
      <c r="E139" s="21"/>
      <c r="F139" s="21"/>
      <c r="G139" s="21"/>
      <c r="H139" s="21"/>
      <c r="I139" s="21"/>
      <c r="J139" s="21"/>
      <c r="K139" s="21"/>
      <c r="L139" s="21"/>
      <c r="M139" s="17"/>
      <c r="N139" s="17"/>
    </row>
    <row r="140" spans="1:14" ht="12.75" customHeight="1" x14ac:dyDescent="0.2">
      <c r="A140" s="17"/>
      <c r="B140" s="98"/>
      <c r="C140" s="21"/>
      <c r="D140" s="21"/>
      <c r="E140" s="21"/>
      <c r="F140" s="21"/>
      <c r="G140" s="21"/>
      <c r="H140" s="21"/>
      <c r="I140" s="21"/>
      <c r="J140" s="21"/>
      <c r="K140" s="21"/>
      <c r="L140" s="21"/>
      <c r="M140" s="17"/>
      <c r="N140" s="17"/>
    </row>
    <row r="141" spans="1:14" ht="12.75" customHeight="1" x14ac:dyDescent="0.2">
      <c r="A141" s="17"/>
      <c r="B141" s="98"/>
      <c r="C141" s="21"/>
      <c r="D141" s="21"/>
      <c r="E141" s="21"/>
      <c r="F141" s="21"/>
      <c r="G141" s="21"/>
      <c r="H141" s="21"/>
      <c r="I141" s="21"/>
      <c r="J141" s="21"/>
      <c r="K141" s="21"/>
      <c r="L141" s="21"/>
      <c r="M141" s="17"/>
      <c r="N141" s="17"/>
    </row>
    <row r="142" spans="1:14" ht="12.75" customHeight="1" x14ac:dyDescent="0.2">
      <c r="A142" s="17"/>
      <c r="B142" s="98"/>
      <c r="C142" s="21"/>
      <c r="D142" s="21"/>
      <c r="E142" s="21"/>
      <c r="F142" s="21"/>
      <c r="G142" s="21"/>
      <c r="H142" s="21"/>
      <c r="I142" s="21"/>
      <c r="J142" s="21"/>
      <c r="K142" s="21"/>
      <c r="L142" s="21"/>
      <c r="M142" s="17"/>
      <c r="N142" s="17"/>
    </row>
    <row r="143" spans="1:14" ht="12.75" customHeight="1" x14ac:dyDescent="0.2">
      <c r="A143" s="17"/>
      <c r="B143" s="98"/>
      <c r="C143" s="21"/>
      <c r="D143" s="21"/>
      <c r="E143" s="21"/>
      <c r="F143" s="21"/>
      <c r="G143" s="21"/>
      <c r="H143" s="21"/>
      <c r="I143" s="21"/>
      <c r="J143" s="21"/>
      <c r="K143" s="21"/>
      <c r="L143" s="21"/>
      <c r="M143" s="17"/>
      <c r="N143" s="17"/>
    </row>
    <row r="144" spans="1:14" ht="12.75" customHeight="1" x14ac:dyDescent="0.2">
      <c r="A144" s="17"/>
      <c r="B144" s="98"/>
      <c r="C144" s="21"/>
      <c r="D144" s="21"/>
      <c r="E144" s="21"/>
      <c r="F144" s="21"/>
      <c r="G144" s="21"/>
      <c r="H144" s="21"/>
      <c r="I144" s="21"/>
      <c r="J144" s="21"/>
      <c r="K144" s="21"/>
      <c r="L144" s="21"/>
      <c r="M144" s="17"/>
      <c r="N144" s="17"/>
    </row>
    <row r="145" spans="1:14" ht="12.75" customHeight="1" x14ac:dyDescent="0.2">
      <c r="A145" s="17"/>
      <c r="B145" s="98"/>
      <c r="C145" s="21"/>
      <c r="D145" s="21"/>
      <c r="E145" s="21"/>
      <c r="F145" s="21"/>
      <c r="G145" s="21"/>
      <c r="H145" s="21"/>
      <c r="I145" s="21"/>
      <c r="J145" s="21"/>
      <c r="K145" s="21"/>
      <c r="L145" s="21"/>
      <c r="M145" s="17"/>
      <c r="N145" s="17"/>
    </row>
    <row r="146" spans="1:14" ht="12.75" customHeight="1" x14ac:dyDescent="0.2">
      <c r="A146" s="17"/>
      <c r="B146" s="98"/>
      <c r="C146" s="21"/>
      <c r="D146" s="21"/>
      <c r="E146" s="21"/>
      <c r="F146" s="21"/>
      <c r="G146" s="21"/>
      <c r="H146" s="21"/>
      <c r="I146" s="21"/>
      <c r="J146" s="21"/>
      <c r="K146" s="21"/>
      <c r="L146" s="21"/>
      <c r="M146" s="17"/>
      <c r="N146" s="17"/>
    </row>
    <row r="147" spans="1:14" ht="12.75" customHeight="1" x14ac:dyDescent="0.2">
      <c r="A147" s="17"/>
      <c r="B147" s="98"/>
      <c r="C147" s="38"/>
      <c r="D147" s="38"/>
      <c r="E147" s="38"/>
      <c r="F147" s="38"/>
      <c r="G147" s="38"/>
      <c r="H147" s="38"/>
      <c r="I147" s="38"/>
      <c r="J147" s="38"/>
      <c r="K147" s="38"/>
      <c r="L147" s="38"/>
      <c r="M147" s="17"/>
      <c r="N147" s="17"/>
    </row>
    <row r="148" spans="1:14" ht="12.75" customHeight="1" x14ac:dyDescent="0.2">
      <c r="A148" s="17"/>
      <c r="B148" s="98"/>
      <c r="C148" s="38"/>
      <c r="D148" s="38"/>
      <c r="E148" s="38"/>
      <c r="F148" s="38"/>
      <c r="G148" s="38"/>
      <c r="H148" s="38"/>
      <c r="I148" s="38"/>
      <c r="J148" s="38"/>
      <c r="K148" s="38"/>
      <c r="L148" s="38"/>
      <c r="M148" s="17"/>
      <c r="N148" s="17"/>
    </row>
    <row r="149" spans="1:14" ht="12.75" customHeight="1" x14ac:dyDescent="0.2">
      <c r="A149" s="17"/>
      <c r="B149" s="98"/>
      <c r="C149" s="38"/>
      <c r="D149" s="38"/>
      <c r="E149" s="38"/>
      <c r="F149" s="38"/>
      <c r="G149" s="38"/>
      <c r="H149" s="38"/>
      <c r="I149" s="38"/>
      <c r="J149" s="38"/>
      <c r="K149" s="38"/>
      <c r="L149" s="38"/>
      <c r="M149" s="17"/>
      <c r="N149" s="17"/>
    </row>
    <row r="150" spans="1:14" ht="12.75" customHeight="1" x14ac:dyDescent="0.2">
      <c r="A150" s="17"/>
      <c r="B150" s="98"/>
      <c r="C150" s="38"/>
      <c r="D150" s="38"/>
      <c r="E150" s="38"/>
      <c r="F150" s="38"/>
      <c r="G150" s="38"/>
      <c r="H150" s="38"/>
      <c r="I150" s="38"/>
      <c r="J150" s="38"/>
      <c r="K150" s="38"/>
      <c r="L150" s="38"/>
      <c r="M150" s="17"/>
      <c r="N150" s="17"/>
    </row>
    <row r="151" spans="1:14" ht="12.75" customHeight="1" x14ac:dyDescent="0.2">
      <c r="A151" s="17"/>
      <c r="B151" s="98"/>
      <c r="C151" s="38"/>
      <c r="D151" s="38"/>
      <c r="E151" s="38"/>
      <c r="F151" s="38"/>
      <c r="G151" s="38"/>
      <c r="H151" s="38"/>
      <c r="I151" s="38"/>
      <c r="J151" s="38"/>
      <c r="K151" s="38"/>
      <c r="L151" s="38"/>
      <c r="M151" s="17"/>
      <c r="N151" s="17"/>
    </row>
    <row r="152" spans="1:14" ht="12.75" customHeight="1" x14ac:dyDescent="0.2">
      <c r="A152" s="17"/>
      <c r="B152" s="98"/>
      <c r="C152" s="38"/>
      <c r="D152" s="38"/>
      <c r="E152" s="38"/>
      <c r="F152" s="38"/>
      <c r="G152" s="38"/>
      <c r="H152" s="38"/>
      <c r="I152" s="38"/>
      <c r="J152" s="38"/>
      <c r="K152" s="38"/>
      <c r="L152" s="38"/>
      <c r="M152" s="17"/>
      <c r="N152" s="17"/>
    </row>
    <row r="153" spans="1:14" ht="12.75" customHeight="1" x14ac:dyDescent="0.2">
      <c r="A153" s="17"/>
      <c r="B153" s="98"/>
      <c r="C153" s="38"/>
      <c r="D153" s="38"/>
      <c r="E153" s="38"/>
      <c r="F153" s="38"/>
      <c r="G153" s="38"/>
      <c r="H153" s="38"/>
      <c r="I153" s="38"/>
      <c r="J153" s="38"/>
      <c r="K153" s="38"/>
      <c r="L153" s="38"/>
      <c r="M153" s="17"/>
      <c r="N153" s="17"/>
    </row>
    <row r="154" spans="1:14" ht="12.75" customHeight="1" x14ac:dyDescent="0.2">
      <c r="A154" s="17"/>
      <c r="B154" s="98"/>
      <c r="C154" s="38"/>
      <c r="D154" s="38"/>
      <c r="E154" s="38"/>
      <c r="F154" s="38"/>
      <c r="G154" s="38"/>
      <c r="H154" s="38"/>
      <c r="I154" s="38"/>
      <c r="J154" s="38"/>
      <c r="K154" s="38"/>
      <c r="L154" s="38"/>
      <c r="M154" s="17"/>
      <c r="N154" s="17"/>
    </row>
    <row r="155" spans="1:14" ht="12.75" customHeight="1" x14ac:dyDescent="0.2">
      <c r="A155" s="17"/>
      <c r="B155" s="98"/>
      <c r="C155" s="38"/>
      <c r="D155" s="38"/>
      <c r="E155" s="38"/>
      <c r="F155" s="38"/>
      <c r="G155" s="38"/>
      <c r="H155" s="38"/>
      <c r="I155" s="38"/>
      <c r="J155" s="38"/>
      <c r="K155" s="38"/>
      <c r="L155" s="38"/>
      <c r="M155" s="17"/>
      <c r="N155" s="17"/>
    </row>
    <row r="156" spans="1:14" ht="12.75" customHeight="1" x14ac:dyDescent="0.2">
      <c r="A156" s="17"/>
      <c r="B156" s="98"/>
      <c r="C156" s="38"/>
      <c r="D156" s="38"/>
      <c r="E156" s="38"/>
      <c r="F156" s="38"/>
      <c r="G156" s="38"/>
      <c r="H156" s="38"/>
      <c r="I156" s="38"/>
      <c r="J156" s="38"/>
      <c r="K156" s="38"/>
      <c r="L156" s="38"/>
      <c r="M156" s="17"/>
      <c r="N156" s="17"/>
    </row>
    <row r="157" spans="1:14" ht="12.75" customHeight="1" x14ac:dyDescent="0.2">
      <c r="A157" s="17"/>
      <c r="B157" s="98"/>
      <c r="C157" s="38"/>
      <c r="D157" s="38"/>
      <c r="E157" s="38"/>
      <c r="F157" s="38"/>
      <c r="G157" s="38"/>
      <c r="H157" s="38"/>
      <c r="I157" s="38"/>
      <c r="J157" s="38"/>
      <c r="K157" s="38"/>
      <c r="L157" s="38"/>
      <c r="M157" s="17"/>
      <c r="N157" s="17"/>
    </row>
    <row r="158" spans="1:14" ht="12.75" customHeight="1" x14ac:dyDescent="0.2">
      <c r="A158" s="17"/>
      <c r="B158" s="98"/>
      <c r="C158" s="38"/>
      <c r="D158" s="38"/>
      <c r="E158" s="38"/>
      <c r="F158" s="38"/>
      <c r="G158" s="38"/>
      <c r="H158" s="38"/>
      <c r="I158" s="38"/>
      <c r="J158" s="38"/>
      <c r="K158" s="38"/>
      <c r="L158" s="38"/>
      <c r="M158" s="17"/>
      <c r="N158" s="17"/>
    </row>
    <row r="159" spans="1:14" ht="12.75" customHeight="1" x14ac:dyDescent="0.2">
      <c r="A159" s="17"/>
      <c r="B159" s="98"/>
      <c r="C159" s="38"/>
      <c r="D159" s="38"/>
      <c r="E159" s="38"/>
      <c r="F159" s="38"/>
      <c r="G159" s="38"/>
      <c r="H159" s="38"/>
      <c r="I159" s="38"/>
      <c r="J159" s="38"/>
      <c r="K159" s="38"/>
      <c r="L159" s="38"/>
      <c r="M159" s="17"/>
      <c r="N159" s="17"/>
    </row>
    <row r="160" spans="1:14" ht="12.75" customHeight="1" x14ac:dyDescent="0.2">
      <c r="A160" s="17"/>
      <c r="B160" s="98"/>
      <c r="C160" s="38"/>
      <c r="D160" s="38"/>
      <c r="E160" s="38"/>
      <c r="F160" s="38"/>
      <c r="G160" s="38"/>
      <c r="H160" s="38"/>
      <c r="I160" s="38"/>
      <c r="J160" s="38"/>
      <c r="K160" s="38"/>
      <c r="L160" s="38"/>
      <c r="M160" s="17"/>
      <c r="N160" s="17"/>
    </row>
    <row r="161" spans="1:14" ht="12.75" customHeight="1" x14ac:dyDescent="0.2">
      <c r="A161" s="17"/>
      <c r="B161" s="98"/>
      <c r="C161" s="38"/>
      <c r="D161" s="38"/>
      <c r="E161" s="38"/>
      <c r="F161" s="38"/>
      <c r="G161" s="38"/>
      <c r="H161" s="38"/>
      <c r="I161" s="38"/>
      <c r="J161" s="38"/>
      <c r="K161" s="38"/>
      <c r="L161" s="38"/>
      <c r="M161" s="17"/>
      <c r="N161" s="17"/>
    </row>
    <row r="162" spans="1:14" ht="12.75" customHeight="1" x14ac:dyDescent="0.2">
      <c r="A162" s="17"/>
      <c r="B162" s="98"/>
      <c r="C162" s="38"/>
      <c r="D162" s="38"/>
      <c r="E162" s="38"/>
      <c r="F162" s="38"/>
      <c r="G162" s="38"/>
      <c r="H162" s="38"/>
      <c r="I162" s="38"/>
      <c r="J162" s="38"/>
      <c r="K162" s="38"/>
      <c r="L162" s="38"/>
      <c r="M162" s="17"/>
      <c r="N162" s="17"/>
    </row>
    <row r="163" spans="1:14" ht="12.75" customHeight="1" x14ac:dyDescent="0.2">
      <c r="A163" s="17"/>
      <c r="B163" s="98"/>
      <c r="C163" s="38"/>
      <c r="D163" s="38"/>
      <c r="E163" s="38"/>
      <c r="F163" s="38"/>
      <c r="G163" s="38"/>
      <c r="H163" s="38"/>
      <c r="I163" s="38"/>
      <c r="J163" s="38"/>
      <c r="K163" s="38"/>
      <c r="L163" s="38"/>
      <c r="M163" s="17"/>
      <c r="N163" s="17"/>
    </row>
    <row r="164" spans="1:14" ht="12.75" customHeight="1" x14ac:dyDescent="0.2">
      <c r="A164" s="17"/>
      <c r="B164" s="98"/>
      <c r="C164" s="38"/>
      <c r="D164" s="38"/>
      <c r="E164" s="38"/>
      <c r="F164" s="38"/>
      <c r="G164" s="38"/>
      <c r="H164" s="38"/>
      <c r="I164" s="38"/>
      <c r="J164" s="38"/>
      <c r="K164" s="38"/>
      <c r="L164" s="38"/>
      <c r="M164" s="17"/>
      <c r="N164" s="17"/>
    </row>
    <row r="165" spans="1:14" ht="12.75" customHeight="1" x14ac:dyDescent="0.2">
      <c r="A165" s="17"/>
      <c r="B165" s="98"/>
      <c r="C165" s="38"/>
      <c r="D165" s="38"/>
      <c r="E165" s="38"/>
      <c r="F165" s="38"/>
      <c r="G165" s="38"/>
      <c r="H165" s="38"/>
      <c r="I165" s="38"/>
      <c r="J165" s="38"/>
      <c r="K165" s="38"/>
      <c r="L165" s="38"/>
      <c r="M165" s="17"/>
      <c r="N165" s="17"/>
    </row>
    <row r="166" spans="1:14" ht="12.75" customHeight="1" x14ac:dyDescent="0.2">
      <c r="A166" s="17"/>
      <c r="B166" s="98"/>
      <c r="C166" s="38"/>
      <c r="D166" s="38"/>
      <c r="E166" s="38"/>
      <c r="F166" s="38"/>
      <c r="G166" s="38"/>
      <c r="H166" s="38"/>
      <c r="I166" s="38"/>
      <c r="J166" s="38"/>
      <c r="K166" s="38"/>
      <c r="L166" s="38"/>
      <c r="M166" s="17"/>
      <c r="N166" s="17"/>
    </row>
    <row r="167" spans="1:14" ht="12.75" customHeight="1" x14ac:dyDescent="0.2">
      <c r="A167" s="17"/>
      <c r="B167" s="98"/>
      <c r="C167" s="38"/>
      <c r="D167" s="38"/>
      <c r="E167" s="38"/>
      <c r="F167" s="38"/>
      <c r="G167" s="38"/>
      <c r="H167" s="38"/>
      <c r="I167" s="38"/>
      <c r="J167" s="38"/>
      <c r="K167" s="38"/>
      <c r="L167" s="38"/>
      <c r="M167" s="17"/>
      <c r="N167" s="17"/>
    </row>
    <row r="168" spans="1:14" ht="12.75" customHeight="1" x14ac:dyDescent="0.2">
      <c r="A168" s="17"/>
      <c r="B168" s="98"/>
      <c r="C168" s="38"/>
      <c r="D168" s="38"/>
      <c r="E168" s="38"/>
      <c r="F168" s="38"/>
      <c r="G168" s="38"/>
      <c r="H168" s="38"/>
      <c r="I168" s="38"/>
      <c r="J168" s="38"/>
      <c r="K168" s="38"/>
      <c r="L168" s="38"/>
      <c r="M168" s="17"/>
      <c r="N168" s="17"/>
    </row>
    <row r="169" spans="1:14" ht="12.75" customHeight="1" x14ac:dyDescent="0.2">
      <c r="A169" s="17"/>
      <c r="B169" s="98"/>
      <c r="C169" s="38"/>
      <c r="D169" s="38"/>
      <c r="E169" s="38"/>
      <c r="F169" s="38"/>
      <c r="G169" s="38"/>
      <c r="H169" s="38"/>
      <c r="I169" s="38"/>
      <c r="J169" s="38"/>
      <c r="K169" s="38"/>
      <c r="L169" s="38"/>
      <c r="M169" s="17"/>
      <c r="N169" s="17"/>
    </row>
    <row r="170" spans="1:14" ht="12.75" customHeight="1" x14ac:dyDescent="0.2">
      <c r="A170" s="17"/>
      <c r="B170" s="98"/>
      <c r="C170" s="38"/>
      <c r="D170" s="38"/>
      <c r="E170" s="38"/>
      <c r="F170" s="38"/>
      <c r="G170" s="38"/>
      <c r="H170" s="38"/>
      <c r="I170" s="38"/>
      <c r="J170" s="38"/>
      <c r="K170" s="38"/>
      <c r="L170" s="38"/>
      <c r="M170" s="17"/>
      <c r="N170" s="17"/>
    </row>
    <row r="171" spans="1:14" ht="12.75" customHeight="1" x14ac:dyDescent="0.2">
      <c r="A171" s="17"/>
      <c r="B171" s="98"/>
      <c r="C171" s="38"/>
      <c r="D171" s="38"/>
      <c r="E171" s="38"/>
      <c r="F171" s="38"/>
      <c r="G171" s="38"/>
      <c r="H171" s="38"/>
      <c r="I171" s="38"/>
      <c r="J171" s="38"/>
      <c r="K171" s="38"/>
      <c r="L171" s="38"/>
      <c r="M171" s="17"/>
      <c r="N171" s="17"/>
    </row>
    <row r="172" spans="1:14" ht="12.75" customHeight="1" x14ac:dyDescent="0.2">
      <c r="A172" s="17"/>
      <c r="B172" s="98"/>
      <c r="C172" s="38"/>
      <c r="D172" s="38"/>
      <c r="E172" s="38"/>
      <c r="F172" s="38"/>
      <c r="G172" s="38"/>
      <c r="H172" s="38"/>
      <c r="I172" s="38"/>
      <c r="J172" s="38"/>
      <c r="K172" s="38"/>
      <c r="L172" s="38"/>
      <c r="M172" s="17"/>
      <c r="N172" s="17"/>
    </row>
    <row r="173" spans="1:14" ht="12.75" customHeight="1" x14ac:dyDescent="0.2">
      <c r="A173" s="17"/>
      <c r="B173" s="98"/>
      <c r="C173" s="38"/>
      <c r="D173" s="38"/>
      <c r="E173" s="38"/>
      <c r="F173" s="38"/>
      <c r="G173" s="38"/>
      <c r="H173" s="38"/>
      <c r="I173" s="38"/>
      <c r="J173" s="38"/>
      <c r="K173" s="38"/>
      <c r="L173" s="38"/>
      <c r="M173" s="17"/>
      <c r="N173" s="17"/>
    </row>
    <row r="174" spans="1:14" ht="12.75" customHeight="1" x14ac:dyDescent="0.2">
      <c r="A174" s="17"/>
      <c r="B174" s="98"/>
      <c r="C174" s="38"/>
      <c r="D174" s="38"/>
      <c r="E174" s="38"/>
      <c r="F174" s="38"/>
      <c r="G174" s="38"/>
      <c r="H174" s="38"/>
      <c r="I174" s="38"/>
      <c r="J174" s="38"/>
      <c r="K174" s="38"/>
      <c r="L174" s="38"/>
      <c r="M174" s="17"/>
      <c r="N174" s="17"/>
    </row>
    <row r="175" spans="1:14" ht="12.75" customHeight="1" x14ac:dyDescent="0.2">
      <c r="A175" s="17"/>
      <c r="B175" s="98"/>
      <c r="C175" s="38"/>
      <c r="D175" s="38"/>
      <c r="E175" s="38"/>
      <c r="F175" s="38"/>
      <c r="G175" s="38"/>
      <c r="H175" s="38"/>
      <c r="I175" s="38"/>
      <c r="J175" s="38"/>
      <c r="K175" s="38"/>
      <c r="L175" s="38"/>
      <c r="M175" s="17"/>
      <c r="N175" s="17"/>
    </row>
    <row r="176" spans="1:14" ht="12.75" customHeight="1" x14ac:dyDescent="0.2">
      <c r="A176" s="17"/>
      <c r="B176" s="98"/>
      <c r="C176" s="38"/>
      <c r="D176" s="38"/>
      <c r="E176" s="38"/>
      <c r="F176" s="38"/>
      <c r="G176" s="38"/>
      <c r="H176" s="38"/>
      <c r="I176" s="38"/>
      <c r="J176" s="38"/>
      <c r="K176" s="38"/>
      <c r="L176" s="38"/>
      <c r="M176" s="17"/>
      <c r="N176" s="17"/>
    </row>
    <row r="177" spans="1:14" ht="12.75" customHeight="1" x14ac:dyDescent="0.2">
      <c r="A177" s="17"/>
      <c r="B177" s="98"/>
      <c r="C177" s="38"/>
      <c r="D177" s="38"/>
      <c r="E177" s="38"/>
      <c r="F177" s="38"/>
      <c r="G177" s="38"/>
      <c r="H177" s="38"/>
      <c r="I177" s="38"/>
      <c r="J177" s="38"/>
      <c r="K177" s="38"/>
      <c r="L177" s="38"/>
      <c r="M177" s="17"/>
      <c r="N177" s="17"/>
    </row>
    <row r="178" spans="1:14" ht="12.75" customHeight="1" x14ac:dyDescent="0.2">
      <c r="A178" s="17"/>
      <c r="B178" s="98"/>
      <c r="C178" s="38"/>
      <c r="D178" s="38"/>
      <c r="E178" s="38"/>
      <c r="F178" s="38"/>
      <c r="G178" s="38"/>
      <c r="H178" s="38"/>
      <c r="I178" s="38"/>
      <c r="J178" s="38"/>
      <c r="K178" s="38"/>
      <c r="L178" s="38"/>
      <c r="M178" s="17"/>
      <c r="N178" s="17"/>
    </row>
    <row r="179" spans="1:14" ht="12.75" customHeight="1" x14ac:dyDescent="0.2">
      <c r="A179" s="17"/>
      <c r="B179" s="98"/>
      <c r="C179" s="38"/>
      <c r="D179" s="38"/>
      <c r="E179" s="38"/>
      <c r="F179" s="38"/>
      <c r="G179" s="38"/>
      <c r="H179" s="38"/>
      <c r="I179" s="38"/>
      <c r="J179" s="38"/>
      <c r="K179" s="38"/>
      <c r="L179" s="38"/>
      <c r="M179" s="17"/>
      <c r="N179" s="11"/>
    </row>
    <row r="180" spans="1:14" ht="12.75" customHeight="1" x14ac:dyDescent="0.2">
      <c r="A180" s="17"/>
      <c r="B180" s="98"/>
      <c r="C180" s="38"/>
      <c r="D180" s="38"/>
      <c r="E180" s="38"/>
      <c r="F180" s="38"/>
      <c r="G180" s="38"/>
      <c r="H180" s="38"/>
      <c r="I180" s="38"/>
      <c r="J180" s="38"/>
      <c r="K180" s="38"/>
      <c r="L180" s="38"/>
      <c r="M180" s="17"/>
      <c r="N180" s="11"/>
    </row>
    <row r="181" spans="1:14" ht="12.75" customHeight="1" x14ac:dyDescent="0.2">
      <c r="A181" s="17"/>
      <c r="B181" s="98"/>
      <c r="C181" s="38"/>
      <c r="D181" s="38"/>
      <c r="E181" s="38"/>
      <c r="F181" s="38"/>
      <c r="G181" s="38"/>
      <c r="H181" s="38"/>
      <c r="I181" s="38"/>
      <c r="J181" s="38"/>
      <c r="K181" s="38"/>
      <c r="L181" s="38"/>
      <c r="M181" s="17"/>
      <c r="N181" s="11"/>
    </row>
    <row r="182" spans="1:14" ht="12.75" customHeight="1" x14ac:dyDescent="0.2">
      <c r="A182" s="17"/>
      <c r="B182" s="98"/>
      <c r="C182" s="38"/>
      <c r="D182" s="38"/>
      <c r="E182" s="38"/>
      <c r="F182" s="38"/>
      <c r="G182" s="38"/>
      <c r="H182" s="38"/>
      <c r="I182" s="38"/>
      <c r="J182" s="38"/>
      <c r="K182" s="38"/>
      <c r="L182" s="38"/>
      <c r="M182" s="17"/>
      <c r="N182" s="11"/>
    </row>
    <row r="183" spans="1:14" ht="12.75" customHeight="1" x14ac:dyDescent="0.2">
      <c r="A183" s="17"/>
      <c r="B183" s="98"/>
      <c r="C183" s="38"/>
      <c r="D183" s="38"/>
      <c r="E183" s="38"/>
      <c r="F183" s="38"/>
      <c r="G183" s="38"/>
      <c r="H183" s="38"/>
      <c r="I183" s="38"/>
      <c r="J183" s="38"/>
      <c r="K183" s="38"/>
      <c r="L183" s="38"/>
      <c r="M183" s="17"/>
      <c r="N183" s="11"/>
    </row>
    <row r="184" spans="1:14" ht="12.75" customHeight="1" x14ac:dyDescent="0.2">
      <c r="A184" s="17"/>
      <c r="B184" s="98"/>
      <c r="C184" s="38"/>
      <c r="D184" s="38"/>
      <c r="E184" s="38"/>
      <c r="F184" s="38"/>
      <c r="G184" s="38"/>
      <c r="H184" s="38"/>
      <c r="I184" s="38"/>
      <c r="J184" s="38"/>
      <c r="K184" s="38"/>
      <c r="L184" s="38"/>
      <c r="M184" s="17"/>
      <c r="N184" s="11"/>
    </row>
    <row r="185" spans="1:14" ht="12.75" customHeight="1" x14ac:dyDescent="0.2">
      <c r="A185" s="17"/>
      <c r="B185" s="17"/>
      <c r="C185" s="17"/>
      <c r="D185" s="17"/>
      <c r="E185" s="17"/>
      <c r="F185" s="17"/>
      <c r="G185" s="17"/>
      <c r="H185" s="17"/>
      <c r="I185" s="17"/>
      <c r="J185" s="17"/>
      <c r="K185" s="17"/>
      <c r="L185" s="17"/>
      <c r="M185" s="17"/>
      <c r="N185" s="11"/>
    </row>
    <row r="186" spans="1:14" ht="12.75" customHeight="1" x14ac:dyDescent="0.2">
      <c r="A186" s="17"/>
      <c r="B186" s="17"/>
      <c r="C186" s="17"/>
      <c r="D186" s="17"/>
      <c r="E186" s="17"/>
      <c r="F186" s="17"/>
      <c r="G186" s="17"/>
      <c r="H186" s="17"/>
      <c r="I186" s="17"/>
      <c r="J186" s="17"/>
      <c r="K186" s="17"/>
      <c r="L186" s="17"/>
      <c r="M186" s="17"/>
      <c r="N186" s="11"/>
    </row>
    <row r="187" spans="1:14" ht="12.75" customHeight="1" x14ac:dyDescent="0.2">
      <c r="A187" s="17"/>
      <c r="B187" s="17"/>
      <c r="C187" s="17"/>
      <c r="D187" s="17"/>
      <c r="E187" s="17"/>
      <c r="F187" s="17"/>
      <c r="G187" s="17"/>
      <c r="H187" s="17"/>
      <c r="I187" s="17"/>
      <c r="J187" s="17"/>
      <c r="K187" s="17"/>
      <c r="L187" s="17"/>
      <c r="M187" s="17"/>
      <c r="N187" s="11"/>
    </row>
    <row r="188" spans="1:14" ht="12.75" customHeight="1" x14ac:dyDescent="0.2">
      <c r="A188" s="17"/>
      <c r="B188" s="17"/>
      <c r="C188" s="17"/>
      <c r="D188" s="17"/>
      <c r="E188" s="17"/>
      <c r="F188" s="17"/>
      <c r="G188" s="17"/>
      <c r="H188" s="17"/>
      <c r="I188" s="17"/>
      <c r="J188" s="17"/>
      <c r="K188" s="17"/>
      <c r="L188" s="17"/>
      <c r="M188" s="17"/>
      <c r="N188" s="11"/>
    </row>
    <row r="189" spans="1:14" ht="12.75" customHeight="1" x14ac:dyDescent="0.2">
      <c r="A189" s="17"/>
      <c r="B189" s="17"/>
      <c r="C189" s="17"/>
      <c r="D189" s="17"/>
      <c r="E189" s="17"/>
      <c r="F189" s="17"/>
      <c r="G189" s="17"/>
      <c r="H189" s="17"/>
      <c r="I189" s="17"/>
      <c r="J189" s="17"/>
      <c r="K189" s="17"/>
      <c r="L189" s="17"/>
      <c r="M189" s="17"/>
      <c r="N189" s="11"/>
    </row>
    <row r="190" spans="1:14" ht="12.75" customHeight="1" x14ac:dyDescent="0.2">
      <c r="A190" s="17"/>
      <c r="B190" s="17"/>
      <c r="C190" s="17"/>
      <c r="D190" s="17"/>
      <c r="E190" s="17"/>
      <c r="F190" s="17"/>
      <c r="G190" s="17"/>
      <c r="H190" s="17"/>
      <c r="I190" s="17"/>
      <c r="J190" s="17"/>
      <c r="K190" s="17"/>
      <c r="L190" s="17"/>
      <c r="M190" s="17"/>
      <c r="N190" s="11"/>
    </row>
    <row r="191" spans="1:14" ht="12.75" customHeight="1" x14ac:dyDescent="0.2">
      <c r="A191" s="17"/>
      <c r="B191" s="17"/>
      <c r="C191" s="17"/>
      <c r="D191" s="17"/>
      <c r="E191" s="17"/>
      <c r="F191" s="17"/>
      <c r="G191" s="17"/>
      <c r="H191" s="17"/>
      <c r="I191" s="17"/>
      <c r="J191" s="17"/>
      <c r="K191" s="17"/>
      <c r="L191" s="17"/>
      <c r="M191" s="17"/>
      <c r="N191" s="11"/>
    </row>
    <row r="192" spans="1:14" ht="12.75" customHeight="1" x14ac:dyDescent="0.2">
      <c r="A192" s="17"/>
      <c r="B192" s="17"/>
      <c r="C192" s="17"/>
      <c r="D192" s="17"/>
      <c r="E192" s="17"/>
      <c r="F192" s="17"/>
      <c r="G192" s="17"/>
      <c r="H192" s="17"/>
      <c r="I192" s="17"/>
      <c r="J192" s="17"/>
      <c r="K192" s="17"/>
      <c r="L192" s="17"/>
      <c r="M192" s="17"/>
      <c r="N192" s="11"/>
    </row>
    <row r="193" spans="1:13" ht="12.75" customHeight="1" x14ac:dyDescent="0.2">
      <c r="A193" s="17"/>
      <c r="B193" s="17"/>
      <c r="C193" s="17"/>
      <c r="D193" s="17"/>
      <c r="E193" s="17"/>
      <c r="F193" s="17"/>
      <c r="G193" s="17"/>
      <c r="H193" s="17"/>
      <c r="I193" s="17"/>
      <c r="J193" s="17"/>
      <c r="K193" s="17"/>
      <c r="L193" s="17"/>
      <c r="M193" s="17"/>
    </row>
    <row r="194" spans="1:13" ht="12.75" customHeight="1" x14ac:dyDescent="0.2">
      <c r="A194" s="17"/>
      <c r="B194" s="17"/>
      <c r="C194" s="17"/>
      <c r="D194" s="17"/>
      <c r="E194" s="17"/>
      <c r="F194" s="17"/>
      <c r="G194" s="17"/>
      <c r="H194" s="17"/>
      <c r="I194" s="17"/>
      <c r="J194" s="17"/>
      <c r="K194" s="17"/>
      <c r="L194" s="17"/>
      <c r="M194" s="17"/>
    </row>
    <row r="195" spans="1:13" ht="12.75" customHeight="1" x14ac:dyDescent="0.2">
      <c r="A195" s="11"/>
      <c r="B195" s="17"/>
      <c r="C195" s="17"/>
      <c r="D195" s="17"/>
      <c r="E195" s="17"/>
      <c r="F195" s="17"/>
      <c r="G195" s="17"/>
      <c r="H195" s="17"/>
      <c r="I195" s="17"/>
      <c r="J195" s="17"/>
      <c r="K195" s="17"/>
      <c r="L195" s="17"/>
      <c r="M195" s="17"/>
    </row>
    <row r="196" spans="1:13" ht="12.75" customHeight="1" x14ac:dyDescent="0.2">
      <c r="A196" s="11"/>
      <c r="B196" s="17"/>
      <c r="C196" s="17"/>
      <c r="D196" s="17"/>
      <c r="E196" s="17"/>
      <c r="F196" s="17"/>
      <c r="G196" s="17"/>
      <c r="H196" s="17"/>
      <c r="I196" s="17"/>
      <c r="J196" s="17"/>
      <c r="K196" s="17"/>
      <c r="L196" s="17"/>
      <c r="M196" s="17"/>
    </row>
    <row r="197" spans="1:13" ht="12.75" customHeight="1" x14ac:dyDescent="0.2">
      <c r="A197" s="11"/>
      <c r="B197" s="17"/>
      <c r="C197" s="17"/>
      <c r="D197" s="17"/>
      <c r="E197" s="17"/>
      <c r="F197" s="17"/>
      <c r="G197" s="17"/>
      <c r="H197" s="17"/>
      <c r="I197" s="17"/>
      <c r="J197" s="17"/>
      <c r="K197" s="17"/>
      <c r="L197" s="17"/>
      <c r="M197" s="17"/>
    </row>
    <row r="198" spans="1:13" ht="12.75" customHeight="1" x14ac:dyDescent="0.2">
      <c r="A198" s="11"/>
      <c r="B198" s="17"/>
      <c r="C198" s="17"/>
      <c r="D198" s="17"/>
      <c r="E198" s="17"/>
      <c r="F198" s="17"/>
      <c r="G198" s="17"/>
      <c r="H198" s="17"/>
      <c r="I198" s="17"/>
      <c r="J198" s="17"/>
      <c r="K198" s="17"/>
      <c r="L198" s="17"/>
      <c r="M198" s="17"/>
    </row>
    <row r="199" spans="1:13" ht="12.75" customHeight="1" x14ac:dyDescent="0.2">
      <c r="A199" s="11"/>
      <c r="B199" s="17"/>
      <c r="C199" s="17"/>
      <c r="D199" s="17"/>
      <c r="E199" s="17"/>
      <c r="F199" s="17"/>
      <c r="G199" s="17"/>
      <c r="H199" s="17"/>
      <c r="I199" s="17"/>
      <c r="J199" s="17"/>
      <c r="K199" s="17"/>
      <c r="L199" s="17"/>
      <c r="M199" s="17"/>
    </row>
    <row r="200" spans="1:13" ht="12.75" customHeight="1" x14ac:dyDescent="0.2">
      <c r="A200" s="11"/>
      <c r="B200" s="17"/>
      <c r="C200" s="17"/>
      <c r="D200" s="17"/>
      <c r="E200" s="17"/>
      <c r="F200" s="17"/>
      <c r="G200" s="17"/>
      <c r="H200" s="17"/>
      <c r="I200" s="17"/>
      <c r="J200" s="17"/>
      <c r="K200" s="17"/>
      <c r="L200" s="17"/>
      <c r="M200" s="17"/>
    </row>
    <row r="201" spans="1:13" ht="12.75" customHeight="1" x14ac:dyDescent="0.2">
      <c r="A201" s="11"/>
      <c r="B201" s="17"/>
      <c r="C201" s="17"/>
      <c r="D201" s="17"/>
      <c r="E201" s="17"/>
      <c r="F201" s="17"/>
      <c r="G201" s="17"/>
      <c r="H201" s="17"/>
      <c r="I201" s="17"/>
      <c r="J201" s="17"/>
      <c r="K201" s="17"/>
      <c r="L201" s="17"/>
      <c r="M201" s="17"/>
    </row>
    <row r="202" spans="1:13" ht="12.75" customHeight="1" x14ac:dyDescent="0.2">
      <c r="A202" s="11"/>
      <c r="B202" s="17"/>
      <c r="C202" s="17"/>
      <c r="D202" s="17"/>
      <c r="E202" s="17"/>
      <c r="F202" s="17"/>
      <c r="G202" s="17"/>
      <c r="H202" s="17"/>
      <c r="I202" s="17"/>
      <c r="J202" s="17"/>
      <c r="K202" s="17"/>
      <c r="L202" s="17"/>
      <c r="M202" s="17"/>
    </row>
    <row r="203" spans="1:13" ht="12.75" customHeight="1" x14ac:dyDescent="0.2">
      <c r="A203" s="11"/>
      <c r="B203" s="17"/>
      <c r="C203" s="17"/>
      <c r="D203" s="17"/>
      <c r="E203" s="17"/>
      <c r="F203" s="17"/>
      <c r="G203" s="17"/>
      <c r="H203" s="17"/>
      <c r="I203" s="17"/>
      <c r="J203" s="17"/>
      <c r="K203" s="17"/>
      <c r="L203" s="17"/>
      <c r="M203" s="11"/>
    </row>
    <row r="204" spans="1:13" ht="12.75" customHeight="1" x14ac:dyDescent="0.2">
      <c r="A204" s="11"/>
      <c r="B204" s="17"/>
      <c r="C204" s="17"/>
      <c r="D204" s="17"/>
      <c r="E204" s="17"/>
      <c r="F204" s="17"/>
      <c r="G204" s="17"/>
      <c r="H204" s="17"/>
      <c r="I204" s="17"/>
      <c r="J204" s="17"/>
      <c r="K204" s="17"/>
      <c r="L204" s="17"/>
      <c r="M204" s="11"/>
    </row>
    <row r="205" spans="1:13" ht="12.75" customHeight="1" x14ac:dyDescent="0.2">
      <c r="A205" s="11"/>
      <c r="B205" s="17"/>
      <c r="C205" s="17"/>
      <c r="D205" s="17"/>
      <c r="E205" s="17"/>
      <c r="F205" s="17"/>
      <c r="G205" s="17"/>
      <c r="H205" s="17"/>
      <c r="I205" s="17"/>
      <c r="J205" s="17"/>
      <c r="K205" s="17"/>
      <c r="L205" s="17"/>
      <c r="M205" s="11"/>
    </row>
    <row r="206" spans="1:13" ht="12.75" customHeight="1" x14ac:dyDescent="0.2">
      <c r="A206" s="11"/>
      <c r="B206" s="17"/>
      <c r="C206" s="17"/>
      <c r="D206" s="17"/>
      <c r="E206" s="17"/>
      <c r="F206" s="17"/>
      <c r="G206" s="17"/>
      <c r="H206" s="17"/>
      <c r="I206" s="17"/>
      <c r="J206" s="17"/>
      <c r="K206" s="17"/>
      <c r="L206" s="17"/>
      <c r="M206" s="11"/>
    </row>
    <row r="207" spans="1:13" ht="12.75" customHeight="1" x14ac:dyDescent="0.2">
      <c r="A207" s="11"/>
      <c r="B207" s="17"/>
      <c r="C207" s="17"/>
      <c r="D207" s="17"/>
      <c r="E207" s="17"/>
      <c r="F207" s="17"/>
      <c r="G207" s="17"/>
      <c r="H207" s="17"/>
      <c r="I207" s="17"/>
      <c r="J207" s="17"/>
      <c r="K207" s="17"/>
      <c r="L207" s="17"/>
      <c r="M207" s="11"/>
    </row>
    <row r="208" spans="1:13" ht="12.75" customHeight="1" x14ac:dyDescent="0.2">
      <c r="A208" s="11"/>
      <c r="B208" s="17"/>
      <c r="C208" s="17"/>
      <c r="D208" s="17"/>
      <c r="E208" s="17"/>
      <c r="F208" s="17"/>
      <c r="G208" s="17"/>
      <c r="H208" s="17"/>
      <c r="I208" s="17"/>
      <c r="J208" s="17"/>
      <c r="K208" s="17"/>
      <c r="L208" s="17"/>
      <c r="M208" s="11"/>
    </row>
    <row r="209" spans="2:12" ht="12.75" customHeight="1" x14ac:dyDescent="0.2">
      <c r="B209" s="17"/>
      <c r="C209" s="17"/>
      <c r="D209" s="17"/>
      <c r="E209" s="17"/>
      <c r="F209" s="17"/>
      <c r="G209" s="17"/>
      <c r="H209" s="17"/>
      <c r="I209" s="17"/>
      <c r="J209" s="17"/>
      <c r="K209" s="17"/>
      <c r="L209" s="17"/>
    </row>
    <row r="210" spans="2:12" ht="12.75" customHeight="1" x14ac:dyDescent="0.2">
      <c r="B210" s="17"/>
      <c r="C210" s="17"/>
      <c r="D210" s="17"/>
      <c r="E210" s="17"/>
      <c r="F210" s="17"/>
      <c r="G210" s="17"/>
      <c r="H210" s="17"/>
      <c r="I210" s="17"/>
      <c r="J210" s="17"/>
      <c r="K210" s="17"/>
      <c r="L210" s="17"/>
    </row>
    <row r="211" spans="2:12" ht="12.75" customHeight="1" x14ac:dyDescent="0.2">
      <c r="B211" s="17"/>
      <c r="C211" s="17"/>
      <c r="D211" s="17"/>
      <c r="E211" s="17"/>
      <c r="F211" s="17"/>
      <c r="G211" s="17"/>
      <c r="H211" s="17"/>
      <c r="I211" s="17"/>
      <c r="J211" s="17"/>
      <c r="K211" s="17"/>
      <c r="L211" s="17"/>
    </row>
    <row r="212" spans="2:12" ht="12.75" customHeight="1" x14ac:dyDescent="0.2">
      <c r="B212" s="17"/>
      <c r="C212" s="17"/>
      <c r="D212" s="17"/>
      <c r="E212" s="17"/>
      <c r="F212" s="17"/>
      <c r="G212" s="17"/>
      <c r="H212" s="17"/>
      <c r="I212" s="17"/>
      <c r="J212" s="17"/>
      <c r="K212" s="17"/>
      <c r="L212" s="17"/>
    </row>
    <row r="213" spans="2:12" ht="12.75" customHeight="1" x14ac:dyDescent="0.2">
      <c r="B213" s="17"/>
      <c r="C213" s="17"/>
      <c r="D213" s="17"/>
      <c r="E213" s="17"/>
      <c r="F213" s="17"/>
      <c r="G213" s="17"/>
      <c r="H213" s="17"/>
      <c r="I213" s="17"/>
      <c r="J213" s="17"/>
      <c r="K213" s="17"/>
      <c r="L213" s="17"/>
    </row>
    <row r="214" spans="2:12" ht="12.75" customHeight="1" x14ac:dyDescent="0.2">
      <c r="B214" s="17"/>
      <c r="C214" s="17"/>
      <c r="D214" s="17"/>
      <c r="E214" s="17"/>
      <c r="F214" s="17"/>
      <c r="G214" s="17"/>
      <c r="H214" s="17"/>
      <c r="I214" s="17"/>
      <c r="J214" s="17"/>
      <c r="K214" s="17"/>
      <c r="L214" s="17"/>
    </row>
    <row r="215" spans="2:12" ht="12.75" customHeight="1" x14ac:dyDescent="0.2">
      <c r="B215" s="17"/>
      <c r="C215" s="17"/>
      <c r="D215" s="17"/>
      <c r="E215" s="17"/>
      <c r="F215" s="17"/>
      <c r="G215" s="17"/>
      <c r="H215" s="17"/>
      <c r="I215" s="17"/>
      <c r="J215" s="17"/>
      <c r="K215" s="17"/>
      <c r="L215" s="17"/>
    </row>
    <row r="216" spans="2:12" ht="12.75" customHeight="1" x14ac:dyDescent="0.2">
      <c r="B216" s="17"/>
      <c r="C216" s="17"/>
      <c r="D216" s="17"/>
      <c r="E216" s="17"/>
      <c r="F216" s="17"/>
      <c r="G216" s="17"/>
      <c r="H216" s="17"/>
      <c r="I216" s="17"/>
      <c r="J216" s="17"/>
      <c r="K216" s="17"/>
      <c r="L216" s="17"/>
    </row>
    <row r="217" spans="2:12" ht="12.75" customHeight="1" x14ac:dyDescent="0.2">
      <c r="B217" s="17"/>
      <c r="C217" s="17"/>
      <c r="D217" s="17"/>
      <c r="E217" s="17"/>
      <c r="F217" s="17"/>
      <c r="G217" s="17"/>
      <c r="H217" s="17"/>
      <c r="I217" s="17"/>
      <c r="J217" s="17"/>
      <c r="K217" s="17"/>
      <c r="L217" s="17"/>
    </row>
    <row r="218" spans="2:12" ht="12.75" customHeight="1" x14ac:dyDescent="0.2">
      <c r="B218" s="17"/>
      <c r="C218" s="17"/>
      <c r="D218" s="17"/>
      <c r="E218" s="17"/>
      <c r="F218" s="17"/>
      <c r="G218" s="17"/>
      <c r="H218" s="17"/>
      <c r="I218" s="17"/>
      <c r="J218" s="17"/>
      <c r="K218" s="17"/>
      <c r="L218" s="17"/>
    </row>
    <row r="219" spans="2:12" ht="12.75" customHeight="1" x14ac:dyDescent="0.2">
      <c r="B219" s="17"/>
      <c r="C219" s="17"/>
      <c r="D219" s="17"/>
      <c r="E219" s="17"/>
      <c r="F219" s="17"/>
      <c r="G219" s="17"/>
      <c r="H219" s="17"/>
      <c r="I219" s="17"/>
      <c r="J219" s="17"/>
      <c r="K219" s="17"/>
      <c r="L219" s="17"/>
    </row>
    <row r="220" spans="2:12" ht="12.75" customHeight="1" x14ac:dyDescent="0.2">
      <c r="B220" s="17"/>
      <c r="C220" s="17"/>
      <c r="D220" s="17"/>
      <c r="E220" s="17"/>
      <c r="F220" s="17"/>
      <c r="G220" s="17"/>
      <c r="H220" s="17"/>
      <c r="I220" s="17"/>
      <c r="J220" s="17"/>
      <c r="K220" s="17"/>
      <c r="L220" s="17"/>
    </row>
    <row r="221" spans="2:12" ht="12.75" customHeight="1" x14ac:dyDescent="0.2">
      <c r="B221" s="17"/>
      <c r="C221" s="17"/>
      <c r="D221" s="17"/>
      <c r="E221" s="17"/>
      <c r="F221" s="17"/>
      <c r="G221" s="17"/>
      <c r="H221" s="17"/>
      <c r="I221" s="17"/>
      <c r="J221" s="17"/>
      <c r="K221" s="17"/>
      <c r="L221" s="17"/>
    </row>
    <row r="222" spans="2:12" ht="12.75" customHeight="1" x14ac:dyDescent="0.2">
      <c r="B222" s="17"/>
      <c r="C222" s="17"/>
      <c r="D222" s="17"/>
      <c r="E222" s="17"/>
      <c r="F222" s="17"/>
      <c r="G222" s="17"/>
      <c r="H222" s="17"/>
      <c r="I222" s="17"/>
      <c r="J222" s="17"/>
      <c r="K222" s="17"/>
      <c r="L222" s="17"/>
    </row>
    <row r="223" spans="2:12" ht="12.75" customHeight="1" x14ac:dyDescent="0.2">
      <c r="B223" s="17"/>
      <c r="C223" s="17"/>
      <c r="D223" s="17"/>
      <c r="E223" s="17"/>
      <c r="F223" s="17"/>
      <c r="G223" s="17"/>
      <c r="H223" s="17"/>
      <c r="I223" s="17"/>
      <c r="J223" s="17"/>
      <c r="K223" s="17"/>
      <c r="L223" s="17"/>
    </row>
    <row r="224" spans="2:12" ht="12.75" customHeight="1" x14ac:dyDescent="0.2">
      <c r="B224" s="17"/>
      <c r="C224" s="17"/>
      <c r="D224" s="17"/>
      <c r="E224" s="17"/>
      <c r="F224" s="17"/>
      <c r="G224" s="17"/>
      <c r="H224" s="17"/>
      <c r="I224" s="17"/>
      <c r="J224" s="17"/>
      <c r="K224" s="17"/>
      <c r="L224" s="17"/>
    </row>
    <row r="225" spans="2:12" ht="12.75" customHeight="1" x14ac:dyDescent="0.2">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4" ma:contentTypeDescription="Een nieuw document maken." ma:contentTypeScope="" ma:versionID="3e29b1239bfc0eb0612e19dedfb14139">
  <xsd:schema xmlns:xsd="http://www.w3.org/2001/XMLSchema" xmlns:xs="http://www.w3.org/2001/XMLSchema" xmlns:p="http://schemas.microsoft.com/office/2006/metadata/properties" xmlns:ns2="feba0a3f-701e-48ef-9ed7-c4ddb3762335" targetNamespace="http://schemas.microsoft.com/office/2006/metadata/properties" ma:root="true" ma:fieldsID="fd3f4404c34b9dde4178b8082491825d" ns2:_="">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7DDDB98-9DDF-4BEC-932F-EA186D66CD7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3.xml><?xml version="1.0" encoding="utf-8"?>
<ds:datastoreItem xmlns:ds="http://schemas.openxmlformats.org/officeDocument/2006/customXml" ds:itemID="{5DB3FBAE-4215-4E01-A181-0EF61E5CAC0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2813</vt:i4>
      </vt:variant>
    </vt:vector>
  </HeadingPairs>
  <TitlesOfParts>
    <vt:vector size="2827"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k.aCG</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k.s1C.w1C</vt:lpstr>
      <vt:lpstr>k.s1CA</vt:lpstr>
      <vt:lpstr>k.s1CA.w1CA</vt:lpstr>
      <vt:lpstr>k.s1CD</vt:lpstr>
      <vt:lpstr>k.s1CD.w1CD</vt:lpstr>
      <vt:lpstr>k.s1CP</vt:lpstr>
      <vt:lpstr>k.s1CP.w1CP</vt:lpstr>
      <vt:lpstr>k.s1CS</vt:lpstr>
      <vt:lpstr>k.s1CS.s1CA</vt:lpstr>
      <vt:lpstr>k.s1CS.s1CP</vt:lpstr>
      <vt:lpstr>k.s1CS.w1CS</vt:lpstr>
      <vt:lpstr>k.s1RA</vt:lpstr>
      <vt:lpstr>k.s1RA.w1RA</vt:lpstr>
      <vt:lpstr>k.s1RD</vt:lpstr>
      <vt:lpstr>k.s1RD.aRG</vt:lpstr>
      <vt:lpstr>k.s1RD.w1RD</vt:lpstr>
      <vt:lpstr>k.s1RP</vt:lpstr>
      <vt:lpstr>k.s1RP.w1RP</vt:lpstr>
      <vt:lpstr>k.s1RS</vt:lpstr>
      <vt:lpstr>k.s1RS.s1RA</vt:lpstr>
      <vt:lpstr>k.s1RS.s1RP</vt:lpstr>
      <vt:lpstr>k.s1RS.w1RS</vt:lpstr>
      <vt:lpstr>k.s2C</vt:lpstr>
      <vt:lpstr>k.s2C.aC</vt:lpstr>
      <vt:lpstr>k.s2C.w1C</vt:lpstr>
      <vt:lpstr>k.s2CA</vt:lpstr>
      <vt:lpstr>k.s2CA.w1CA</vt:lpstr>
      <vt:lpstr>k.s2CD</vt:lpstr>
      <vt:lpstr>k.s2CD.w1CD</vt:lpstr>
      <vt:lpstr>k.s2CP</vt:lpstr>
      <vt:lpstr>k.s2CP.w1CP</vt:lpstr>
      <vt:lpstr>k.s2CS</vt:lpstr>
      <vt:lpstr>k.s2CS.s2CA</vt:lpstr>
      <vt:lpstr>k.s2CS.s2CP</vt:lpstr>
      <vt:lpstr>k.s2CS.w1CS</vt:lpstr>
      <vt:lpstr>k.s2RA</vt:lpstr>
      <vt:lpstr>k.s2RA.w1RA</vt:lpstr>
      <vt:lpstr>k.s2RD</vt:lpstr>
      <vt:lpstr>k.s2RD.aRG</vt:lpstr>
      <vt:lpstr>k.s2RD.w1RD</vt:lpstr>
      <vt:lpstr>k.s2RP</vt:lpstr>
      <vt:lpstr>k.s2RP.w1RP</vt:lpstr>
      <vt:lpstr>k.s2RS</vt:lpstr>
      <vt:lpstr>k.s2RS.s2RA</vt:lpstr>
      <vt:lpstr>k.s2RS.s2RP</vt:lpstr>
      <vt:lpstr>k.s2RS.w1RS</vt:lpstr>
      <vt:lpstr>k.s3C</vt:lpstr>
      <vt:lpstr>k.s3C.aC</vt:lpstr>
      <vt:lpstr>k.s3C.w1C</vt:lpstr>
      <vt:lpstr>k.s3CA</vt:lpstr>
      <vt:lpstr>k.s3CA.w1CA</vt:lpstr>
      <vt:lpstr>k.s3CD</vt:lpstr>
      <vt:lpstr>k.s3CD.w1CD</vt:lpstr>
      <vt:lpstr>k.s3CP</vt:lpstr>
      <vt:lpstr>k.s3CP.w1CP</vt:lpstr>
      <vt:lpstr>k.s3CS</vt:lpstr>
      <vt:lpstr>k.s3CS.s3CA</vt:lpstr>
      <vt:lpstr>k.s3CS.s3CP</vt:lpstr>
      <vt:lpstr>k.s3CS.w1CS</vt:lpstr>
      <vt:lpstr>k.s3RA</vt:lpstr>
      <vt:lpstr>k.s3RA.w1RA</vt:lpstr>
      <vt:lpstr>k.s3RD</vt:lpstr>
      <vt:lpstr>k.s3RD.aRG</vt:lpstr>
      <vt:lpstr>k.s3RD.w1RD</vt:lpstr>
      <vt:lpstr>k.s3RP</vt:lpstr>
      <vt:lpstr>k.s3RP.w1RP</vt:lpstr>
      <vt:lpstr>k.s3RS</vt:lpstr>
      <vt:lpstr>k.s3RS.s3RA</vt:lpstr>
      <vt:lpstr>k.s3RS.s3RP</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2024-02-14T13:19:30Z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